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เวิร์กบุ๊กนี้"/>
  <mc:AlternateContent xmlns:mc="http://schemas.openxmlformats.org/markup-compatibility/2006">
    <mc:Choice Requires="x15">
      <x15ac:absPath xmlns:x15ac="http://schemas.microsoft.com/office/spreadsheetml/2010/11/ac" url="C:\Users\LEONARDOBARCELOSDASI\Desktop\"/>
    </mc:Choice>
  </mc:AlternateContent>
  <xr:revisionPtr revIDLastSave="0" documentId="13_ncr:1_{C531F70D-54A8-4093-8EFE-6CC44B0E949F}" xr6:coauthVersionLast="47" xr6:coauthVersionMax="47" xr10:uidLastSave="{00000000-0000-0000-0000-000000000000}"/>
  <bookViews>
    <workbookView xWindow="5715" yWindow="2430" windowWidth="21600" windowHeight="11295" tabRatio="890" xr2:uid="{00000000-000D-0000-FFFF-FFFF00000000}"/>
  </bookViews>
  <sheets>
    <sheet name="Index" sheetId="20" r:id="rId1"/>
    <sheet name="Esp HWI Pin Fixo" sheetId="35" r:id="rId2"/>
    <sheet name="I.SPA H1 381" sheetId="29" r:id="rId3"/>
    <sheet name="ICE SPA" sheetId="31" r:id="rId4"/>
    <sheet name="Cálculos ICE SPA" sheetId="32" state="hidden" r:id="rId5"/>
    <sheet name="Calibrador" sheetId="33" r:id="rId6"/>
    <sheet name="I.SPA H1 381.2" sheetId="30" r:id="rId7"/>
    <sheet name="I.SPA 16-349 280+6" sheetId="27" r:id="rId8"/>
    <sheet name="I.SPA 16-352 280+6" sheetId="28" r:id="rId9"/>
    <sheet name="Slope.px" sheetId="19" r:id="rId10"/>
    <sheet name="Link" sheetId="6" state="hidden" r:id="rId11"/>
    <sheet name="266" sheetId="2" state="hidden" r:id="rId12"/>
    <sheet name="inf 266" sheetId="3" state="hidden" r:id="rId13"/>
    <sheet name="R266" sheetId="4" state="hidden" r:id="rId14"/>
    <sheet name="266 Spike 30" sheetId="21" state="hidden" r:id="rId15"/>
    <sheet name="276" sheetId="8" state="hidden" r:id="rId16"/>
    <sheet name="inf 276" sheetId="9" state="hidden" r:id="rId17"/>
    <sheet name="R276" sheetId="10" state="hidden" r:id="rId18"/>
    <sheet name="276SR Spike 30" sheetId="22" state="hidden" r:id="rId19"/>
    <sheet name="280" sheetId="11" r:id="rId20"/>
    <sheet name="inf 280" sheetId="12" r:id="rId21"/>
    <sheet name="280SR Spike 30" sheetId="23" state="hidden" r:id="rId22"/>
    <sheet name="R280" sheetId="13" state="hidden" r:id="rId23"/>
    <sheet name="286" sheetId="14" state="hidden" r:id="rId24"/>
    <sheet name="inf 286" sheetId="15" state="hidden" r:id="rId25"/>
    <sheet name="R286" sheetId="16" state="hidden" r:id="rId26"/>
    <sheet name="286SR Spike 30" sheetId="24" state="hidden" r:id="rId27"/>
    <sheet name="6i Chip-in" sheetId="26" state="hidden" r:id="rId28"/>
  </sheets>
  <externalReferences>
    <externalReference r:id="rId29"/>
    <externalReference r:id="rId30"/>
  </externalReferences>
  <definedNames>
    <definedName name="alturanegativa">#REF!</definedName>
    <definedName name="alturapositiva">#REF!</definedName>
    <definedName name="Alturas">#REF!</definedName>
    <definedName name="Alturasn">#REF!</definedName>
    <definedName name="Alturasp">#REF!</definedName>
    <definedName name="bcv">#REF!</definedName>
    <definedName name="BS低高度係數1w">#REF!</definedName>
    <definedName name="BS低高度係數1w_1">#REF!</definedName>
    <definedName name="BS低高度係數1w_1_1">#REF!</definedName>
    <definedName name="BS低高度係數1w_1_2">#REF!</definedName>
    <definedName name="BS低高度係數1w_1_3">#REF!</definedName>
    <definedName name="BS低高度係數1w_1_4">#REF!</definedName>
    <definedName name="BS低高度係數1w_2">#REF!</definedName>
    <definedName name="BS低高度係數1w_3">#REF!</definedName>
    <definedName name="BS低高度係數1w_4">#REF!</definedName>
    <definedName name="BS低高度係數2w">#REF!</definedName>
    <definedName name="BS低高度係數2w_1">#REF!</definedName>
    <definedName name="BS低高度係數2w_1_1">#REF!</definedName>
    <definedName name="BS低高度係數2w_1_2">#REF!</definedName>
    <definedName name="BS低高度係數2w_1_3">#REF!</definedName>
    <definedName name="BS低高度係數2w_1_4">#REF!</definedName>
    <definedName name="BS低高度係數2w_2">#REF!</definedName>
    <definedName name="BS低高度係數2w_3">#REF!</definedName>
    <definedName name="BS低高度係數2w_4">#REF!</definedName>
    <definedName name="BS低高度係數3w">#REF!</definedName>
    <definedName name="BS低高度係數3w_1">#REF!</definedName>
    <definedName name="BS低高度係數3w_1_1">#REF!</definedName>
    <definedName name="BS低高度係數3w_1_2">#REF!</definedName>
    <definedName name="BS低高度係數3w_1_3">#REF!</definedName>
    <definedName name="BS低高度係數3w_1_4">#REF!</definedName>
    <definedName name="BS低高度係數3w_2">#REF!</definedName>
    <definedName name="BS低高度係數3w_3">#REF!</definedName>
    <definedName name="BS低高度係數3w_4">#REF!</definedName>
    <definedName name="BS高高度係數1w">#REF!</definedName>
    <definedName name="BS高高度係數1w_1">#REF!</definedName>
    <definedName name="BS高高度係數1w_1_1">#REF!</definedName>
    <definedName name="BS高高度係數1w_1_2">#REF!</definedName>
    <definedName name="BS高高度係數1w_1_3">#REF!</definedName>
    <definedName name="BS高高度係數1w_1_4">#REF!</definedName>
    <definedName name="BS高高度係數1w_2">#REF!</definedName>
    <definedName name="BS高高度係數1w_3">#REF!</definedName>
    <definedName name="BS高高度係數1w_4">#REF!</definedName>
    <definedName name="BS高高度係數2w">#REF!</definedName>
    <definedName name="BS高高度係數2w_1">#REF!</definedName>
    <definedName name="BS高高度係數2w_1_1">#REF!</definedName>
    <definedName name="BS高高度係數2w_1_2">#REF!</definedName>
    <definedName name="BS高高度係數2w_1_3">#REF!</definedName>
    <definedName name="BS高高度係數2w_1_4">#REF!</definedName>
    <definedName name="BS高高度係數2w_2">#REF!</definedName>
    <definedName name="BS高高度係數2w_3">#REF!</definedName>
    <definedName name="BS高高度係數2w_4">#REF!</definedName>
    <definedName name="BS高高度係數3w">#REF!</definedName>
    <definedName name="BS高高度係數3w_1">#REF!</definedName>
    <definedName name="BS高高度係數3w_1_1">#REF!</definedName>
    <definedName name="BS高高度係數3w_1_2">#REF!</definedName>
    <definedName name="BS高高度係數3w_1_3">#REF!</definedName>
    <definedName name="BS高高度係數3w_1_4">#REF!</definedName>
    <definedName name="BS高高度係數3w_2">#REF!</definedName>
    <definedName name="BS高高度係數3w_3">#REF!</definedName>
    <definedName name="BS高高度係數3w_4">#REF!</definedName>
    <definedName name="corba正高度係數1w">#REF!</definedName>
    <definedName name="corba正高度係數1w_1">#REF!</definedName>
    <definedName name="corba正高度係數1w_1_1">#REF!</definedName>
    <definedName name="corba正高度係數1w_1_2">#REF!</definedName>
    <definedName name="corba正高度係數1w_1_3">#REF!</definedName>
    <definedName name="corba正高度係數1w_1_4">#REF!</definedName>
    <definedName name="corba正高度係數1w_2">#REF!</definedName>
    <definedName name="corba正高度係數1w_3">#REF!</definedName>
    <definedName name="corba正高度係數1w_4">#REF!</definedName>
    <definedName name="corba正高度係數2w">#REF!</definedName>
    <definedName name="corba正高度係數2w_1">#REF!</definedName>
    <definedName name="corba正高度係數2w_1_1">#REF!</definedName>
    <definedName name="corba正高度係數2w_1_2">#REF!</definedName>
    <definedName name="corba正高度係數2w_1_3">#REF!</definedName>
    <definedName name="corba正高度係數2w_1_4">#REF!</definedName>
    <definedName name="corba正高度係數2w_2">#REF!</definedName>
    <definedName name="corba正高度係數2w_3">#REF!</definedName>
    <definedName name="corba正高度係數2w_4">#REF!</definedName>
    <definedName name="corba正高度係數3w">#REF!</definedName>
    <definedName name="corba正高度係數3w_1">#REF!</definedName>
    <definedName name="corba正高度係數3w_1_1">#REF!</definedName>
    <definedName name="corba正高度係數3w_1_2">#REF!</definedName>
    <definedName name="corba正高度係數3w_1_3">#REF!</definedName>
    <definedName name="corba正高度係數3w_1_4">#REF!</definedName>
    <definedName name="corba正高度係數3w_2">#REF!</definedName>
    <definedName name="corba正高度係數3w_3">#REF!</definedName>
    <definedName name="corba正高度係數3w_4">#REF!</definedName>
    <definedName name="corba負高度係數1w">#REF!</definedName>
    <definedName name="corba負高度係數1w_1">#REF!</definedName>
    <definedName name="corba負高度係數1w_1_1">#REF!</definedName>
    <definedName name="corba負高度係數1w_1_2">#REF!</definedName>
    <definedName name="corba負高度係數1w_1_3">#REF!</definedName>
    <definedName name="corba負高度係數1w_1_4">#REF!</definedName>
    <definedName name="corba負高度係數1w_2">#REF!</definedName>
    <definedName name="corba負高度係數1w_3">#REF!</definedName>
    <definedName name="corba負高度係數1w_4">#REF!</definedName>
    <definedName name="corba負高度係數2w">#REF!</definedName>
    <definedName name="corba負高度係數2w_1">#REF!</definedName>
    <definedName name="corba負高度係數2w_1_1">#REF!</definedName>
    <definedName name="corba負高度係數2w_1_2">#REF!</definedName>
    <definedName name="corba負高度係數2w_1_3">#REF!</definedName>
    <definedName name="corba負高度係數2w_1_4">#REF!</definedName>
    <definedName name="corba負高度係數2w_2">#REF!</definedName>
    <definedName name="corba負高度係數2w_3">#REF!</definedName>
    <definedName name="corba負高度係數2w_4">#REF!</definedName>
    <definedName name="corba負高度係數3w">#REF!</definedName>
    <definedName name="corba負高度係數3w_1">#REF!</definedName>
    <definedName name="corba負高度係數3w_1_1">#REF!</definedName>
    <definedName name="corba負高度係數3w_1_2">#REF!</definedName>
    <definedName name="corba負高度係數3w_1_3">#REF!</definedName>
    <definedName name="corba負高度係數3w_1_4">#REF!</definedName>
    <definedName name="corba負高度係數3w_2">#REF!</definedName>
    <definedName name="corba負高度係數3w_3">#REF!</definedName>
    <definedName name="corba負高度係數3w_4">#REF!</definedName>
    <definedName name="d">#REF!</definedName>
    <definedName name="d_1">#REF!</definedName>
    <definedName name="d_1_1">#REF!</definedName>
    <definedName name="d_1_2">#REF!</definedName>
    <definedName name="d_1_3">#REF!</definedName>
    <definedName name="d_1_4">#REF!</definedName>
    <definedName name="d_2">#REF!</definedName>
    <definedName name="d_3">#REF!</definedName>
    <definedName name="d_4">#REF!</definedName>
    <definedName name="ds_1_1">#REF!</definedName>
    <definedName name="ds_1_2">#REF!</definedName>
    <definedName name="ds_1_3">#REF!</definedName>
    <definedName name="ds_1_4">#REF!</definedName>
    <definedName name="ds_2">#REF!</definedName>
    <definedName name="ds_3">#REF!</definedName>
    <definedName name="ds_4">#REF!</definedName>
    <definedName name="Dunk_1W30">#REF!</definedName>
    <definedName name="hwi6i">'[1]6igontijo'!$O$4:$P$64</definedName>
    <definedName name="jewhfksjhd">#REF!</definedName>
    <definedName name="PB">(1/4.62)</definedName>
    <definedName name="prout_1_2">#REF!</definedName>
    <definedName name="prout_1_3">#REF!</definedName>
    <definedName name="prout_1_4">#REF!</definedName>
    <definedName name="prout_2">#REF!</definedName>
    <definedName name="prout_3">#REF!</definedName>
    <definedName name="prout_4">#REF!</definedName>
    <definedName name="SC大電扇風_1_2">#REF!</definedName>
    <definedName name="SC大電扇風_1_3">#REF!</definedName>
    <definedName name="SC大電扇風_1_4">#REF!</definedName>
    <definedName name="SC大電扇風_2">#REF!</definedName>
    <definedName name="SC大電扇風_3">#REF!</definedName>
    <definedName name="SC大電扇風_4">#REF!</definedName>
    <definedName name="SC直升機風">#REF!</definedName>
    <definedName name="SC直升機風_1">#REF!</definedName>
    <definedName name="SC直升機風_1_1">#REF!</definedName>
    <definedName name="SC直升機風_1_2">#REF!</definedName>
    <definedName name="SC直升機風_1_3">#REF!</definedName>
    <definedName name="SC直升機風_1_4">#REF!</definedName>
    <definedName name="SC直升機風_2">#REF!</definedName>
    <definedName name="SC直升機風_3">#REF!</definedName>
    <definedName name="SC直升機風_4">#REF!</definedName>
    <definedName name="spike低風力係數1w">#REF!</definedName>
    <definedName name="spike低風力係數1w_1">#REF!</definedName>
    <definedName name="spike低風力係數1w_1_1">#REF!</definedName>
    <definedName name="spike低風力係數1w_1_2">#REF!</definedName>
    <definedName name="spike低風力係數1w_1_3">#REF!</definedName>
    <definedName name="spike低風力係數1w_1_4">#REF!</definedName>
    <definedName name="spike低風力係數1w_2">#REF!</definedName>
    <definedName name="spike低風力係數1w_3">#REF!</definedName>
    <definedName name="spike低風力係數1w_4">#REF!</definedName>
    <definedName name="spike低風力係數2w">#REF!</definedName>
    <definedName name="spike低風力係數2w_1">#REF!</definedName>
    <definedName name="spike低風力係數2w_1_1">#REF!</definedName>
    <definedName name="spike低風力係數2w_1_2">#REF!</definedName>
    <definedName name="spike低風力係數2w_1_3">#REF!</definedName>
    <definedName name="spike低風力係數2w_1_4">#REF!</definedName>
    <definedName name="spike低風力係數2w_2">#REF!</definedName>
    <definedName name="spike低風力係數2w_3">#REF!</definedName>
    <definedName name="spike低風力係數2w_4">#REF!</definedName>
    <definedName name="spike低風力係數3w">#REF!</definedName>
    <definedName name="spike低風力係數3w_1">#REF!</definedName>
    <definedName name="spike低風力係數3w_1_1">#REF!</definedName>
    <definedName name="spike低風力係數3w_1_2">#REF!</definedName>
    <definedName name="spike低風力係數3w_1_3">#REF!</definedName>
    <definedName name="spike低風力係數3w_1_4">#REF!</definedName>
    <definedName name="spike低風力係數3w_2">#REF!</definedName>
    <definedName name="spike低風力係數3w_3">#REF!</definedName>
    <definedName name="spike低風力係數3w_4">#REF!</definedName>
    <definedName name="spike低高度係數1w">#REF!</definedName>
    <definedName name="spike低高度係數1w_1">#REF!</definedName>
    <definedName name="spike低高度係數1w_1_1">#REF!</definedName>
    <definedName name="spike低高度係數1w_1_2">#REF!</definedName>
    <definedName name="spike低高度係數1w_1_3">#REF!</definedName>
    <definedName name="spike低高度係數1w_1_4">#REF!</definedName>
    <definedName name="spike低高度係數1w_2">#REF!</definedName>
    <definedName name="spike低高度係數1w_3">#REF!</definedName>
    <definedName name="spike低高度係數1w_4">#REF!</definedName>
    <definedName name="spike低高度係數2w">#REF!</definedName>
    <definedName name="spike低高度係數2w_1">#REF!</definedName>
    <definedName name="spike低高度係數2w_1_1">#REF!</definedName>
    <definedName name="spike低高度係數2w_1_2">#REF!</definedName>
    <definedName name="spike低高度係數2w_1_3">#REF!</definedName>
    <definedName name="spike低高度係數2w_1_4">#REF!</definedName>
    <definedName name="spike低高度係數2w_2">#REF!</definedName>
    <definedName name="spike低高度係數2w_3">#REF!</definedName>
    <definedName name="spike低高度係數2w_4">#REF!</definedName>
    <definedName name="spike低高度係數3w">#REF!</definedName>
    <definedName name="spike低高度係數3w_1">#REF!</definedName>
    <definedName name="spike低高度係數3w_1_1">#REF!</definedName>
    <definedName name="spike低高度係數3w_1_2">#REF!</definedName>
    <definedName name="spike低高度係數3w_1_3">#REF!</definedName>
    <definedName name="spike低高度係數3w_1_4">#REF!</definedName>
    <definedName name="spike低高度係數3w_2">#REF!</definedName>
    <definedName name="spike低高度係數3w_3">#REF!</definedName>
    <definedName name="spike低高度係數3w_4">#REF!</definedName>
    <definedName name="spike高度轉換係數1w">#REF!</definedName>
    <definedName name="spike高度轉換係數1w_1">#REF!</definedName>
    <definedName name="spike高度轉換係數1w_1_1">#REF!</definedName>
    <definedName name="spike高度轉換係數1w_1_2">#REF!</definedName>
    <definedName name="spike高度轉換係數1w_1_3">#REF!</definedName>
    <definedName name="spike高度轉換係數1w_1_4">#REF!</definedName>
    <definedName name="spike高度轉換係數1w_2">#REF!</definedName>
    <definedName name="spike高度轉換係數1w_3">#REF!</definedName>
    <definedName name="spike高度轉換係數1w_4">#REF!</definedName>
    <definedName name="spike高度轉換係數2w">#REF!</definedName>
    <definedName name="spike高度轉換係數2w_1">#REF!</definedName>
    <definedName name="spike高度轉換係數2w_1_1">#REF!</definedName>
    <definedName name="spike高度轉換係數2w_1_2">#REF!</definedName>
    <definedName name="spike高度轉換係數2w_1_3">#REF!</definedName>
    <definedName name="spike高度轉換係數2w_1_4">#REF!</definedName>
    <definedName name="spike高度轉換係數2w_2">#REF!</definedName>
    <definedName name="spike高度轉換係數2w_3">#REF!</definedName>
    <definedName name="spike高度轉換係數2w_4">#REF!</definedName>
    <definedName name="spike高度轉換係數3w">#REF!</definedName>
    <definedName name="spike高度轉換係數3w_1">#REF!</definedName>
    <definedName name="spike高度轉換係數3w_1_1">#REF!</definedName>
    <definedName name="spike高度轉換係數3w_1_2">#REF!</definedName>
    <definedName name="spike高度轉換係數3w_1_3">#REF!</definedName>
    <definedName name="spike高度轉換係數3w_1_4">#REF!</definedName>
    <definedName name="spike高度轉換係數3w_2">#REF!</definedName>
    <definedName name="spike高度轉換係數3w_3">#REF!</definedName>
    <definedName name="spike高度轉換係數3w_4">#REF!</definedName>
    <definedName name="spike高風力係數1w">#REF!</definedName>
    <definedName name="spike高風力係數1w_1">#REF!</definedName>
    <definedName name="spike高風力係數1w_1_1">#REF!</definedName>
    <definedName name="spike高風力係數1w_1_2">#REF!</definedName>
    <definedName name="spike高風力係數1w_1_3">#REF!</definedName>
    <definedName name="spike高風力係數1w_1_4">#REF!</definedName>
    <definedName name="spike高風力係數1w_2">#REF!</definedName>
    <definedName name="spike高風力係數1w_3">#REF!</definedName>
    <definedName name="spike高風力係數1w_4">#REF!</definedName>
    <definedName name="spike高風力係數2w">#REF!</definedName>
    <definedName name="spike高風力係數2w_1">#REF!</definedName>
    <definedName name="spike高風力係數2w_1_1">#REF!</definedName>
    <definedName name="spike高風力係數2w_1_2">#REF!</definedName>
    <definedName name="spike高風力係數2w_1_3">#REF!</definedName>
    <definedName name="spike高風力係數2w_1_4">#REF!</definedName>
    <definedName name="spike高風力係數2w_2">#REF!</definedName>
    <definedName name="spike高風力係數2w_3">#REF!</definedName>
    <definedName name="spike高風力係數2w_4">#REF!</definedName>
    <definedName name="spike高風力係數3w">#REF!</definedName>
    <definedName name="spike高風力係數3w_1">#REF!</definedName>
    <definedName name="spike高風力係數3w_1_1">#REF!</definedName>
    <definedName name="spike高風力係數3w_1_2">#REF!</definedName>
    <definedName name="spike高風力係數3w_1_3">#REF!</definedName>
    <definedName name="spike高風力係數3w_1_4">#REF!</definedName>
    <definedName name="spike高風力係數3w_2">#REF!</definedName>
    <definedName name="spike高風力係數3w_3">#REF!</definedName>
    <definedName name="spike高風力係數3w_4">#REF!</definedName>
    <definedName name="spike高高度係數1w">#REF!</definedName>
    <definedName name="spike高高度係數1w_1">#REF!</definedName>
    <definedName name="spike高高度係數1w_1_1">#REF!</definedName>
    <definedName name="spike高高度係數1w_1_2">#REF!</definedName>
    <definedName name="spike高高度係數1w_1_3">#REF!</definedName>
    <definedName name="spike高高度係數1w_1_4">#REF!</definedName>
    <definedName name="spike高高度係數1w_2">#REF!</definedName>
    <definedName name="spike高高度係數1w_3">#REF!</definedName>
    <definedName name="spike高高度係數1w_4">#REF!</definedName>
    <definedName name="spike高高度係數2w">#REF!</definedName>
    <definedName name="spike高高度係數2w_1">#REF!</definedName>
    <definedName name="spike高高度係數2w_1_1">#REF!</definedName>
    <definedName name="spike高高度係數2w_1_2">#REF!</definedName>
    <definedName name="spike高高度係數2w_1_3">#REF!</definedName>
    <definedName name="spike高高度係數2w_1_4">#REF!</definedName>
    <definedName name="spike高高度係數2w_2">#REF!</definedName>
    <definedName name="spike高高度係數2w_3">#REF!</definedName>
    <definedName name="spike高高度係數2w_4">#REF!</definedName>
    <definedName name="spike高高度係數3w">#REF!</definedName>
    <definedName name="spike高高度係數3w_1">#REF!</definedName>
    <definedName name="spike高高度係數3w_1_1">#REF!</definedName>
    <definedName name="spike高高度係數3w_1_2">#REF!</definedName>
    <definedName name="spike高高度係數3w_1_3">#REF!</definedName>
    <definedName name="spike高高度係數3w_1_4">#REF!</definedName>
    <definedName name="spike高高度係數3w_2">#REF!</definedName>
    <definedName name="spike高高度係數3w_3">#REF!</definedName>
    <definedName name="spike高高度係數3w_4">#REF!</definedName>
    <definedName name="TERRENOD">NA()</definedName>
    <definedName name="TERRENOTB">NA()</definedName>
    <definedName name="toma低高度係數1w_1_2">#REF!</definedName>
    <definedName name="toma低高度係數1w_1_3">#REF!</definedName>
    <definedName name="toma低高度係數1w_1_4">#REF!</definedName>
    <definedName name="toma低高度係數1w_2">#REF!</definedName>
    <definedName name="toma低高度係數1w_3">#REF!</definedName>
    <definedName name="toma低高度係數1w_4">#REF!</definedName>
    <definedName name="toma低高度係數2w">#REF!</definedName>
    <definedName name="toma低高度係數2w_1">#REF!</definedName>
    <definedName name="toma低高度係數2w_1_1">#REF!</definedName>
    <definedName name="toma低高度係數2w_1_2">#REF!</definedName>
    <definedName name="toma低高度係數2w_1_3">#REF!</definedName>
    <definedName name="toma低高度係數2w_1_4">#REF!</definedName>
    <definedName name="toma低高度係數2w_2">#REF!</definedName>
    <definedName name="toma低高度係數2w_3">#REF!</definedName>
    <definedName name="toma低高度係數2w_4">#REF!</definedName>
    <definedName name="toma低高度係數3w">#REF!</definedName>
    <definedName name="toma低高度係數3w_1">#REF!</definedName>
    <definedName name="toma低高度係數3w_1_1">#REF!</definedName>
    <definedName name="toma低高度係數3w_1_2">#REF!</definedName>
    <definedName name="toma低高度係數3w_1_3">#REF!</definedName>
    <definedName name="toma低高度係數3w_1_4">#REF!</definedName>
    <definedName name="toma低高度係數3w_2">#REF!</definedName>
    <definedName name="toma低高度係數3w_3">#REF!</definedName>
    <definedName name="toma低高度係數3w_4">#REF!</definedName>
    <definedName name="toma低高度係數I">#REF!</definedName>
    <definedName name="toma低高度係數I_1">#REF!</definedName>
    <definedName name="toma低高度係數I_1_1">#REF!</definedName>
    <definedName name="toma低高度係數I_1_2">#REF!</definedName>
    <definedName name="toma低高度係數I_1_3">#REF!</definedName>
    <definedName name="toma低高度係數I_1_4">#REF!</definedName>
    <definedName name="toma低高度係數I_2">#REF!</definedName>
    <definedName name="toma低高度係數I_3">#REF!</definedName>
    <definedName name="toma低高度係數I_4">#REF!</definedName>
    <definedName name="toma高高度係數1w">#REF!</definedName>
    <definedName name="toma高高度係數1w_1">#REF!</definedName>
    <definedName name="toma高高度係數1w_1_1">#REF!</definedName>
    <definedName name="toma高高度係數1w_1_2">#REF!</definedName>
    <definedName name="toma高高度係數1w_1_3">#REF!</definedName>
    <definedName name="toma高高度係數1w_1_4">#REF!</definedName>
    <definedName name="toma高高度係數1w_2">#REF!</definedName>
    <definedName name="toma高高度係數1w_3">#REF!</definedName>
    <definedName name="toma高高度係數1w_4">#REF!</definedName>
    <definedName name="toma高高度係數2w">#REF!</definedName>
    <definedName name="toma高高度係數2w_1">#REF!</definedName>
    <definedName name="toma高高度係數2w_1_1">#REF!</definedName>
    <definedName name="toma高高度係數2w_1_2">#REF!</definedName>
    <definedName name="toma高高度係數2w_1_3">#REF!</definedName>
    <definedName name="toma高高度係數2w_1_4">#REF!</definedName>
    <definedName name="toma高高度係數2w_2">#REF!</definedName>
    <definedName name="toma高高度係數2w_3">#REF!</definedName>
    <definedName name="toma高高度係數2w_4">#REF!</definedName>
    <definedName name="toma高高度係數3w">#REF!</definedName>
    <definedName name="toma高高度係數3w_1">#REF!</definedName>
    <definedName name="toma高高度係數3w_1_1">#REF!</definedName>
    <definedName name="toma高高度係數3w_1_2">#REF!</definedName>
    <definedName name="toma高高度係數3w_1_3">#REF!</definedName>
    <definedName name="toma高高度係數3w_1_4">#REF!</definedName>
    <definedName name="toma高高度係數3w_2">#REF!</definedName>
    <definedName name="toma高高度係數3w_3">#REF!</definedName>
    <definedName name="toma高高度係數3w_4">#REF!</definedName>
    <definedName name="toma高高度係數I">#REF!</definedName>
    <definedName name="toma高高度係數I_1">#REF!</definedName>
    <definedName name="toma高高度係數I_1_1">#REF!</definedName>
    <definedName name="toma高高度係數I_1_2">#REF!</definedName>
    <definedName name="toma高高度係數I_1_3">#REF!</definedName>
    <definedName name="toma高高度係數I_1_4">#REF!</definedName>
    <definedName name="toma高高度係數I_2">#REF!</definedName>
    <definedName name="toma高高度係數I_3">#REF!</definedName>
    <definedName name="toma高高度係數I_4">#REF!</definedName>
    <definedName name="tor">#REF!</definedName>
    <definedName name="Trw">#REF!</definedName>
    <definedName name="tyfiugk">#REF!</definedName>
    <definedName name="V">NA()</definedName>
    <definedName name="waerslayer">#REF!</definedName>
    <definedName name="Water">#REF!</definedName>
    <definedName name="waterslayer">#REF!</definedName>
    <definedName name="waterslayer01">#REF!</definedName>
    <definedName name="waterslyer">#REF!</definedName>
    <definedName name="zz7554641">#REF!</definedName>
    <definedName name="zzzz1953">#REF!</definedName>
    <definedName name="zzzz2">#REF!</definedName>
    <definedName name="zzzz2246">#REF!</definedName>
    <definedName name="zzzz24565">#REF!</definedName>
    <definedName name="zzzz24653554344">#REF!</definedName>
    <definedName name="zzzz254331">#REF!</definedName>
    <definedName name="โท2i">#REF!</definedName>
    <definedName name="ห">#REF!</definedName>
    <definedName name="หหห">#REF!</definedName>
    <definedName name="로스">#N/A</definedName>
    <definedName name="로스_11">"#N/A"</definedName>
    <definedName name="로스_12">"#N/A"</definedName>
    <definedName name="로스트">#N/A</definedName>
    <definedName name="로스트_11">"#N/A"</definedName>
    <definedName name="로스트_12">"#N/A"</definedName>
    <definedName name="主橫風量">'[2]Wind Hill亂風整合'!$F$6</definedName>
    <definedName name="主直風量">'[2]Wind Hill亂風整合'!$F$4</definedName>
    <definedName name="主風力">'[2]Wind Hill亂風整合'!$B$3</definedName>
    <definedName name="主風成數">'[2]Wind Hill亂風整合'!$E$4</definedName>
    <definedName name="主風比">'[2]Wind Hill亂風整合'!$B$7</definedName>
    <definedName name="主風角">'[2]Wind Hill亂風整合'!$B$4</definedName>
    <definedName name="亂橫風量">'[2]Wind Hill亂風整合'!$H$6</definedName>
    <definedName name="亂直風量">'[2]Wind Hill亂風整合'!$H$4</definedName>
    <definedName name="亂風力">'[2]Wind Hill亂風整合'!$C$3</definedName>
    <definedName name="亂風成數">'[2]Wind Hill亂風整合'!$G$4</definedName>
    <definedName name="亂風角">'[2]Wind Hill亂風整合'!$B$5</definedName>
    <definedName name="切球地型係數_1_2">#REF!</definedName>
    <definedName name="切球地型係數_1_3">#REF!</definedName>
    <definedName name="切球地型係數_1_4">#REF!</definedName>
    <definedName name="切球地型係數_2">#REF!</definedName>
    <definedName name="切球地型係數_3">#REF!</definedName>
    <definedName name="切球地型係數_4">#REF!</definedName>
    <definedName name="力道差飛距1w">#REF!</definedName>
    <definedName name="力道差飛距1w_1">#REF!</definedName>
    <definedName name="力道差飛距1w_1_1">#REF!</definedName>
    <definedName name="力道差飛距1w_1_2">#REF!</definedName>
    <definedName name="力道差飛距1w_1_3">#REF!</definedName>
    <definedName name="力道差飛距1w_1_4">#REF!</definedName>
    <definedName name="力道差飛距1w_2">#REF!</definedName>
    <definedName name="力道差飛距1w_3">#REF!</definedName>
    <definedName name="力道差飛距1w_4">#REF!</definedName>
    <definedName name="力道差飛距2w">#REF!</definedName>
    <definedName name="力道差飛距2w_1">#REF!</definedName>
    <definedName name="力道差飛距2w_1_1">#REF!</definedName>
    <definedName name="力道差飛距2w_1_2">#REF!</definedName>
    <definedName name="力道差飛距2w_1_3">#REF!</definedName>
    <definedName name="力道差飛距2w_1_4">#REF!</definedName>
    <definedName name="力道差飛距2w_2">#REF!</definedName>
    <definedName name="力道差飛距2w_3">#REF!</definedName>
    <definedName name="力道差飛距2w_4">#REF!</definedName>
    <definedName name="力道差飛距3w">#REF!</definedName>
    <definedName name="力道差飛距3w_1">#REF!</definedName>
    <definedName name="力道差飛距3w_1_1">#REF!</definedName>
    <definedName name="力道差飛距3w_1_2">#REF!</definedName>
    <definedName name="力道差飛距3w_1_3">#REF!</definedName>
    <definedName name="力道差飛距3w_1_4">#REF!</definedName>
    <definedName name="力道差飛距3w_2">#REF!</definedName>
    <definedName name="力道差飛距3w_3">#REF!</definedName>
    <definedName name="力道差飛距3w_4">#REF!</definedName>
    <definedName name="力量值">#REF!</definedName>
    <definedName name="力量值_1">#REF!</definedName>
    <definedName name="力量值_1_1">#REF!</definedName>
    <definedName name="力量值_1_2">#REF!</definedName>
    <definedName name="力量值_1_3">#REF!</definedName>
    <definedName name="力量值_1_4">#REF!</definedName>
    <definedName name="力量值_2">#REF!</definedName>
    <definedName name="力量值_3">#REF!</definedName>
    <definedName name="力量值_4">#REF!</definedName>
    <definedName name="力量增減值">#REF!</definedName>
    <definedName name="力量增減值_1">#REF!</definedName>
    <definedName name="力量增減值_1_1">#REF!</definedName>
    <definedName name="力量增減值_1_2">#REF!</definedName>
    <definedName name="力量增減值_1_3">#REF!</definedName>
    <definedName name="力量增減值_1_4">#REF!</definedName>
    <definedName name="力量增減值_2">#REF!</definedName>
    <definedName name="力量增減值_3">#REF!</definedName>
    <definedName name="力量增減值_4">#REF!</definedName>
    <definedName name="地偏斷點">#REF!</definedName>
    <definedName name="地偏斷點_1">#REF!</definedName>
    <definedName name="地偏斷點_1_1">#REF!</definedName>
    <definedName name="地偏斷點_1_2">#REF!</definedName>
    <definedName name="地偏斷點_1_3">#REF!</definedName>
    <definedName name="地偏斷點_1_4">#REF!</definedName>
    <definedName name="地偏斷點_2">#REF!</definedName>
    <definedName name="地偏斷點_3">#REF!</definedName>
    <definedName name="地偏斷點_4">#REF!</definedName>
    <definedName name="地偏斷點係數1w">#REF!</definedName>
    <definedName name="地偏斷點係數1w_1">#REF!</definedName>
    <definedName name="地偏斷點係數1w_1_1">#REF!</definedName>
    <definedName name="地偏斷點係數1w_1_2">#REF!</definedName>
    <definedName name="地偏斷點係數1w_1_3">#REF!</definedName>
    <definedName name="地偏斷點係數1w_1_4">#REF!</definedName>
    <definedName name="地偏斷點係數1w_2">#REF!</definedName>
    <definedName name="地偏斷點係數1w_3">#REF!</definedName>
    <definedName name="地偏斷點係數1w_4">#REF!</definedName>
    <definedName name="地偏斷點係數2w">#REF!</definedName>
    <definedName name="地偏斷點係數2w_1">#REF!</definedName>
    <definedName name="地偏斷點係數2w_1_1">#REF!</definedName>
    <definedName name="地偏斷點係數2w_1_2">#REF!</definedName>
    <definedName name="地偏斷點係數2w_1_3">#REF!</definedName>
    <definedName name="地偏斷點係數2w_1_4">#REF!</definedName>
    <definedName name="地偏斷點係數2w_2">#REF!</definedName>
    <definedName name="地偏斷點係數2w_3">#REF!</definedName>
    <definedName name="地偏斷點係數2w_4">#REF!</definedName>
    <definedName name="地偏斷點係數3w">#REF!</definedName>
    <definedName name="地偏斷點係數3w_1">#REF!</definedName>
    <definedName name="地偏斷點係數3w_1_1">#REF!</definedName>
    <definedName name="地偏斷點係數3w_1_2">#REF!</definedName>
    <definedName name="地偏斷點係數3w_1_3">#REF!</definedName>
    <definedName name="地偏斷點係數3w_1_4">#REF!</definedName>
    <definedName name="地偏斷點係數3w_2">#REF!</definedName>
    <definedName name="地偏斷點係數3w_3">#REF!</definedName>
    <definedName name="地偏斷點係數3w_4">#REF!</definedName>
    <definedName name="拉旋_1_2">#REF!</definedName>
    <definedName name="拉旋_1_3">#REF!</definedName>
    <definedName name="拉旋_1_4">#REF!</definedName>
    <definedName name="拉旋_2">#REF!</definedName>
    <definedName name="拉旋_3">#REF!</definedName>
    <definedName name="拉旋_4">#REF!</definedName>
    <definedName name="拉球力道加成1w">#REF!</definedName>
    <definedName name="拉球力道加成1w_1">#REF!</definedName>
    <definedName name="拉球力道加成1w_1_1">#REF!</definedName>
    <definedName name="拉球力道加成1w_1_2">#REF!</definedName>
    <definedName name="拉球力道加成1w_1_3">#REF!</definedName>
    <definedName name="拉球力道加成1w_1_4">#REF!</definedName>
    <definedName name="拉球力道加成1w_2">#REF!</definedName>
    <definedName name="拉球力道加成1w_3">#REF!</definedName>
    <definedName name="拉球力道加成1w_4">#REF!</definedName>
    <definedName name="拉球力道加成2w">#REF!</definedName>
    <definedName name="拉球力道加成2w_1">#REF!</definedName>
    <definedName name="拉球力道加成2w_1_1">#REF!</definedName>
    <definedName name="拉球力道加成2w_1_2">#REF!</definedName>
    <definedName name="拉球力道加成2w_1_3">#REF!</definedName>
    <definedName name="拉球力道加成2w_1_4">#REF!</definedName>
    <definedName name="拉球力道加成2w_2">#REF!</definedName>
    <definedName name="拉球力道加成2w_3">#REF!</definedName>
    <definedName name="拉球力道加成2w_4">#REF!</definedName>
    <definedName name="拉球力道加成3w">#REF!</definedName>
    <definedName name="拉球力道加成3w_1">#REF!</definedName>
    <definedName name="拉球力道加成3w_1_1">#REF!</definedName>
    <definedName name="拉球力道加成3w_1_2">#REF!</definedName>
    <definedName name="拉球力道加成3w_1_3">#REF!</definedName>
    <definedName name="拉球力道加成3w_1_4">#REF!</definedName>
    <definedName name="拉球力道加成3w_2">#REF!</definedName>
    <definedName name="拉球力道加成3w_3">#REF!</definedName>
    <definedName name="拉球力道加成3w_4">#REF!</definedName>
    <definedName name="拉球地型係數">#REF!</definedName>
    <definedName name="拉球地型係數_1">#REF!</definedName>
    <definedName name="拉球地型係數_1_1">#REF!</definedName>
    <definedName name="拉球地型係數_1_2">#REF!</definedName>
    <definedName name="拉球地型係數_1_3">#REF!</definedName>
    <definedName name="拉球地型係數_1_4">#REF!</definedName>
    <definedName name="拉球地型係數_2">#REF!</definedName>
    <definedName name="拉球地型係數_3">#REF!</definedName>
    <definedName name="拉球地型係數_4">#REF!</definedName>
    <definedName name="拉空">#REF!</definedName>
    <definedName name="拉空_1">#REF!</definedName>
    <definedName name="拉空_1_1">#REF!</definedName>
    <definedName name="拉空_1_2">#REF!</definedName>
    <definedName name="拉空_1_3">#REF!</definedName>
    <definedName name="拉空_1_4">#REF!</definedName>
    <definedName name="拉空_2">#REF!</definedName>
    <definedName name="拉空_3">#REF!</definedName>
    <definedName name="拉空_4">#REF!</definedName>
    <definedName name="拉空偏移">#REF!</definedName>
    <definedName name="拉空偏移_1">#REF!</definedName>
    <definedName name="拉空偏移_1_1">#REF!</definedName>
    <definedName name="拉空偏移_1_2">#REF!</definedName>
    <definedName name="拉空偏移_1_3">#REF!</definedName>
    <definedName name="拉空偏移_1_4">#REF!</definedName>
    <definedName name="拉空偏移_2">#REF!</definedName>
    <definedName name="拉空偏移_3">#REF!</definedName>
    <definedName name="拉空偏移_4">#REF!</definedName>
    <definedName name="拉空偏移修正">#REF!</definedName>
    <definedName name="拉空偏移修正_1">#REF!</definedName>
    <definedName name="拉空偏移修正_1_1">#REF!</definedName>
    <definedName name="拉空偏移修正_1_2">#REF!</definedName>
    <definedName name="拉空偏移修正_1_3">#REF!</definedName>
    <definedName name="拉空偏移修正_1_4">#REF!</definedName>
    <definedName name="拉空偏移修正_2">#REF!</definedName>
    <definedName name="拉空偏移修正_3">#REF!</definedName>
    <definedName name="拉空偏移修正_4">#REF!</definedName>
    <definedName name="拉空開關">#REF!</definedName>
    <definedName name="拉空開關_1">#REF!</definedName>
    <definedName name="拉空開關_1_1">#REF!</definedName>
    <definedName name="拉空開關_1_2">#REF!</definedName>
    <definedName name="拉空開關_1_3">#REF!</definedName>
    <definedName name="拉空開關_1_4">#REF!</definedName>
    <definedName name="拉空開關_2">#REF!</definedName>
    <definedName name="拉空開關_3">#REF!</definedName>
    <definedName name="拉空開關_4">#REF!</definedName>
    <definedName name="最大1w桿長">#REF!</definedName>
    <definedName name="最大1w桿長_1">#REF!</definedName>
    <definedName name="最大1w桿長_1_1">#REF!</definedName>
    <definedName name="最大1w桿長_1_2">#REF!</definedName>
    <definedName name="最大1w桿長_1_3">#REF!</definedName>
    <definedName name="最大1w桿長_1_4">#REF!</definedName>
    <definedName name="最大1w桿長_2">#REF!</definedName>
    <definedName name="最大1w桿長_3">#REF!</definedName>
    <definedName name="最大1w桿長_4">#REF!</definedName>
    <definedName name="最大1w炸距">#REF!</definedName>
    <definedName name="最大1w炸距_1">#REF!</definedName>
    <definedName name="最大1w炸距_1_1">#REF!</definedName>
    <definedName name="最大1w炸距_1_2">#REF!</definedName>
    <definedName name="最大1w炸距_1_3">#REF!</definedName>
    <definedName name="最大1w炸距_1_4">#REF!</definedName>
    <definedName name="最大1w炸距_2">#REF!</definedName>
    <definedName name="最大1w炸距_3">#REF!</definedName>
    <definedName name="最大1w炸距_4">#REF!</definedName>
    <definedName name="最大1w釘距">#REF!</definedName>
    <definedName name="最大1w釘距_1">#REF!</definedName>
    <definedName name="最大1w釘距_1_1">#REF!</definedName>
    <definedName name="最大1w釘距_1_2">#REF!</definedName>
    <definedName name="最大1w釘距_1_3">#REF!</definedName>
    <definedName name="最大1w釘距_1_4">#REF!</definedName>
    <definedName name="最大1w釘距_2">#REF!</definedName>
    <definedName name="最大1w釘距_3">#REF!</definedName>
    <definedName name="最大1w釘距_4">#REF!</definedName>
    <definedName name="最大2w桿長">#REF!</definedName>
    <definedName name="最大2w桿長_1">#REF!</definedName>
    <definedName name="最大2w桿長_1_1">#REF!</definedName>
    <definedName name="最大2w桿長_1_2">#REF!</definedName>
    <definedName name="最大2w桿長_1_3">#REF!</definedName>
    <definedName name="最大2w桿長_1_4">#REF!</definedName>
    <definedName name="最大2w桿長_2">#REF!</definedName>
    <definedName name="最大2w桿長_3">#REF!</definedName>
    <definedName name="最大2w桿長_4">#REF!</definedName>
    <definedName name="最大2w炸距">#REF!</definedName>
    <definedName name="最大2w炸距_1">#REF!</definedName>
    <definedName name="最大2w炸距_1_1">#REF!</definedName>
    <definedName name="最大2w炸距_1_2">#REF!</definedName>
    <definedName name="最大2w炸距_1_3">#REF!</definedName>
    <definedName name="最大2w炸距_1_4">#REF!</definedName>
    <definedName name="最大2w炸距_2">#REF!</definedName>
    <definedName name="最大2w炸距_3">#REF!</definedName>
    <definedName name="最大2w炸距_4">#REF!</definedName>
    <definedName name="最大2w釘距">#REF!</definedName>
    <definedName name="最大2w釘距_1">#REF!</definedName>
    <definedName name="最大2w釘距_1_1">#REF!</definedName>
    <definedName name="最大2w釘距_1_2">#REF!</definedName>
    <definedName name="最大2w釘距_1_3">#REF!</definedName>
    <definedName name="最大2w釘距_1_4">#REF!</definedName>
    <definedName name="最大2w釘距_2">#REF!</definedName>
    <definedName name="最大2w釘距_3">#REF!</definedName>
    <definedName name="最大2w釘距_4">#REF!</definedName>
    <definedName name="最大3w桿長">#REF!</definedName>
    <definedName name="最大3w桿長_1">#REF!</definedName>
    <definedName name="最大3w桿長_1_1">#REF!</definedName>
    <definedName name="最大3w桿長_1_2">#REF!</definedName>
    <definedName name="最大3w桿長_1_3">#REF!</definedName>
    <definedName name="最大3w桿長_1_4">#REF!</definedName>
    <definedName name="最大3w桿長_2">#REF!</definedName>
    <definedName name="最大3w桿長_3">#REF!</definedName>
    <definedName name="最大3w桿長_4">#REF!</definedName>
    <definedName name="最大3w炸距">#REF!</definedName>
    <definedName name="最大3w炸距_1">#REF!</definedName>
    <definedName name="最大3w炸距_1_1">#REF!</definedName>
    <definedName name="最大3w炸距_1_2">#REF!</definedName>
    <definedName name="最大3w炸距_1_3">#REF!</definedName>
    <definedName name="最大3w炸距_1_4">#REF!</definedName>
    <definedName name="最大3w炸距_2">#REF!</definedName>
    <definedName name="最大3w炸距_3">#REF!</definedName>
    <definedName name="最大3w炸距_4">#REF!</definedName>
    <definedName name="最大3w釘距">#REF!</definedName>
    <definedName name="最大3w釘距_1">#REF!</definedName>
    <definedName name="最大3w釘距_1_1">#REF!</definedName>
    <definedName name="最大3w釘距_1_2">#REF!</definedName>
    <definedName name="最大3w釘距_1_3">#REF!</definedName>
    <definedName name="最大3w釘距_1_4">#REF!</definedName>
    <definedName name="最大3w釘距_2">#REF!</definedName>
    <definedName name="最大3w釘距_3">#REF!</definedName>
    <definedName name="最大3w釘距_4">#REF!</definedName>
    <definedName name="桿長係數1w">#REF!</definedName>
    <definedName name="桿長係數1w_1">#REF!</definedName>
    <definedName name="桿長係數1w_1_1">#REF!</definedName>
    <definedName name="桿長係數1w_1_2">#REF!</definedName>
    <definedName name="桿長係數1w_1_3">#REF!</definedName>
    <definedName name="桿長係數1w_1_4">#REF!</definedName>
    <definedName name="桿長係數1w_2">#REF!</definedName>
    <definedName name="桿長係數1w_3">#REF!</definedName>
    <definedName name="桿長係數1w_4">#REF!</definedName>
    <definedName name="桿長係數2w">#REF!</definedName>
    <definedName name="桿長係數2w_1">#REF!</definedName>
    <definedName name="桿長係數2w_1_1">#REF!</definedName>
    <definedName name="桿長係數2w_1_2">#REF!</definedName>
    <definedName name="桿長係數2w_1_3">#REF!</definedName>
    <definedName name="桿長係數2w_1_4">#REF!</definedName>
    <definedName name="桿長係數2w_2">#REF!</definedName>
    <definedName name="桿長係數2w_3">#REF!</definedName>
    <definedName name="桿長係數2w_4">#REF!</definedName>
    <definedName name="桿長係數3w">#REF!</definedName>
    <definedName name="桿長係數3w_1">#REF!</definedName>
    <definedName name="桿長係數3w_1_1">#REF!</definedName>
    <definedName name="桿長係數3w_1_2">#REF!</definedName>
    <definedName name="桿長係數3w_1_3">#REF!</definedName>
    <definedName name="桿長係數3w_1_4">#REF!</definedName>
    <definedName name="桿長係數3w_2">#REF!</definedName>
    <definedName name="桿長係數3w_3">#REF!</definedName>
    <definedName name="桿長係數3w_4">#REF!</definedName>
    <definedName name="橫風量">#REF!</definedName>
    <definedName name="橫風量_1">#REF!</definedName>
    <definedName name="橫風量_1_1">#REF!</definedName>
    <definedName name="橫風量_1_2">#REF!</definedName>
    <definedName name="橫風量_1_3">#REF!</definedName>
    <definedName name="橫風量_1_4">#REF!</definedName>
    <definedName name="橫風量_2">#REF!</definedName>
    <definedName name="橫風量_3">#REF!</definedName>
    <definedName name="橫風量_4">#REF!</definedName>
    <definedName name="深紅戒">#REF!</definedName>
    <definedName name="深紅戒_1">#REF!</definedName>
    <definedName name="深紅戒_1_1">#REF!</definedName>
    <definedName name="深紅戒_1_2">#REF!</definedName>
    <definedName name="深紅戒_1_3">#REF!</definedName>
    <definedName name="深紅戒_1_4">#REF!</definedName>
    <definedName name="深紅戒_2">#REF!</definedName>
    <definedName name="深紅戒_3">#REF!</definedName>
    <definedName name="深紅戒_4">#REF!</definedName>
    <definedName name="深紅戒6I係數">#REF!</definedName>
    <definedName name="深紅戒6I係數_1">#REF!</definedName>
    <definedName name="深紅戒6I係數_1_1">#REF!</definedName>
    <definedName name="深紅戒6I係數_1_2">#REF!</definedName>
    <definedName name="深紅戒6I係數_1_3">#REF!</definedName>
    <definedName name="深紅戒6I係數_1_4">#REF!</definedName>
    <definedName name="深紅戒6I係數_2">#REF!</definedName>
    <definedName name="深紅戒6I係數_3">#REF!</definedName>
    <definedName name="深紅戒6I係數_4">#REF!</definedName>
    <definedName name="炸偏係數1w">#REF!</definedName>
    <definedName name="炸偏係數1w_1">#REF!</definedName>
    <definedName name="炸偏係數1w_1_1">#REF!</definedName>
    <definedName name="炸偏係數1w_1_2">#REF!</definedName>
    <definedName name="炸偏係數1w_1_3">#REF!</definedName>
    <definedName name="炸偏係數1w_1_4">#REF!</definedName>
    <definedName name="炸偏係數1w_2">#REF!</definedName>
    <definedName name="炸偏係數1w_3">#REF!</definedName>
    <definedName name="炸偏係數1w_4">#REF!</definedName>
    <definedName name="炸偏係數2I">#REF!</definedName>
    <definedName name="炸偏係數2I_1">#REF!</definedName>
    <definedName name="炸偏係數2I_1_1">#REF!</definedName>
    <definedName name="炸偏係數2I_1_2">#REF!</definedName>
    <definedName name="炸偏係數2I_1_3">#REF!</definedName>
    <definedName name="炸偏係數2I_1_4">#REF!</definedName>
    <definedName name="炸偏係數2I_2">#REF!</definedName>
    <definedName name="炸偏係數2I_3">#REF!</definedName>
    <definedName name="炸偏係數2I_4">#REF!</definedName>
    <definedName name="炸偏係數2w">#REF!</definedName>
    <definedName name="炸偏係數2w_1">#REF!</definedName>
    <definedName name="炸偏係數2w_1_1">#REF!</definedName>
    <definedName name="炸偏係數2w_1_2">#REF!</definedName>
    <definedName name="炸偏係數2w_1_3">#REF!</definedName>
    <definedName name="炸偏係數2w_1_4">#REF!</definedName>
    <definedName name="炸偏係數2w_2">#REF!</definedName>
    <definedName name="炸偏係數2w_3">#REF!</definedName>
    <definedName name="炸偏係數2w_4">#REF!</definedName>
    <definedName name="炸偏係數3I">#REF!</definedName>
    <definedName name="炸偏係數3I_1">#REF!</definedName>
    <definedName name="炸偏係數3I_1_1">#REF!</definedName>
    <definedName name="炸偏係數3I_1_2">#REF!</definedName>
    <definedName name="炸偏係數3I_1_3">#REF!</definedName>
    <definedName name="炸偏係數3I_1_4">#REF!</definedName>
    <definedName name="炸偏係數3I_2">#REF!</definedName>
    <definedName name="炸偏係數3I_3">#REF!</definedName>
    <definedName name="炸偏係數3I_4">#REF!</definedName>
    <definedName name="炸偏係數3w">#REF!</definedName>
    <definedName name="炸偏係數3w_1">#REF!</definedName>
    <definedName name="炸偏係數3w_1_1">#REF!</definedName>
    <definedName name="炸偏係數3w_1_2">#REF!</definedName>
    <definedName name="炸偏係數3w_1_3">#REF!</definedName>
    <definedName name="炸偏係數3w_1_4">#REF!</definedName>
    <definedName name="炸偏係數3w_2">#REF!</definedName>
    <definedName name="炸偏係數3w_3">#REF!</definedName>
    <definedName name="炸偏係數3w_4">#REF!</definedName>
    <definedName name="炸偏係數4I">#REF!</definedName>
    <definedName name="炸偏係數4I_1">#REF!</definedName>
    <definedName name="炸偏係數4I_1_1">#REF!</definedName>
    <definedName name="炸偏係數4I_1_2">#REF!</definedName>
    <definedName name="炸偏係數4I_1_3">#REF!</definedName>
    <definedName name="炸偏係數4I_1_4">#REF!</definedName>
    <definedName name="炸偏係數4I_2">#REF!</definedName>
    <definedName name="炸偏係數4I_3">#REF!</definedName>
    <definedName name="炸偏係數4I_4">#REF!</definedName>
    <definedName name="炸偏係數5I">#REF!</definedName>
    <definedName name="炸偏係數5I_1">#REF!</definedName>
    <definedName name="炸偏係數5I_1_1">#REF!</definedName>
    <definedName name="炸偏係數5I_1_2">#REF!</definedName>
    <definedName name="炸偏係數5I_1_3">#REF!</definedName>
    <definedName name="炸偏係數5I_1_4">#REF!</definedName>
    <definedName name="炸偏係數5I_2">#REF!</definedName>
    <definedName name="炸偏係數5I_3">#REF!</definedName>
    <definedName name="炸偏係數5I_4">#REF!</definedName>
    <definedName name="炸偏係數6I">#REF!</definedName>
    <definedName name="炸偏係數6I_1">#REF!</definedName>
    <definedName name="炸偏係數6I_1_1">#REF!</definedName>
    <definedName name="炸偏係數6I_1_2">#REF!</definedName>
    <definedName name="炸偏係數6I_1_3">#REF!</definedName>
    <definedName name="炸偏係數6I_1_4">#REF!</definedName>
    <definedName name="炸偏係數6I_2">#REF!</definedName>
    <definedName name="炸偏係數6I_3">#REF!</definedName>
    <definedName name="炸偏係數6I_4">#REF!</definedName>
    <definedName name="炸偏係數7I">#REF!</definedName>
    <definedName name="炸偏係數7I_1">#REF!</definedName>
    <definedName name="炸偏係數7I_1_1">#REF!</definedName>
    <definedName name="炸偏係數7I_1_2">#REF!</definedName>
    <definedName name="炸偏係數7I_1_3">#REF!</definedName>
    <definedName name="炸偏係數7I_1_4">#REF!</definedName>
    <definedName name="炸偏係數7I_2">#REF!</definedName>
    <definedName name="炸偏係數7I_3">#REF!</definedName>
    <definedName name="炸偏係數7I_4">#REF!</definedName>
    <definedName name="炸偏係數8I">#REF!</definedName>
    <definedName name="炸偏係數8I_1">#REF!</definedName>
    <definedName name="炸偏係數8I_1_1">#REF!</definedName>
    <definedName name="炸偏係數8I_1_2">#REF!</definedName>
    <definedName name="炸偏係數8I_1_3">#REF!</definedName>
    <definedName name="炸偏係數8I_1_4">#REF!</definedName>
    <definedName name="炸偏係數8I_2">#REF!</definedName>
    <definedName name="炸偏係數8I_3">#REF!</definedName>
    <definedName name="炸偏係數8I_4">#REF!</definedName>
    <definedName name="炸偏係數9I">#REF!</definedName>
    <definedName name="炸偏係數9I_1">#REF!</definedName>
    <definedName name="炸偏係數9I_1_1">#REF!</definedName>
    <definedName name="炸偏係數9I_1_2">#REF!</definedName>
    <definedName name="炸偏係數9I_1_3">#REF!</definedName>
    <definedName name="炸偏係數9I_1_4">#REF!</definedName>
    <definedName name="炸偏係數9I_2">#REF!</definedName>
    <definedName name="炸偏係數9I_3">#REF!</definedName>
    <definedName name="炸偏係數9I_4">#REF!</definedName>
    <definedName name="炸球地型係數">#REF!</definedName>
    <definedName name="炸球地型係數_1">#REF!</definedName>
    <definedName name="炸球地型係數_1_1">#REF!</definedName>
    <definedName name="炸球地型係數_1_2">#REF!</definedName>
    <definedName name="炸球地型係數_1_3">#REF!</definedName>
    <definedName name="炸球地型係數_1_4">#REF!</definedName>
    <definedName name="炸球地型係數_2">#REF!</definedName>
    <definedName name="炸球地型係數_3">#REF!</definedName>
    <definedName name="炸球地型係數_4">#REF!</definedName>
    <definedName name="爆氣">#REF!</definedName>
    <definedName name="爆氣_1">#REF!</definedName>
    <definedName name="爆氣_1_1">#REF!</definedName>
    <definedName name="爆氣_1_2">#REF!</definedName>
    <definedName name="爆氣_1_3">#REF!</definedName>
    <definedName name="爆氣_1_4">#REF!</definedName>
    <definedName name="爆氣_2">#REF!</definedName>
    <definedName name="爆氣_3">#REF!</definedName>
    <definedName name="爆氣_4">#REF!</definedName>
    <definedName name="直升機橫風係數">#REF!</definedName>
    <definedName name="直升機橫風係數_1">#REF!</definedName>
    <definedName name="直升機橫風係數_1_1">#REF!</definedName>
    <definedName name="直升機橫風係數_1_2">#REF!</definedName>
    <definedName name="直升機橫風係數_1_3">#REF!</definedName>
    <definedName name="直升機橫風係數_1_4">#REF!</definedName>
    <definedName name="直升機橫風係數_2">#REF!</definedName>
    <definedName name="直升機橫風係數_3">#REF!</definedName>
    <definedName name="直升機橫風係數_4">#REF!</definedName>
    <definedName name="直升機直風係數">#REF!</definedName>
    <definedName name="直升機直風係數_1">#REF!</definedName>
    <definedName name="直升機直風係數_1_1">#REF!</definedName>
    <definedName name="直升機直風係數_1_2">#REF!</definedName>
    <definedName name="直升機直風係數_1_3">#REF!</definedName>
    <definedName name="直升機直風係數_1_4">#REF!</definedName>
    <definedName name="直升機直風係數_2">#REF!</definedName>
    <definedName name="直升機直風係數_3">#REF!</definedName>
    <definedName name="直升機直風係數_4">#REF!</definedName>
    <definedName name="直風量">#REF!</definedName>
    <definedName name="直風量_1">#REF!</definedName>
    <definedName name="直風量_1_1">#REF!</definedName>
    <definedName name="直風量_1_2">#REF!</definedName>
    <definedName name="直風量_1_3">#REF!</definedName>
    <definedName name="直風量_1_4">#REF!</definedName>
    <definedName name="直風量_2">#REF!</definedName>
    <definedName name="直風量_3">#REF!</definedName>
    <definedName name="直風量_4">#REF!</definedName>
    <definedName name="蛇偏係數1w">#REF!</definedName>
    <definedName name="蛇偏係數1w_1">#REF!</definedName>
    <definedName name="蛇偏係數1w_1_1">#REF!</definedName>
    <definedName name="蛇偏係數1w_1_2">#REF!</definedName>
    <definedName name="蛇偏係數1w_1_3">#REF!</definedName>
    <definedName name="蛇偏係數1w_1_4">#REF!</definedName>
    <definedName name="蛇偏係數1w_2">#REF!</definedName>
    <definedName name="蛇偏係數1w_3">#REF!</definedName>
    <definedName name="蛇偏係數1w_4">#REF!</definedName>
    <definedName name="蛇偏係數2w">#REF!</definedName>
    <definedName name="蛇偏係數2w_1">#REF!</definedName>
    <definedName name="蛇偏係數2w_1_1">#REF!</definedName>
    <definedName name="蛇偏係數2w_1_2">#REF!</definedName>
    <definedName name="蛇偏係數2w_1_3">#REF!</definedName>
    <definedName name="蛇偏係數2w_1_4">#REF!</definedName>
    <definedName name="蛇偏係數2w_2">#REF!</definedName>
    <definedName name="蛇偏係數2w_3">#REF!</definedName>
    <definedName name="蛇偏係數2w_4">#REF!</definedName>
    <definedName name="蛇偏係數3w">#REF!</definedName>
    <definedName name="蛇偏係數3w_1">#REF!</definedName>
    <definedName name="蛇偏係數3w_1_1">#REF!</definedName>
    <definedName name="蛇偏係數3w_1_2">#REF!</definedName>
    <definedName name="蛇偏係數3w_1_3">#REF!</definedName>
    <definedName name="蛇偏係數3w_1_4">#REF!</definedName>
    <definedName name="蛇偏係數3w_2">#REF!</definedName>
    <definedName name="蛇偏係數3w_3">#REF!</definedName>
    <definedName name="蛇偏係數3w_4">#REF!</definedName>
    <definedName name="蛇旋">#REF!</definedName>
    <definedName name="蛇旋_1">#REF!</definedName>
    <definedName name="蛇旋_1_1">#REF!</definedName>
    <definedName name="蛇旋_1_2">#REF!</definedName>
    <definedName name="蛇旋_1_3">#REF!</definedName>
    <definedName name="蛇旋_1_4">#REF!</definedName>
    <definedName name="蛇旋_2">#REF!</definedName>
    <definedName name="蛇旋_3">#REF!</definedName>
    <definedName name="蛇旋_4">#REF!</definedName>
    <definedName name="蛇球力道加成1w">#REF!</definedName>
    <definedName name="蛇球力道加成1w_1">#REF!</definedName>
    <definedName name="蛇球力道加成1w_1_1">#REF!</definedName>
    <definedName name="蛇球力道加成1w_1_2">#REF!</definedName>
    <definedName name="蛇球力道加成1w_1_3">#REF!</definedName>
    <definedName name="蛇球力道加成1w_1_4">#REF!</definedName>
    <definedName name="蛇球力道加成1w_2">#REF!</definedName>
    <definedName name="蛇球力道加成1w_3">#REF!</definedName>
    <definedName name="蛇球力道加成1w_4">#REF!</definedName>
    <definedName name="蛇球力道加成2w">#REF!</definedName>
    <definedName name="蛇球力道加成2w_1">#REF!</definedName>
    <definedName name="蛇球力道加成2w_1_1">#REF!</definedName>
    <definedName name="蛇球力道加成2w_1_2">#REF!</definedName>
    <definedName name="蛇球力道加成2w_1_3">#REF!</definedName>
    <definedName name="蛇球力道加成2w_1_4">#REF!</definedName>
    <definedName name="蛇球力道加成2w_2">#REF!</definedName>
    <definedName name="蛇球力道加成2w_3">#REF!</definedName>
    <definedName name="蛇球力道加成2w_4">#REF!</definedName>
    <definedName name="蛇球力道加成3w">#REF!</definedName>
    <definedName name="蛇球力道加成3w_1">#REF!</definedName>
    <definedName name="蛇球力道加成3w_1_1">#REF!</definedName>
    <definedName name="蛇球力道加成3w_1_2">#REF!</definedName>
    <definedName name="蛇球力道加成3w_1_3">#REF!</definedName>
    <definedName name="蛇球力道加成3w_1_4">#REF!</definedName>
    <definedName name="蛇球力道加成3w_2">#REF!</definedName>
    <definedName name="蛇球力道加成3w_3">#REF!</definedName>
    <definedName name="蛇球力道加成3w_4">#REF!</definedName>
    <definedName name="蛇空開關">#REF!</definedName>
    <definedName name="蛇空開關_1">#REF!</definedName>
    <definedName name="蛇空開關_1_1">#REF!</definedName>
    <definedName name="蛇空開關_1_2">#REF!</definedName>
    <definedName name="蛇空開關_1_3">#REF!</definedName>
    <definedName name="蛇空開關_1_4">#REF!</definedName>
    <definedName name="蛇空開關_2">#REF!</definedName>
    <definedName name="蛇空開關_3">#REF!</definedName>
    <definedName name="蛇空開關_4">#REF!</definedName>
    <definedName name="蛇風影響量">#REF!</definedName>
    <definedName name="蛇風影響量_1">#REF!</definedName>
    <definedName name="蛇風影響量_1_1">#REF!</definedName>
    <definedName name="蛇風影響量_1_2">#REF!</definedName>
    <definedName name="蛇風影響量_1_3">#REF!</definedName>
    <definedName name="蛇風影響量_1_4">#REF!</definedName>
    <definedName name="蛇風影響量_2">#REF!</definedName>
    <definedName name="蛇風影響量_3">#REF!</definedName>
    <definedName name="蛇風影響量_4">#REF!</definedName>
    <definedName name="距離">#REF!</definedName>
    <definedName name="距離_1">#REF!</definedName>
    <definedName name="距離_1_1">#REF!</definedName>
    <definedName name="距離_1_2">#REF!</definedName>
    <definedName name="距離_1_3">#REF!</definedName>
    <definedName name="距離_1_4">#REF!</definedName>
    <definedName name="距離_2">#REF!</definedName>
    <definedName name="距離_3">#REF!</definedName>
    <definedName name="距離_4">#REF!</definedName>
    <definedName name="釘偏係數1w">#REF!</definedName>
    <definedName name="釘偏係數1w_1">#REF!</definedName>
    <definedName name="釘偏係數1w_1_1">#REF!</definedName>
    <definedName name="釘偏係數1w_1_2">#REF!</definedName>
    <definedName name="釘偏係數1w_1_3">#REF!</definedName>
    <definedName name="釘偏係數1w_1_4">#REF!</definedName>
    <definedName name="釘偏係數1w_2">#REF!</definedName>
    <definedName name="釘偏係數1w_3">#REF!</definedName>
    <definedName name="釘偏係數1w_4">#REF!</definedName>
    <definedName name="釘偏係數2w">#REF!</definedName>
    <definedName name="釘偏係數2w_1">#REF!</definedName>
    <definedName name="釘偏係數2w_1_1">#REF!</definedName>
    <definedName name="釘偏係數2w_1_2">#REF!</definedName>
    <definedName name="釘偏係數2w_1_3">#REF!</definedName>
    <definedName name="釘偏係數2w_1_4">#REF!</definedName>
    <definedName name="釘偏係數2w_2">#REF!</definedName>
    <definedName name="釘偏係數2w_3">#REF!</definedName>
    <definedName name="釘偏係數2w_4">#REF!</definedName>
    <definedName name="釘偏係數3w">#REF!</definedName>
    <definedName name="釘偏係數3w_1">#REF!</definedName>
    <definedName name="釘偏係數3w_1_1">#REF!</definedName>
    <definedName name="釘偏係數3w_1_2">#REF!</definedName>
    <definedName name="釘偏係數3w_1_3">#REF!</definedName>
    <definedName name="釘偏係數3w_1_4">#REF!</definedName>
    <definedName name="釘偏係數3w_2">#REF!</definedName>
    <definedName name="釘偏係數3w_3">#REF!</definedName>
    <definedName name="釘偏係數3w_4">#REF!</definedName>
    <definedName name="釘偏斷點係數1w">#REF!</definedName>
    <definedName name="釘偏斷點係數1w_1">#REF!</definedName>
    <definedName name="釘偏斷點係數1w_1_1">#REF!</definedName>
    <definedName name="釘偏斷點係數1w_1_2">#REF!</definedName>
    <definedName name="釘偏斷點係數1w_1_3">#REF!</definedName>
    <definedName name="釘偏斷點係數1w_1_4">#REF!</definedName>
    <definedName name="釘偏斷點係數1w_2">#REF!</definedName>
    <definedName name="釘偏斷點係數1w_3">#REF!</definedName>
    <definedName name="釘偏斷點係數1w_4">#REF!</definedName>
    <definedName name="釘偏斷點係數2w">#REF!</definedName>
    <definedName name="釘偏斷點係數2w_1">#REF!</definedName>
    <definedName name="釘偏斷點係數2w_1_1">#REF!</definedName>
    <definedName name="釘偏斷點係數2w_1_2">#REF!</definedName>
    <definedName name="釘偏斷點係數2w_1_3">#REF!</definedName>
    <definedName name="釘偏斷點係數2w_1_4">#REF!</definedName>
    <definedName name="釘偏斷點係數2w_2">#REF!</definedName>
    <definedName name="釘偏斷點係數2w_3">#REF!</definedName>
    <definedName name="釘偏斷點係數2w_4">#REF!</definedName>
    <definedName name="釘偏斷點係數3w">#REF!</definedName>
    <definedName name="釘偏斷點係數3w_1">#REF!</definedName>
    <definedName name="釘偏斷點係數3w_1_1">#REF!</definedName>
    <definedName name="釘偏斷點係數3w_1_2">#REF!</definedName>
    <definedName name="釘偏斷點係數3w_1_3">#REF!</definedName>
    <definedName name="釘偏斷點係數3w_1_4">#REF!</definedName>
    <definedName name="釘偏斷點係數3w_2">#REF!</definedName>
    <definedName name="釘偏斷點係數3w_3">#REF!</definedName>
    <definedName name="釘偏斷點係數3w_4">#REF!</definedName>
    <definedName name="電扇橫風係數">#REF!</definedName>
    <definedName name="電扇橫風係數_1">#REF!</definedName>
    <definedName name="電扇橫風係數_1_1">#REF!</definedName>
    <definedName name="電扇橫風係數_1_2">#REF!</definedName>
    <definedName name="電扇橫風係數_1_3">#REF!</definedName>
    <definedName name="電扇橫風係數_1_4">#REF!</definedName>
    <definedName name="電扇橫風係數_2">#REF!</definedName>
    <definedName name="電扇橫風係數_3">#REF!</definedName>
    <definedName name="電扇橫風係數_4">#REF!</definedName>
    <definedName name="電扇直風係數">#REF!</definedName>
    <definedName name="電扇直風係數_1">#REF!</definedName>
    <definedName name="電扇直風係數_1_1">#REF!</definedName>
    <definedName name="電扇直風係數_1_2">#REF!</definedName>
    <definedName name="電扇直風係數_1_3">#REF!</definedName>
    <definedName name="電扇直風係數_1_4">#REF!</definedName>
    <definedName name="電扇直風係數_2">#REF!</definedName>
    <definedName name="電扇直風係數_3">#REF!</definedName>
    <definedName name="電扇直風係數_4">#REF!</definedName>
    <definedName name="風力">#REF!</definedName>
    <definedName name="風力_1">#REF!</definedName>
    <definedName name="風力_1_1">#REF!</definedName>
    <definedName name="風力_1_2">#REF!</definedName>
    <definedName name="風力_1_3">#REF!</definedName>
    <definedName name="風力_1_4">#REF!</definedName>
    <definedName name="風力_2">#REF!</definedName>
    <definedName name="風力_3">#REF!</definedName>
    <definedName name="風力_4">#REF!</definedName>
    <definedName name="風角">#REF!</definedName>
    <definedName name="風角_1">#REF!</definedName>
    <definedName name="風角_1_1">#REF!</definedName>
    <definedName name="風角_1_2">#REF!</definedName>
    <definedName name="風角_1_3">#REF!</definedName>
    <definedName name="風角_1_4">#REF!</definedName>
    <definedName name="風角_2">#REF!</definedName>
    <definedName name="風角_3">#REF!</definedName>
    <definedName name="風角_4">#REF!</definedName>
    <definedName name="高度">#REF!</definedName>
    <definedName name="高度_1">#REF!</definedName>
    <definedName name="高度_1_1">#REF!</definedName>
    <definedName name="高度_1_2">#REF!</definedName>
    <definedName name="高度_1_3">#REF!</definedName>
    <definedName name="高度_1_4">#REF!</definedName>
    <definedName name="高度_2">#REF!</definedName>
    <definedName name="高度_3">#REF!</definedName>
    <definedName name="高度_4">#REF!</definedName>
    <definedName name="高度修正開關">#REF!</definedName>
    <definedName name="高度修正開關_1">#REF!</definedName>
    <definedName name="高度修正開關_1_1">#REF!</definedName>
    <definedName name="高度修正開關_1_2">#REF!</definedName>
    <definedName name="高度修正開關_1_3">#REF!</definedName>
    <definedName name="高度修正開關_1_4">#REF!</definedName>
    <definedName name="高度修正開關_2">#REF!</definedName>
    <definedName name="高度修正開關_3">#REF!</definedName>
    <definedName name="高度修正開關_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20" l="1"/>
  <c r="C3" i="19"/>
  <c r="C2" i="19"/>
  <c r="V9" i="31" l="1"/>
  <c r="V8" i="31"/>
  <c r="F19" i="35"/>
  <c r="F4" i="31"/>
  <c r="R9" i="31"/>
  <c r="D3" i="35"/>
  <c r="C5" i="35"/>
  <c r="C6" i="35"/>
  <c r="P4" i="32"/>
  <c r="P1" i="32" s="1"/>
  <c r="P5" i="32"/>
  <c r="P2" i="32" s="1"/>
  <c r="S16" i="31"/>
  <c r="R21" i="31"/>
  <c r="S19" i="31"/>
  <c r="R19" i="31"/>
  <c r="D5" i="35" l="1"/>
  <c r="F14" i="35" s="1"/>
  <c r="G14" i="35" s="1"/>
  <c r="D6" i="35"/>
  <c r="W2" i="31"/>
  <c r="F12" i="31"/>
  <c r="N7" i="31"/>
  <c r="N2" i="31"/>
  <c r="V12" i="31"/>
  <c r="S14" i="31"/>
  <c r="G22" i="32"/>
  <c r="G16" i="32"/>
  <c r="G8" i="32"/>
  <c r="F13" i="31"/>
  <c r="F14" i="31" s="1"/>
  <c r="R8" i="31"/>
  <c r="F8" i="31"/>
  <c r="F9" i="31" s="1"/>
  <c r="S3" i="31"/>
  <c r="S4" i="31" s="1"/>
  <c r="G3" i="31"/>
  <c r="G4" i="31" s="1"/>
  <c r="V3" i="31"/>
  <c r="V4" i="31" s="1"/>
  <c r="N13" i="31"/>
  <c r="N14" i="31" s="1"/>
  <c r="N8" i="31"/>
  <c r="N9" i="31" s="1"/>
  <c r="O3" i="31"/>
  <c r="O4" i="31" s="1"/>
  <c r="F22" i="32"/>
  <c r="F16" i="32"/>
  <c r="F8" i="32"/>
  <c r="J2" i="31" s="1"/>
  <c r="O13" i="31"/>
  <c r="O14" i="31" s="1"/>
  <c r="O8" i="31"/>
  <c r="O9" i="31" s="1"/>
  <c r="R3" i="31"/>
  <c r="R4" i="31" s="1"/>
  <c r="F3" i="31"/>
  <c r="G21" i="32"/>
  <c r="G15" i="32"/>
  <c r="G20" i="32"/>
  <c r="G9" i="32"/>
  <c r="W13" i="31"/>
  <c r="W14" i="31" s="1"/>
  <c r="J13" i="31"/>
  <c r="J14" i="31" s="1"/>
  <c r="J8" i="31"/>
  <c r="J9" i="31" s="1"/>
  <c r="W3" i="31"/>
  <c r="W4" i="31" s="1"/>
  <c r="K3" i="31"/>
  <c r="K4" i="31" s="1"/>
  <c r="F15" i="32"/>
  <c r="W8" i="31"/>
  <c r="W9" i="31" s="1"/>
  <c r="K8" i="31"/>
  <c r="K9" i="31" s="1"/>
  <c r="N3" i="31"/>
  <c r="N4" i="31" s="1"/>
  <c r="F20" i="32"/>
  <c r="F9" i="32"/>
  <c r="J7" i="31" s="1"/>
  <c r="V13" i="31"/>
  <c r="V14" i="31" s="1"/>
  <c r="G13" i="31"/>
  <c r="G14" i="31" s="1"/>
  <c r="S8" i="31"/>
  <c r="S9" i="31" s="1"/>
  <c r="G8" i="31"/>
  <c r="G9" i="31" s="1"/>
  <c r="J3" i="31"/>
  <c r="J4" i="31" s="1"/>
  <c r="F21" i="32"/>
  <c r="R15" i="31"/>
  <c r="R16" i="31" s="1"/>
  <c r="K13" i="31"/>
  <c r="K14" i="31" s="1"/>
  <c r="V2" i="31"/>
  <c r="V7" i="31"/>
  <c r="J12" i="31"/>
  <c r="J15" i="31" s="1"/>
  <c r="K2" i="31"/>
  <c r="K7" i="31"/>
  <c r="W7" i="31"/>
  <c r="G12" i="31"/>
  <c r="W12" i="31"/>
  <c r="O2" i="31"/>
  <c r="K12" i="31"/>
  <c r="K15" i="31" s="1"/>
  <c r="O7" i="31"/>
  <c r="F2" i="31"/>
  <c r="R2" i="31"/>
  <c r="F7" i="31"/>
  <c r="R7" i="31"/>
  <c r="N12" i="31"/>
  <c r="R14" i="31"/>
  <c r="G2" i="31"/>
  <c r="S2" i="31"/>
  <c r="G7" i="31"/>
  <c r="S7" i="31"/>
  <c r="O12" i="31"/>
  <c r="F15" i="35" l="1"/>
  <c r="G15" i="35" s="1"/>
  <c r="E14" i="35"/>
  <c r="D14" i="35" s="1"/>
  <c r="C14" i="35" s="1"/>
  <c r="E15" i="35"/>
  <c r="D15" i="35" s="1"/>
  <c r="C15" i="35" s="1"/>
  <c r="G111" i="33"/>
  <c r="G110" i="33" s="1"/>
  <c r="E111" i="33"/>
  <c r="D111" i="33"/>
  <c r="D110" i="33" s="1"/>
  <c r="D109" i="33" s="1"/>
  <c r="D108" i="33" s="1"/>
  <c r="D107" i="33" s="1"/>
  <c r="D106" i="33" s="1"/>
  <c r="D105" i="33" s="1"/>
  <c r="D104" i="33" s="1"/>
  <c r="D103" i="33" s="1"/>
  <c r="D102" i="33" s="1"/>
  <c r="D101" i="33" s="1"/>
  <c r="D100" i="33" s="1"/>
  <c r="D99" i="33" s="1"/>
  <c r="D98" i="33" s="1"/>
  <c r="D97" i="33" s="1"/>
  <c r="D96" i="33" s="1"/>
  <c r="D95" i="33" s="1"/>
  <c r="D94" i="33" s="1"/>
  <c r="D93" i="33" s="1"/>
  <c r="D92" i="33" s="1"/>
  <c r="D91" i="33" s="1"/>
  <c r="D90" i="33" s="1"/>
  <c r="D89" i="33" s="1"/>
  <c r="D88" i="33" s="1"/>
  <c r="D87" i="33" s="1"/>
  <c r="D86" i="33" s="1"/>
  <c r="D85" i="33" s="1"/>
  <c r="D84" i="33" s="1"/>
  <c r="D83" i="33" s="1"/>
  <c r="D82" i="33" s="1"/>
  <c r="D81" i="33" s="1"/>
  <c r="D80" i="33" s="1"/>
  <c r="D79" i="33" s="1"/>
  <c r="D78" i="33" s="1"/>
  <c r="D77" i="33" s="1"/>
  <c r="D76" i="33" s="1"/>
  <c r="D75" i="33" s="1"/>
  <c r="D74" i="33" s="1"/>
  <c r="D73" i="33" s="1"/>
  <c r="D72" i="33" s="1"/>
  <c r="D71" i="33" s="1"/>
  <c r="D70" i="33" s="1"/>
  <c r="D69" i="33" s="1"/>
  <c r="D68" i="33" s="1"/>
  <c r="D67" i="33" s="1"/>
  <c r="D66" i="33" s="1"/>
  <c r="D65" i="33" s="1"/>
  <c r="D64" i="33" s="1"/>
  <c r="D63" i="33" s="1"/>
  <c r="D62" i="33" s="1"/>
  <c r="D61" i="33" s="1"/>
  <c r="D60" i="33" s="1"/>
  <c r="D59" i="33" s="1"/>
  <c r="D58" i="33" s="1"/>
  <c r="D57" i="33" s="1"/>
  <c r="D56" i="33" s="1"/>
  <c r="D55" i="33" s="1"/>
  <c r="D54" i="33" s="1"/>
  <c r="D53" i="33" s="1"/>
  <c r="D52" i="33" s="1"/>
  <c r="D51" i="33" s="1"/>
  <c r="D50" i="33" s="1"/>
  <c r="D49" i="33" s="1"/>
  <c r="D48" i="33" s="1"/>
  <c r="D47" i="33" s="1"/>
  <c r="D46" i="33" s="1"/>
  <c r="D45" i="33" s="1"/>
  <c r="D44" i="33" s="1"/>
  <c r="D43" i="33" s="1"/>
  <c r="D42" i="33" s="1"/>
  <c r="D41" i="33" s="1"/>
  <c r="D40" i="33" s="1"/>
  <c r="D39" i="33" s="1"/>
  <c r="D38" i="33" s="1"/>
  <c r="D37" i="33" s="1"/>
  <c r="D36" i="33" s="1"/>
  <c r="D35" i="33" s="1"/>
  <c r="D34" i="33" s="1"/>
  <c r="D33" i="33" s="1"/>
  <c r="D32" i="33" s="1"/>
  <c r="D31" i="33" s="1"/>
  <c r="D30" i="33" s="1"/>
  <c r="D29" i="33" s="1"/>
  <c r="D28" i="33" s="1"/>
  <c r="D27" i="33" s="1"/>
  <c r="D26" i="33" s="1"/>
  <c r="D25" i="33" s="1"/>
  <c r="D24" i="33" s="1"/>
  <c r="D23" i="33" s="1"/>
  <c r="D22" i="33" s="1"/>
  <c r="D21" i="33" s="1"/>
  <c r="D20" i="33" s="1"/>
  <c r="D19" i="33" s="1"/>
  <c r="D18" i="33" s="1"/>
  <c r="D17" i="33" s="1"/>
  <c r="D16" i="33" s="1"/>
  <c r="D15" i="33" s="1"/>
  <c r="D14" i="33" s="1"/>
  <c r="D13" i="33" s="1"/>
  <c r="D12" i="33" s="1"/>
  <c r="D11" i="33" s="1"/>
  <c r="D10" i="33" s="1"/>
  <c r="D9" i="33" s="1"/>
  <c r="D8" i="33" s="1"/>
  <c r="D7" i="33" s="1"/>
  <c r="D6" i="33" s="1"/>
  <c r="D5" i="33" s="1"/>
  <c r="D4" i="33" s="1"/>
  <c r="D3" i="33" s="1"/>
  <c r="C111" i="33"/>
  <c r="B111" i="33"/>
  <c r="E110" i="33"/>
  <c r="B110" i="33"/>
  <c r="G109" i="33"/>
  <c r="G108" i="33" s="1"/>
  <c r="E109" i="33"/>
  <c r="B109" i="33"/>
  <c r="B108" i="33" s="1"/>
  <c r="B107" i="33" s="1"/>
  <c r="B106" i="33" s="1"/>
  <c r="B105" i="33" s="1"/>
  <c r="B104" i="33" s="1"/>
  <c r="B103" i="33" s="1"/>
  <c r="B102" i="33" s="1"/>
  <c r="E108" i="33"/>
  <c r="G107" i="33"/>
  <c r="G106" i="33" s="1"/>
  <c r="G105" i="33" s="1"/>
  <c r="G104" i="33" s="1"/>
  <c r="G103" i="33" s="1"/>
  <c r="G102" i="33" s="1"/>
  <c r="G101" i="33" s="1"/>
  <c r="G100" i="33" s="1"/>
  <c r="G99" i="33" s="1"/>
  <c r="G98" i="33" s="1"/>
  <c r="G97" i="33" s="1"/>
  <c r="G96" i="33" s="1"/>
  <c r="G95" i="33" s="1"/>
  <c r="G94" i="33" s="1"/>
  <c r="G93" i="33" s="1"/>
  <c r="G92" i="33" s="1"/>
  <c r="G91" i="33" s="1"/>
  <c r="G90" i="33" s="1"/>
  <c r="G89" i="33" s="1"/>
  <c r="G88" i="33" s="1"/>
  <c r="G87" i="33" s="1"/>
  <c r="G86" i="33" s="1"/>
  <c r="G85" i="33" s="1"/>
  <c r="G84" i="33" s="1"/>
  <c r="G83" i="33" s="1"/>
  <c r="G82" i="33" s="1"/>
  <c r="G81" i="33" s="1"/>
  <c r="G80" i="33" s="1"/>
  <c r="G79" i="33" s="1"/>
  <c r="G78" i="33" s="1"/>
  <c r="G77" i="33" s="1"/>
  <c r="G76" i="33" s="1"/>
  <c r="G75" i="33" s="1"/>
  <c r="G74" i="33" s="1"/>
  <c r="G73" i="33" s="1"/>
  <c r="G72" i="33" s="1"/>
  <c r="G71" i="33" s="1"/>
  <c r="G70" i="33" s="1"/>
  <c r="G69" i="33" s="1"/>
  <c r="G68" i="33" s="1"/>
  <c r="G67" i="33" s="1"/>
  <c r="G66" i="33" s="1"/>
  <c r="G65" i="33" s="1"/>
  <c r="G64" i="33" s="1"/>
  <c r="G63" i="33" s="1"/>
  <c r="G62" i="33" s="1"/>
  <c r="G61" i="33" s="1"/>
  <c r="G60" i="33" s="1"/>
  <c r="G59" i="33" s="1"/>
  <c r="G58" i="33" s="1"/>
  <c r="G57" i="33" s="1"/>
  <c r="G56" i="33" s="1"/>
  <c r="G55" i="33" s="1"/>
  <c r="G54" i="33" s="1"/>
  <c r="G53" i="33" s="1"/>
  <c r="G52" i="33" s="1"/>
  <c r="G51" i="33" s="1"/>
  <c r="G50" i="33" s="1"/>
  <c r="G49" i="33" s="1"/>
  <c r="G48" i="33" s="1"/>
  <c r="G47" i="33" s="1"/>
  <c r="G46" i="33" s="1"/>
  <c r="G45" i="33" s="1"/>
  <c r="G44" i="33" s="1"/>
  <c r="G43" i="33" s="1"/>
  <c r="G42" i="33" s="1"/>
  <c r="G41" i="33" s="1"/>
  <c r="G40" i="33" s="1"/>
  <c r="G39" i="33" s="1"/>
  <c r="G38" i="33" s="1"/>
  <c r="G37" i="33" s="1"/>
  <c r="G36" i="33" s="1"/>
  <c r="G35" i="33" s="1"/>
  <c r="G34" i="33" s="1"/>
  <c r="G33" i="33" s="1"/>
  <c r="G32" i="33" s="1"/>
  <c r="G31" i="33" s="1"/>
  <c r="G30" i="33" s="1"/>
  <c r="G29" i="33" s="1"/>
  <c r="G28" i="33" s="1"/>
  <c r="G27" i="33" s="1"/>
  <c r="G26" i="33" s="1"/>
  <c r="G25" i="33" s="1"/>
  <c r="G24" i="33" s="1"/>
  <c r="G23" i="33" s="1"/>
  <c r="G22" i="33" s="1"/>
  <c r="G21" i="33" s="1"/>
  <c r="G20" i="33" s="1"/>
  <c r="G19" i="33" s="1"/>
  <c r="G18" i="33" s="1"/>
  <c r="G17" i="33" s="1"/>
  <c r="G16" i="33" s="1"/>
  <c r="G15" i="33" s="1"/>
  <c r="G14" i="33" s="1"/>
  <c r="G13" i="33" s="1"/>
  <c r="G12" i="33" s="1"/>
  <c r="G11" i="33" s="1"/>
  <c r="G10" i="33" s="1"/>
  <c r="G9" i="33" s="1"/>
  <c r="G8" i="33" s="1"/>
  <c r="G7" i="33" s="1"/>
  <c r="G6" i="33" s="1"/>
  <c r="G5" i="33" s="1"/>
  <c r="G4" i="33" s="1"/>
  <c r="G3" i="33" s="1"/>
  <c r="E107" i="33"/>
  <c r="E106" i="33" s="1"/>
  <c r="E105" i="33" s="1"/>
  <c r="E104" i="33"/>
  <c r="E103" i="33" s="1"/>
  <c r="E102" i="33" s="1"/>
  <c r="E101" i="33" s="1"/>
  <c r="E100" i="33" s="1"/>
  <c r="E99" i="33" s="1"/>
  <c r="B101" i="33"/>
  <c r="B100" i="33" s="1"/>
  <c r="B99" i="33" s="1"/>
  <c r="B98" i="33" s="1"/>
  <c r="B97" i="33" s="1"/>
  <c r="B96" i="33" s="1"/>
  <c r="B95" i="33" s="1"/>
  <c r="B94" i="33" s="1"/>
  <c r="B93" i="33" s="1"/>
  <c r="B92" i="33" s="1"/>
  <c r="B91" i="33" s="1"/>
  <c r="B90" i="33" s="1"/>
  <c r="B89" i="33" s="1"/>
  <c r="B88" i="33" s="1"/>
  <c r="B87" i="33" s="1"/>
  <c r="B86" i="33" s="1"/>
  <c r="B85" i="33" s="1"/>
  <c r="B84" i="33" s="1"/>
  <c r="B83" i="33" s="1"/>
  <c r="B82" i="33" s="1"/>
  <c r="B81" i="33" s="1"/>
  <c r="B80" i="33" s="1"/>
  <c r="B79" i="33" s="1"/>
  <c r="B78" i="33" s="1"/>
  <c r="B77" i="33" s="1"/>
  <c r="B76" i="33" s="1"/>
  <c r="B75" i="33" s="1"/>
  <c r="B74" i="33" s="1"/>
  <c r="B73" i="33" s="1"/>
  <c r="B72" i="33" s="1"/>
  <c r="B71" i="33" s="1"/>
  <c r="B70" i="33" s="1"/>
  <c r="B69" i="33" s="1"/>
  <c r="B68" i="33" s="1"/>
  <c r="B67" i="33" s="1"/>
  <c r="B66" i="33" s="1"/>
  <c r="B65" i="33" s="1"/>
  <c r="B64" i="33" s="1"/>
  <c r="B63" i="33" s="1"/>
  <c r="B62" i="33" s="1"/>
  <c r="B61" i="33" s="1"/>
  <c r="B60" i="33" s="1"/>
  <c r="B59" i="33" s="1"/>
  <c r="B58" i="33" s="1"/>
  <c r="B57" i="33" s="1"/>
  <c r="B56" i="33" s="1"/>
  <c r="B55" i="33" s="1"/>
  <c r="B54" i="33" s="1"/>
  <c r="B53" i="33" s="1"/>
  <c r="B52" i="33" s="1"/>
  <c r="B51" i="33" s="1"/>
  <c r="B50" i="33" s="1"/>
  <c r="B49" i="33" s="1"/>
  <c r="B48" i="33" s="1"/>
  <c r="B47" i="33" s="1"/>
  <c r="B46" i="33" s="1"/>
  <c r="B45" i="33" s="1"/>
  <c r="B44" i="33" s="1"/>
  <c r="B43" i="33" s="1"/>
  <c r="B42" i="33" s="1"/>
  <c r="B41" i="33" s="1"/>
  <c r="B40" i="33" s="1"/>
  <c r="B39" i="33" s="1"/>
  <c r="B38" i="33" s="1"/>
  <c r="B37" i="33" s="1"/>
  <c r="B36" i="33" s="1"/>
  <c r="B35" i="33" s="1"/>
  <c r="B34" i="33" s="1"/>
  <c r="B33" i="33" s="1"/>
  <c r="B32" i="33" s="1"/>
  <c r="B31" i="33" s="1"/>
  <c r="B30" i="33" s="1"/>
  <c r="B29" i="33" s="1"/>
  <c r="B28" i="33" s="1"/>
  <c r="B27" i="33" s="1"/>
  <c r="B26" i="33" s="1"/>
  <c r="B25" i="33" s="1"/>
  <c r="B24" i="33" s="1"/>
  <c r="B23" i="33" s="1"/>
  <c r="B22" i="33" s="1"/>
  <c r="B21" i="33" s="1"/>
  <c r="B20" i="33" s="1"/>
  <c r="B19" i="33" s="1"/>
  <c r="B18" i="33" s="1"/>
  <c r="B17" i="33" s="1"/>
  <c r="B16" i="33" s="1"/>
  <c r="B15" i="33" s="1"/>
  <c r="B14" i="33" s="1"/>
  <c r="B13" i="33" s="1"/>
  <c r="B12" i="33" s="1"/>
  <c r="B11" i="33" s="1"/>
  <c r="B10" i="33" s="1"/>
  <c r="B9" i="33" s="1"/>
  <c r="B8" i="33" s="1"/>
  <c r="B7" i="33" s="1"/>
  <c r="B6" i="33" s="1"/>
  <c r="B5" i="33" s="1"/>
  <c r="B4" i="33" s="1"/>
  <c r="B3" i="33" s="1"/>
  <c r="E98" i="33"/>
  <c r="E97" i="33" s="1"/>
  <c r="E96" i="33" s="1"/>
  <c r="E95" i="33" s="1"/>
  <c r="E94" i="33" s="1"/>
  <c r="E93" i="33" s="1"/>
  <c r="E92" i="33" s="1"/>
  <c r="E91" i="33" s="1"/>
  <c r="E90" i="33" s="1"/>
  <c r="E89" i="33" s="1"/>
  <c r="E88" i="33" s="1"/>
  <c r="E87" i="33" s="1"/>
  <c r="E86" i="33" s="1"/>
  <c r="E85" i="33" s="1"/>
  <c r="E84" i="33" s="1"/>
  <c r="E83" i="33" s="1"/>
  <c r="E82" i="33" s="1"/>
  <c r="E81" i="33" s="1"/>
  <c r="E80" i="33" s="1"/>
  <c r="E79" i="33" s="1"/>
  <c r="E78" i="33" s="1"/>
  <c r="E77" i="33" s="1"/>
  <c r="E76" i="33" s="1"/>
  <c r="E75" i="33" s="1"/>
  <c r="E74" i="33" s="1"/>
  <c r="E73" i="33" s="1"/>
  <c r="E72" i="33" s="1"/>
  <c r="E71" i="33" s="1"/>
  <c r="E70" i="33" s="1"/>
  <c r="E69" i="33" s="1"/>
  <c r="E68" i="33" s="1"/>
  <c r="E67" i="33" s="1"/>
  <c r="E66" i="33" s="1"/>
  <c r="E65" i="33" s="1"/>
  <c r="E64" i="33" s="1"/>
  <c r="E63" i="33" s="1"/>
  <c r="E62" i="33" s="1"/>
  <c r="E61" i="33" s="1"/>
  <c r="E60" i="33" s="1"/>
  <c r="E59" i="33" s="1"/>
  <c r="E58" i="33" s="1"/>
  <c r="E57" i="33" s="1"/>
  <c r="E56" i="33" s="1"/>
  <c r="E55" i="33" s="1"/>
  <c r="E54" i="33" s="1"/>
  <c r="E53" i="33" s="1"/>
  <c r="E52" i="33" s="1"/>
  <c r="E51" i="33" s="1"/>
  <c r="E50" i="33" s="1"/>
  <c r="E49" i="33" s="1"/>
  <c r="E48" i="33" s="1"/>
  <c r="E47" i="33" s="1"/>
  <c r="E46" i="33" s="1"/>
  <c r="E45" i="33" s="1"/>
  <c r="E44" i="33" s="1"/>
  <c r="E43" i="33" s="1"/>
  <c r="E42" i="33" s="1"/>
  <c r="E41" i="33" s="1"/>
  <c r="E40" i="33" s="1"/>
  <c r="E39" i="33" s="1"/>
  <c r="E38" i="33" s="1"/>
  <c r="E37" i="33" s="1"/>
  <c r="E36" i="33" s="1"/>
  <c r="E35" i="33" s="1"/>
  <c r="E34" i="33" s="1"/>
  <c r="E33" i="33" s="1"/>
  <c r="E32" i="33" s="1"/>
  <c r="E31" i="33" s="1"/>
  <c r="E30" i="33" s="1"/>
  <c r="E29" i="33" s="1"/>
  <c r="E28" i="33" s="1"/>
  <c r="E27" i="33" s="1"/>
  <c r="E26" i="33" s="1"/>
  <c r="E25" i="33" s="1"/>
  <c r="E24" i="33" s="1"/>
  <c r="E23" i="33" s="1"/>
  <c r="E22" i="33" s="1"/>
  <c r="E21" i="33" s="1"/>
  <c r="E20" i="33" s="1"/>
  <c r="E19" i="33" s="1"/>
  <c r="E18" i="33" s="1"/>
  <c r="E17" i="33" s="1"/>
  <c r="E16" i="33" s="1"/>
  <c r="E15" i="33" s="1"/>
  <c r="E14" i="33" s="1"/>
  <c r="E13" i="33" s="1"/>
  <c r="E12" i="33" s="1"/>
  <c r="E11" i="33" s="1"/>
  <c r="E10" i="33" s="1"/>
  <c r="E9" i="33" s="1"/>
  <c r="E8" i="33" s="1"/>
  <c r="E7" i="33" s="1"/>
  <c r="E6" i="33" s="1"/>
  <c r="E5" i="33" s="1"/>
  <c r="E4" i="33" s="1"/>
  <c r="E3" i="33" s="1"/>
  <c r="A4" i="33"/>
  <c r="A5" i="33" s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O95" i="30"/>
  <c r="O94" i="30"/>
  <c r="O93" i="30" s="1"/>
  <c r="O92" i="30" s="1"/>
  <c r="O91" i="30" s="1"/>
  <c r="O90" i="30" s="1"/>
  <c r="O89" i="30" s="1"/>
  <c r="O88" i="30" s="1"/>
  <c r="O87" i="30" s="1"/>
  <c r="O86" i="30" s="1"/>
  <c r="O85" i="30" s="1"/>
  <c r="O84" i="30" s="1"/>
  <c r="O83" i="30" s="1"/>
  <c r="O82" i="30" s="1"/>
  <c r="O81" i="30" s="1"/>
  <c r="O80" i="30" s="1"/>
  <c r="O79" i="30" s="1"/>
  <c r="O78" i="30" s="1"/>
  <c r="O77" i="30" s="1"/>
  <c r="O76" i="30" s="1"/>
  <c r="O75" i="30" s="1"/>
  <c r="O74" i="30" s="1"/>
  <c r="O73" i="30" s="1"/>
  <c r="O72" i="30" s="1"/>
  <c r="O71" i="30" s="1"/>
  <c r="O70" i="30" s="1"/>
  <c r="O69" i="30" s="1"/>
  <c r="O68" i="30" s="1"/>
  <c r="O67" i="30" s="1"/>
  <c r="O66" i="30" s="1"/>
  <c r="O65" i="30" s="1"/>
  <c r="O64" i="30" s="1"/>
  <c r="O63" i="30" s="1"/>
  <c r="O62" i="30" s="1"/>
  <c r="O61" i="30" s="1"/>
  <c r="O60" i="30" s="1"/>
  <c r="O59" i="30" s="1"/>
  <c r="O58" i="30" s="1"/>
  <c r="O57" i="30" s="1"/>
  <c r="O56" i="30" s="1"/>
  <c r="O55" i="30" s="1"/>
  <c r="O54" i="30" s="1"/>
  <c r="O53" i="30" s="1"/>
  <c r="O52" i="30" s="1"/>
  <c r="O51" i="30" s="1"/>
  <c r="H54" i="30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H81" i="30" s="1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S53" i="30"/>
  <c r="H53" i="30"/>
  <c r="H52" i="30"/>
  <c r="A6" i="30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H5" i="30"/>
  <c r="H6" i="30" s="1"/>
  <c r="H7" i="30" s="1"/>
  <c r="H8" i="30" s="1"/>
  <c r="H9" i="30" s="1"/>
  <c r="H10" i="30" s="1"/>
  <c r="H11" i="30" s="1"/>
  <c r="H12" i="30" s="1"/>
  <c r="H13" i="30" s="1"/>
  <c r="H14" i="30" s="1"/>
  <c r="H15" i="30" s="1"/>
  <c r="H16" i="30" s="1"/>
  <c r="H17" i="30" s="1"/>
  <c r="H18" i="30" s="1"/>
  <c r="H19" i="30" s="1"/>
  <c r="H20" i="30" s="1"/>
  <c r="H21" i="30" s="1"/>
  <c r="H22" i="30" s="1"/>
  <c r="H23" i="30" s="1"/>
  <c r="H24" i="30" s="1"/>
  <c r="H25" i="30" s="1"/>
  <c r="H26" i="30" s="1"/>
  <c r="H27" i="30" s="1"/>
  <c r="H28" i="30" s="1"/>
  <c r="H29" i="30" s="1"/>
  <c r="H30" i="30" s="1"/>
  <c r="H31" i="30" s="1"/>
  <c r="H32" i="30" s="1"/>
  <c r="H33" i="30" s="1"/>
  <c r="H34" i="30" s="1"/>
  <c r="H35" i="30" s="1"/>
  <c r="H36" i="30" s="1"/>
  <c r="H37" i="30" s="1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A5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L96" i="28"/>
  <c r="J96" i="28"/>
  <c r="F96" i="28"/>
  <c r="L95" i="28"/>
  <c r="J95" i="28"/>
  <c r="F95" i="28"/>
  <c r="D95" i="28"/>
  <c r="L94" i="28"/>
  <c r="J94" i="28"/>
  <c r="F94" i="28"/>
  <c r="D94" i="28"/>
  <c r="L93" i="28"/>
  <c r="J93" i="28"/>
  <c r="F93" i="28"/>
  <c r="D93" i="28"/>
  <c r="L92" i="28"/>
  <c r="J92" i="28"/>
  <c r="F92" i="28"/>
  <c r="D92" i="28"/>
  <c r="L91" i="28"/>
  <c r="J91" i="28"/>
  <c r="F91" i="28"/>
  <c r="D91" i="28"/>
  <c r="L90" i="28"/>
  <c r="J90" i="28"/>
  <c r="F90" i="28"/>
  <c r="D90" i="28"/>
  <c r="L89" i="28"/>
  <c r="J89" i="28"/>
  <c r="F89" i="28"/>
  <c r="D89" i="28"/>
  <c r="L88" i="28"/>
  <c r="J88" i="28"/>
  <c r="F88" i="28"/>
  <c r="D88" i="28"/>
  <c r="L87" i="28"/>
  <c r="J87" i="28"/>
  <c r="F87" i="28"/>
  <c r="D87" i="28"/>
  <c r="L86" i="28"/>
  <c r="J86" i="28"/>
  <c r="F86" i="28"/>
  <c r="D86" i="28"/>
  <c r="L85" i="28"/>
  <c r="J85" i="28"/>
  <c r="F85" i="28"/>
  <c r="D85" i="28"/>
  <c r="L84" i="28"/>
  <c r="J84" i="28"/>
  <c r="F84" i="28"/>
  <c r="D84" i="28"/>
  <c r="L83" i="28"/>
  <c r="J83" i="28"/>
  <c r="F83" i="28"/>
  <c r="D83" i="28"/>
  <c r="L82" i="28"/>
  <c r="J82" i="28"/>
  <c r="F82" i="28"/>
  <c r="D82" i="28"/>
  <c r="L81" i="28"/>
  <c r="J81" i="28"/>
  <c r="F81" i="28"/>
  <c r="D81" i="28"/>
  <c r="L80" i="28"/>
  <c r="J80" i="28"/>
  <c r="F80" i="28"/>
  <c r="D80" i="28"/>
  <c r="L79" i="28"/>
  <c r="J79" i="28"/>
  <c r="F79" i="28"/>
  <c r="D79" i="28"/>
  <c r="L78" i="28"/>
  <c r="J78" i="28"/>
  <c r="F78" i="28"/>
  <c r="D78" i="28"/>
  <c r="L77" i="28"/>
  <c r="J77" i="28"/>
  <c r="F77" i="28"/>
  <c r="D77" i="28"/>
  <c r="L76" i="28"/>
  <c r="J76" i="28"/>
  <c r="F76" i="28"/>
  <c r="D76" i="28"/>
  <c r="L75" i="28"/>
  <c r="J75" i="28"/>
  <c r="F75" i="28"/>
  <c r="D75" i="28"/>
  <c r="L74" i="28"/>
  <c r="J74" i="28"/>
  <c r="F74" i="28"/>
  <c r="D74" i="28"/>
  <c r="L73" i="28"/>
  <c r="J73" i="28"/>
  <c r="F73" i="28"/>
  <c r="D73" i="28"/>
  <c r="L72" i="28"/>
  <c r="J72" i="28"/>
  <c r="F72" i="28"/>
  <c r="D72" i="28"/>
  <c r="L71" i="28"/>
  <c r="J71" i="28"/>
  <c r="F71" i="28"/>
  <c r="D71" i="28"/>
  <c r="L70" i="28"/>
  <c r="J70" i="28"/>
  <c r="F70" i="28"/>
  <c r="D70" i="28"/>
  <c r="L69" i="28"/>
  <c r="J69" i="28"/>
  <c r="F69" i="28"/>
  <c r="D69" i="28"/>
  <c r="L68" i="28"/>
  <c r="J68" i="28"/>
  <c r="F68" i="28"/>
  <c r="D68" i="28"/>
  <c r="L67" i="28"/>
  <c r="J67" i="28"/>
  <c r="F67" i="28"/>
  <c r="D67" i="28"/>
  <c r="L66" i="28"/>
  <c r="J66" i="28"/>
  <c r="F66" i="28"/>
  <c r="D66" i="28"/>
  <c r="L65" i="28"/>
  <c r="J65" i="28"/>
  <c r="F65" i="28"/>
  <c r="D65" i="28"/>
  <c r="L64" i="28"/>
  <c r="J64" i="28"/>
  <c r="F64" i="28"/>
  <c r="D64" i="28"/>
  <c r="L63" i="28"/>
  <c r="J63" i="28"/>
  <c r="F63" i="28"/>
  <c r="D63" i="28"/>
  <c r="L62" i="28"/>
  <c r="J62" i="28"/>
  <c r="F62" i="28"/>
  <c r="D62" i="28"/>
  <c r="L61" i="28"/>
  <c r="J61" i="28"/>
  <c r="F61" i="28"/>
  <c r="D61" i="28"/>
  <c r="L60" i="28"/>
  <c r="J60" i="28"/>
  <c r="F60" i="28"/>
  <c r="D60" i="28"/>
  <c r="L59" i="28"/>
  <c r="J59" i="28"/>
  <c r="F59" i="28"/>
  <c r="D59" i="28"/>
  <c r="L58" i="28"/>
  <c r="J58" i="28"/>
  <c r="F58" i="28"/>
  <c r="D58" i="28"/>
  <c r="L57" i="28"/>
  <c r="J57" i="28"/>
  <c r="F57" i="28"/>
  <c r="D57" i="28"/>
  <c r="L56" i="28"/>
  <c r="J56" i="28"/>
  <c r="F56" i="28"/>
  <c r="D56" i="28"/>
  <c r="O55" i="28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O84" i="28" s="1"/>
  <c r="O85" i="28" s="1"/>
  <c r="O86" i="28" s="1"/>
  <c r="O87" i="28" s="1"/>
  <c r="O88" i="28" s="1"/>
  <c r="O89" i="28" s="1"/>
  <c r="O90" i="28" s="1"/>
  <c r="O91" i="28" s="1"/>
  <c r="O92" i="28" s="1"/>
  <c r="O93" i="28" s="1"/>
  <c r="O94" i="28" s="1"/>
  <c r="O95" i="28" s="1"/>
  <c r="O96" i="28" s="1"/>
  <c r="L55" i="28"/>
  <c r="J55" i="28"/>
  <c r="F55" i="28"/>
  <c r="D55" i="28"/>
  <c r="L54" i="28"/>
  <c r="J54" i="28"/>
  <c r="H54" i="28"/>
  <c r="H55" i="28" s="1"/>
  <c r="H56" i="28" s="1"/>
  <c r="H57" i="28" s="1"/>
  <c r="H58" i="28" s="1"/>
  <c r="H59" i="28" s="1"/>
  <c r="H60" i="28" s="1"/>
  <c r="H61" i="28" s="1"/>
  <c r="H62" i="28" s="1"/>
  <c r="H63" i="28" s="1"/>
  <c r="H64" i="28" s="1"/>
  <c r="H65" i="28" s="1"/>
  <c r="H66" i="28" s="1"/>
  <c r="H67" i="28" s="1"/>
  <c r="H68" i="28" s="1"/>
  <c r="H69" i="28" s="1"/>
  <c r="H70" i="28" s="1"/>
  <c r="H71" i="28" s="1"/>
  <c r="H72" i="28" s="1"/>
  <c r="H73" i="28" s="1"/>
  <c r="H74" i="28" s="1"/>
  <c r="H75" i="28" s="1"/>
  <c r="H76" i="28" s="1"/>
  <c r="H77" i="28" s="1"/>
  <c r="H78" i="28" s="1"/>
  <c r="H79" i="28" s="1"/>
  <c r="H80" i="28" s="1"/>
  <c r="H81" i="28" s="1"/>
  <c r="H82" i="28" s="1"/>
  <c r="H83" i="28" s="1"/>
  <c r="H84" i="28" s="1"/>
  <c r="H85" i="28" s="1"/>
  <c r="H86" i="28" s="1"/>
  <c r="H87" i="28" s="1"/>
  <c r="H88" i="28" s="1"/>
  <c r="H89" i="28" s="1"/>
  <c r="H90" i="28" s="1"/>
  <c r="H91" i="28" s="1"/>
  <c r="H92" i="28" s="1"/>
  <c r="H93" i="28" s="1"/>
  <c r="H94" i="28" s="1"/>
  <c r="H95" i="28" s="1"/>
  <c r="H96" i="28" s="1"/>
  <c r="F54" i="28"/>
  <c r="D54" i="28"/>
  <c r="L53" i="28"/>
  <c r="J53" i="28"/>
  <c r="H53" i="28"/>
  <c r="F53" i="28"/>
  <c r="D53" i="28"/>
  <c r="O52" i="28"/>
  <c r="O53" i="28" s="1"/>
  <c r="O54" i="28" s="1"/>
  <c r="L52" i="28"/>
  <c r="J52" i="28"/>
  <c r="H52" i="28"/>
  <c r="F52" i="28"/>
  <c r="D52" i="28"/>
  <c r="A52" i="28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L51" i="28"/>
  <c r="J51" i="28"/>
  <c r="F51" i="28"/>
  <c r="D51" i="28"/>
  <c r="F49" i="28"/>
  <c r="D49" i="28"/>
  <c r="O6" i="28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K6" i="28"/>
  <c r="L6" i="28" s="1"/>
  <c r="O5" i="28"/>
  <c r="L5" i="28"/>
  <c r="K5" i="28"/>
  <c r="J5" i="28" s="1"/>
  <c r="K4" i="28"/>
  <c r="J4" i="28" s="1"/>
  <c r="F4" i="28"/>
  <c r="E4" i="28"/>
  <c r="AC3" i="28"/>
  <c r="AC4" i="28" s="1"/>
  <c r="E6" i="28" s="1"/>
  <c r="F6" i="28" s="1"/>
  <c r="V50" i="27"/>
  <c r="P50" i="27"/>
  <c r="J50" i="27"/>
  <c r="D50" i="27"/>
  <c r="V49" i="27"/>
  <c r="P49" i="27"/>
  <c r="J49" i="27"/>
  <c r="D49" i="27"/>
  <c r="V48" i="27"/>
  <c r="P48" i="27"/>
  <c r="J48" i="27"/>
  <c r="D48" i="27"/>
  <c r="V47" i="27"/>
  <c r="P47" i="27"/>
  <c r="J47" i="27"/>
  <c r="D47" i="27"/>
  <c r="V46" i="27"/>
  <c r="P46" i="27"/>
  <c r="J46" i="27"/>
  <c r="D46" i="27"/>
  <c r="V45" i="27"/>
  <c r="P45" i="27"/>
  <c r="J45" i="27"/>
  <c r="D45" i="27"/>
  <c r="V44" i="27"/>
  <c r="P44" i="27"/>
  <c r="J44" i="27"/>
  <c r="D44" i="27"/>
  <c r="V43" i="27"/>
  <c r="P43" i="27"/>
  <c r="J43" i="27"/>
  <c r="D43" i="27"/>
  <c r="V42" i="27"/>
  <c r="P42" i="27"/>
  <c r="J42" i="27"/>
  <c r="D42" i="27"/>
  <c r="V41" i="27"/>
  <c r="P41" i="27"/>
  <c r="J41" i="27"/>
  <c r="D41" i="27"/>
  <c r="V40" i="27"/>
  <c r="P40" i="27"/>
  <c r="J40" i="27"/>
  <c r="D40" i="27"/>
  <c r="V39" i="27"/>
  <c r="P39" i="27"/>
  <c r="J39" i="27"/>
  <c r="D39" i="27"/>
  <c r="V38" i="27"/>
  <c r="P38" i="27"/>
  <c r="J38" i="27"/>
  <c r="D38" i="27"/>
  <c r="V37" i="27"/>
  <c r="P37" i="27"/>
  <c r="J37" i="27"/>
  <c r="D37" i="27"/>
  <c r="V36" i="27"/>
  <c r="P36" i="27"/>
  <c r="J36" i="27"/>
  <c r="D36" i="27"/>
  <c r="V35" i="27"/>
  <c r="P35" i="27"/>
  <c r="J35" i="27"/>
  <c r="D35" i="27"/>
  <c r="V34" i="27"/>
  <c r="P34" i="27"/>
  <c r="J34" i="27"/>
  <c r="D34" i="27"/>
  <c r="V33" i="27"/>
  <c r="P33" i="27"/>
  <c r="J33" i="27"/>
  <c r="D33" i="27"/>
  <c r="V32" i="27"/>
  <c r="P32" i="27"/>
  <c r="J32" i="27"/>
  <c r="D32" i="27"/>
  <c r="V31" i="27"/>
  <c r="P31" i="27"/>
  <c r="J31" i="27"/>
  <c r="D31" i="27"/>
  <c r="V30" i="27"/>
  <c r="P30" i="27"/>
  <c r="J30" i="27"/>
  <c r="D30" i="27"/>
  <c r="V29" i="27"/>
  <c r="P29" i="27"/>
  <c r="J29" i="27"/>
  <c r="D29" i="27"/>
  <c r="V28" i="27"/>
  <c r="P28" i="27"/>
  <c r="J28" i="27"/>
  <c r="D28" i="27"/>
  <c r="V27" i="27"/>
  <c r="P27" i="27"/>
  <c r="J27" i="27"/>
  <c r="D27" i="27"/>
  <c r="V26" i="27"/>
  <c r="P26" i="27"/>
  <c r="J26" i="27"/>
  <c r="D26" i="27"/>
  <c r="V25" i="27"/>
  <c r="P25" i="27"/>
  <c r="J25" i="27"/>
  <c r="D25" i="27"/>
  <c r="V24" i="27"/>
  <c r="P24" i="27"/>
  <c r="J24" i="27"/>
  <c r="D24" i="27"/>
  <c r="V23" i="27"/>
  <c r="P23" i="27"/>
  <c r="J23" i="27"/>
  <c r="D23" i="27"/>
  <c r="V22" i="27"/>
  <c r="P22" i="27"/>
  <c r="J22" i="27"/>
  <c r="D22" i="27"/>
  <c r="E22" i="27" s="1"/>
  <c r="V21" i="27"/>
  <c r="P21" i="27"/>
  <c r="J21" i="27"/>
  <c r="D21" i="27"/>
  <c r="E21" i="27" s="1"/>
  <c r="V20" i="27"/>
  <c r="P20" i="27"/>
  <c r="J20" i="27"/>
  <c r="D20" i="27"/>
  <c r="E20" i="27" s="1"/>
  <c r="V19" i="27"/>
  <c r="P19" i="27"/>
  <c r="J19" i="27"/>
  <c r="G19" i="27"/>
  <c r="G20" i="27" s="1"/>
  <c r="G21" i="27" s="1"/>
  <c r="G22" i="27" s="1"/>
  <c r="G23" i="27" s="1"/>
  <c r="G24" i="27" s="1"/>
  <c r="G25" i="27" s="1"/>
  <c r="G26" i="27" s="1"/>
  <c r="G27" i="27" s="1"/>
  <c r="G28" i="27" s="1"/>
  <c r="G29" i="27" s="1"/>
  <c r="G30" i="27" s="1"/>
  <c r="G31" i="27" s="1"/>
  <c r="G32" i="27" s="1"/>
  <c r="G33" i="27" s="1"/>
  <c r="G34" i="27" s="1"/>
  <c r="G35" i="27" s="1"/>
  <c r="G36" i="27" s="1"/>
  <c r="G37" i="27" s="1"/>
  <c r="G38" i="27" s="1"/>
  <c r="G39" i="27" s="1"/>
  <c r="G40" i="27" s="1"/>
  <c r="G41" i="27" s="1"/>
  <c r="G42" i="27" s="1"/>
  <c r="G43" i="27" s="1"/>
  <c r="G44" i="27" s="1"/>
  <c r="G45" i="27" s="1"/>
  <c r="G46" i="27" s="1"/>
  <c r="G47" i="27" s="1"/>
  <c r="G48" i="27" s="1"/>
  <c r="G49" i="27" s="1"/>
  <c r="D19" i="27"/>
  <c r="E19" i="27" s="1"/>
  <c r="V18" i="27"/>
  <c r="P18" i="27"/>
  <c r="J18" i="27"/>
  <c r="G18" i="27"/>
  <c r="D18" i="27"/>
  <c r="E18" i="27" s="1"/>
  <c r="V17" i="27"/>
  <c r="P17" i="27"/>
  <c r="J17" i="27"/>
  <c r="E17" i="27"/>
  <c r="D17" i="27"/>
  <c r="V16" i="27"/>
  <c r="P16" i="27"/>
  <c r="J16" i="27"/>
  <c r="E16" i="27"/>
  <c r="V15" i="27"/>
  <c r="P15" i="27"/>
  <c r="J15" i="27"/>
  <c r="E15" i="27"/>
  <c r="V14" i="27"/>
  <c r="P14" i="27"/>
  <c r="J14" i="27"/>
  <c r="E14" i="27"/>
  <c r="V13" i="27"/>
  <c r="P13" i="27"/>
  <c r="J13" i="27"/>
  <c r="D13" i="27"/>
  <c r="V12" i="27"/>
  <c r="P12" i="27"/>
  <c r="J12" i="27"/>
  <c r="D12" i="27"/>
  <c r="V11" i="27"/>
  <c r="P11" i="27"/>
  <c r="J11" i="27"/>
  <c r="D11" i="27"/>
  <c r="V10" i="27"/>
  <c r="P10" i="27"/>
  <c r="J10" i="27"/>
  <c r="D10" i="27"/>
  <c r="V9" i="27"/>
  <c r="P9" i="27"/>
  <c r="J9" i="27"/>
  <c r="D9" i="27"/>
  <c r="V8" i="27"/>
  <c r="P8" i="27"/>
  <c r="J8" i="27"/>
  <c r="D8" i="27"/>
  <c r="Y7" i="27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V7" i="27"/>
  <c r="P7" i="27"/>
  <c r="J7" i="27"/>
  <c r="D7" i="27"/>
  <c r="A7" i="27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Y6" i="27"/>
  <c r="V6" i="27"/>
  <c r="S6" i="27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P6" i="27"/>
  <c r="M6" i="27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J6" i="27"/>
  <c r="D6" i="27"/>
  <c r="A6" i="27"/>
  <c r="V5" i="27"/>
  <c r="P5" i="27"/>
  <c r="J5" i="27"/>
  <c r="D5" i="27"/>
  <c r="F111" i="33" l="1"/>
  <c r="C110" i="33"/>
  <c r="C109" i="33" s="1"/>
  <c r="C108" i="33" s="1"/>
  <c r="C107" i="33" s="1"/>
  <c r="C106" i="33" s="1"/>
  <c r="C105" i="33" s="1"/>
  <c r="C104" i="33" s="1"/>
  <c r="C103" i="33" s="1"/>
  <c r="C102" i="33" s="1"/>
  <c r="C101" i="33" s="1"/>
  <c r="C100" i="33" s="1"/>
  <c r="C99" i="33" s="1"/>
  <c r="C98" i="33" s="1"/>
  <c r="C97" i="33" s="1"/>
  <c r="C96" i="33" s="1"/>
  <c r="C95" i="33" s="1"/>
  <c r="C94" i="33" s="1"/>
  <c r="C93" i="33" s="1"/>
  <c r="C92" i="33" s="1"/>
  <c r="C91" i="33" s="1"/>
  <c r="C90" i="33" s="1"/>
  <c r="C89" i="33" s="1"/>
  <c r="C88" i="33" s="1"/>
  <c r="C87" i="33" s="1"/>
  <c r="C86" i="33" s="1"/>
  <c r="C85" i="33" s="1"/>
  <c r="C84" i="33" s="1"/>
  <c r="C83" i="33" s="1"/>
  <c r="C82" i="33" s="1"/>
  <c r="C81" i="33" s="1"/>
  <c r="C80" i="33" s="1"/>
  <c r="C79" i="33" s="1"/>
  <c r="C78" i="33" s="1"/>
  <c r="C77" i="33" s="1"/>
  <c r="C76" i="33" s="1"/>
  <c r="C75" i="33" s="1"/>
  <c r="C74" i="33" s="1"/>
  <c r="C73" i="33" s="1"/>
  <c r="C72" i="33" s="1"/>
  <c r="C71" i="33" s="1"/>
  <c r="C70" i="33" s="1"/>
  <c r="C69" i="33" s="1"/>
  <c r="C68" i="33" s="1"/>
  <c r="C67" i="33" s="1"/>
  <c r="C66" i="33" s="1"/>
  <c r="C65" i="33" s="1"/>
  <c r="C64" i="33" s="1"/>
  <c r="C63" i="33" s="1"/>
  <c r="C62" i="33" s="1"/>
  <c r="C61" i="33" s="1"/>
  <c r="C60" i="33" s="1"/>
  <c r="C59" i="33" s="1"/>
  <c r="C58" i="33" s="1"/>
  <c r="C57" i="33" s="1"/>
  <c r="C56" i="33" s="1"/>
  <c r="C55" i="33" s="1"/>
  <c r="C54" i="33" s="1"/>
  <c r="C53" i="33" s="1"/>
  <c r="C52" i="33" s="1"/>
  <c r="C51" i="33" s="1"/>
  <c r="C50" i="33" s="1"/>
  <c r="C49" i="33" s="1"/>
  <c r="C48" i="33" s="1"/>
  <c r="C47" i="33" s="1"/>
  <c r="C46" i="33" s="1"/>
  <c r="C45" i="33" s="1"/>
  <c r="C44" i="33" s="1"/>
  <c r="C43" i="33" s="1"/>
  <c r="C42" i="33" s="1"/>
  <c r="C41" i="33" s="1"/>
  <c r="C40" i="33" s="1"/>
  <c r="C39" i="33" s="1"/>
  <c r="C38" i="33" s="1"/>
  <c r="C37" i="33" s="1"/>
  <c r="C36" i="33" s="1"/>
  <c r="C35" i="33" s="1"/>
  <c r="C34" i="33" s="1"/>
  <c r="C33" i="33" s="1"/>
  <c r="C32" i="33" s="1"/>
  <c r="C31" i="33" s="1"/>
  <c r="C30" i="33" s="1"/>
  <c r="C29" i="33" s="1"/>
  <c r="C28" i="33" s="1"/>
  <c r="C27" i="33" s="1"/>
  <c r="C26" i="33" s="1"/>
  <c r="C25" i="33" s="1"/>
  <c r="C24" i="33" s="1"/>
  <c r="C23" i="33" s="1"/>
  <c r="C22" i="33" s="1"/>
  <c r="C21" i="33" s="1"/>
  <c r="C20" i="33" s="1"/>
  <c r="C19" i="33" s="1"/>
  <c r="C18" i="33" s="1"/>
  <c r="C17" i="33" s="1"/>
  <c r="C16" i="33" s="1"/>
  <c r="C15" i="33" s="1"/>
  <c r="C14" i="33" s="1"/>
  <c r="C13" i="33" s="1"/>
  <c r="C12" i="33" s="1"/>
  <c r="C11" i="33" s="1"/>
  <c r="C10" i="33" s="1"/>
  <c r="C9" i="33" s="1"/>
  <c r="C8" i="33" s="1"/>
  <c r="C7" i="33" s="1"/>
  <c r="C6" i="33" s="1"/>
  <c r="C5" i="33" s="1"/>
  <c r="C4" i="33" s="1"/>
  <c r="C3" i="33" s="1"/>
  <c r="L4" i="28"/>
  <c r="E5" i="28"/>
  <c r="F5" i="28" s="1"/>
  <c r="AC5" i="28"/>
  <c r="J6" i="28"/>
  <c r="H111" i="33" l="1"/>
  <c r="H110" i="33" s="1"/>
  <c r="H109" i="33" s="1"/>
  <c r="H108" i="33" s="1"/>
  <c r="H107" i="33" s="1"/>
  <c r="H106" i="33" s="1"/>
  <c r="H105" i="33" s="1"/>
  <c r="H104" i="33" s="1"/>
  <c r="H103" i="33" s="1"/>
  <c r="H102" i="33" s="1"/>
  <c r="H101" i="33" s="1"/>
  <c r="H100" i="33" s="1"/>
  <c r="H99" i="33" s="1"/>
  <c r="H98" i="33" s="1"/>
  <c r="H97" i="33" s="1"/>
  <c r="H96" i="33" s="1"/>
  <c r="H95" i="33" s="1"/>
  <c r="H94" i="33" s="1"/>
  <c r="H93" i="33" s="1"/>
  <c r="H92" i="33" s="1"/>
  <c r="H91" i="33" s="1"/>
  <c r="H90" i="33" s="1"/>
  <c r="H89" i="33" s="1"/>
  <c r="H88" i="33" s="1"/>
  <c r="H87" i="33" s="1"/>
  <c r="H86" i="33" s="1"/>
  <c r="H85" i="33" s="1"/>
  <c r="H84" i="33" s="1"/>
  <c r="H83" i="33" s="1"/>
  <c r="H82" i="33" s="1"/>
  <c r="H81" i="33" s="1"/>
  <c r="H80" i="33" s="1"/>
  <c r="H79" i="33" s="1"/>
  <c r="H78" i="33" s="1"/>
  <c r="H77" i="33" s="1"/>
  <c r="H76" i="33" s="1"/>
  <c r="H75" i="33" s="1"/>
  <c r="H74" i="33" s="1"/>
  <c r="H73" i="33" s="1"/>
  <c r="H72" i="33" s="1"/>
  <c r="H71" i="33" s="1"/>
  <c r="H70" i="33" s="1"/>
  <c r="H69" i="33" s="1"/>
  <c r="H68" i="33" s="1"/>
  <c r="H67" i="33" s="1"/>
  <c r="H66" i="33" s="1"/>
  <c r="H65" i="33" s="1"/>
  <c r="H64" i="33" s="1"/>
  <c r="H63" i="33" s="1"/>
  <c r="H62" i="33" s="1"/>
  <c r="H61" i="33" s="1"/>
  <c r="H60" i="33" s="1"/>
  <c r="H59" i="33" s="1"/>
  <c r="H58" i="33" s="1"/>
  <c r="H57" i="33" s="1"/>
  <c r="H56" i="33" s="1"/>
  <c r="H55" i="33" s="1"/>
  <c r="H54" i="33" s="1"/>
  <c r="H53" i="33" s="1"/>
  <c r="H52" i="33" s="1"/>
  <c r="H51" i="33" s="1"/>
  <c r="H50" i="33" s="1"/>
  <c r="H49" i="33" s="1"/>
  <c r="H48" i="33" s="1"/>
  <c r="H47" i="33" s="1"/>
  <c r="H46" i="33" s="1"/>
  <c r="H45" i="33" s="1"/>
  <c r="H44" i="33" s="1"/>
  <c r="H43" i="33" s="1"/>
  <c r="H42" i="33" s="1"/>
  <c r="H41" i="33" s="1"/>
  <c r="H40" i="33" s="1"/>
  <c r="H39" i="33" s="1"/>
  <c r="H38" i="33" s="1"/>
  <c r="H37" i="33" s="1"/>
  <c r="H36" i="33" s="1"/>
  <c r="H35" i="33" s="1"/>
  <c r="H34" i="33" s="1"/>
  <c r="H33" i="33" s="1"/>
  <c r="H32" i="33" s="1"/>
  <c r="H31" i="33" s="1"/>
  <c r="H30" i="33" s="1"/>
  <c r="H29" i="33" s="1"/>
  <c r="H28" i="33" s="1"/>
  <c r="H27" i="33" s="1"/>
  <c r="H26" i="33" s="1"/>
  <c r="H25" i="33" s="1"/>
  <c r="H24" i="33" s="1"/>
  <c r="H23" i="33" s="1"/>
  <c r="H22" i="33" s="1"/>
  <c r="H21" i="33" s="1"/>
  <c r="H20" i="33" s="1"/>
  <c r="H19" i="33" s="1"/>
  <c r="H18" i="33" s="1"/>
  <c r="H17" i="33" s="1"/>
  <c r="H16" i="33" s="1"/>
  <c r="H15" i="33" s="1"/>
  <c r="H14" i="33" s="1"/>
  <c r="H13" i="33" s="1"/>
  <c r="H12" i="33" s="1"/>
  <c r="H11" i="33" s="1"/>
  <c r="H10" i="33" s="1"/>
  <c r="H9" i="33" s="1"/>
  <c r="H8" i="33" s="1"/>
  <c r="H7" i="33" s="1"/>
  <c r="H6" i="33" s="1"/>
  <c r="H5" i="33" s="1"/>
  <c r="H4" i="33" s="1"/>
  <c r="H3" i="33" s="1"/>
  <c r="F110" i="33"/>
  <c r="F109" i="33" s="1"/>
  <c r="F108" i="33" s="1"/>
  <c r="F107" i="33" s="1"/>
  <c r="F106" i="33" s="1"/>
  <c r="F105" i="33" s="1"/>
  <c r="F104" i="33" s="1"/>
  <c r="F103" i="33" s="1"/>
  <c r="F102" i="33" s="1"/>
  <c r="F101" i="33" s="1"/>
  <c r="F100" i="33" s="1"/>
  <c r="F99" i="33" s="1"/>
  <c r="F98" i="33" s="1"/>
  <c r="F97" i="33" s="1"/>
  <c r="F96" i="33" s="1"/>
  <c r="F95" i="33" s="1"/>
  <c r="F94" i="33" s="1"/>
  <c r="F93" i="33" s="1"/>
  <c r="F92" i="33" s="1"/>
  <c r="F91" i="33" s="1"/>
  <c r="F90" i="33" s="1"/>
  <c r="F89" i="33" s="1"/>
  <c r="F88" i="33" s="1"/>
  <c r="F87" i="33" s="1"/>
  <c r="F86" i="33" s="1"/>
  <c r="F85" i="33" s="1"/>
  <c r="F84" i="33" s="1"/>
  <c r="F83" i="33" s="1"/>
  <c r="F82" i="33" s="1"/>
  <c r="F81" i="33" s="1"/>
  <c r="F80" i="33" s="1"/>
  <c r="F79" i="33" s="1"/>
  <c r="F78" i="33" s="1"/>
  <c r="F77" i="33" s="1"/>
  <c r="F76" i="33" s="1"/>
  <c r="F75" i="33" s="1"/>
  <c r="F74" i="33" s="1"/>
  <c r="F73" i="33" s="1"/>
  <c r="F72" i="33" s="1"/>
  <c r="F71" i="33" s="1"/>
  <c r="F70" i="33" s="1"/>
  <c r="F69" i="33" s="1"/>
  <c r="F68" i="33" s="1"/>
  <c r="F67" i="33" s="1"/>
  <c r="F66" i="33" s="1"/>
  <c r="F65" i="33" s="1"/>
  <c r="F64" i="33" s="1"/>
  <c r="F63" i="33" s="1"/>
  <c r="F62" i="33" s="1"/>
  <c r="F61" i="33" s="1"/>
  <c r="F60" i="33" s="1"/>
  <c r="F59" i="33" s="1"/>
  <c r="F58" i="33" s="1"/>
  <c r="F57" i="33" s="1"/>
  <c r="F56" i="33" s="1"/>
  <c r="F55" i="33" s="1"/>
  <c r="F54" i="33" s="1"/>
  <c r="F53" i="33" s="1"/>
  <c r="F52" i="33" s="1"/>
  <c r="F51" i="33" s="1"/>
  <c r="F50" i="33" s="1"/>
  <c r="F49" i="33" s="1"/>
  <c r="F48" i="33" s="1"/>
  <c r="F47" i="33" s="1"/>
  <c r="F46" i="33" s="1"/>
  <c r="F45" i="33" s="1"/>
  <c r="F44" i="33" s="1"/>
  <c r="F43" i="33" s="1"/>
  <c r="F42" i="33" s="1"/>
  <c r="F41" i="33" s="1"/>
  <c r="F40" i="33" s="1"/>
  <c r="F39" i="33" s="1"/>
  <c r="F38" i="33" s="1"/>
  <c r="F37" i="33" s="1"/>
  <c r="F36" i="33" s="1"/>
  <c r="F35" i="33" s="1"/>
  <c r="F34" i="33" s="1"/>
  <c r="F33" i="33" s="1"/>
  <c r="F32" i="33" s="1"/>
  <c r="F31" i="33" s="1"/>
  <c r="F30" i="33" s="1"/>
  <c r="F29" i="33" s="1"/>
  <c r="F28" i="33" s="1"/>
  <c r="F27" i="33" s="1"/>
  <c r="F26" i="33" s="1"/>
  <c r="F25" i="33" s="1"/>
  <c r="F24" i="33" s="1"/>
  <c r="F23" i="33" s="1"/>
  <c r="F22" i="33" s="1"/>
  <c r="F21" i="33" s="1"/>
  <c r="F20" i="33" s="1"/>
  <c r="F19" i="33" s="1"/>
  <c r="F18" i="33" s="1"/>
  <c r="F17" i="33" s="1"/>
  <c r="F16" i="33" s="1"/>
  <c r="F15" i="33" s="1"/>
  <c r="F14" i="33" s="1"/>
  <c r="F13" i="33" s="1"/>
  <c r="F12" i="33" s="1"/>
  <c r="F11" i="33" s="1"/>
  <c r="F10" i="33" s="1"/>
  <c r="F9" i="33" s="1"/>
  <c r="F8" i="33" s="1"/>
  <c r="F7" i="33" s="1"/>
  <c r="F6" i="33" s="1"/>
  <c r="F5" i="33" s="1"/>
  <c r="F4" i="33" s="1"/>
  <c r="F3" i="33" s="1"/>
  <c r="K7" i="28"/>
  <c r="E7" i="28"/>
  <c r="F7" i="28" s="1"/>
  <c r="AC6" i="28"/>
  <c r="K8" i="28" l="1"/>
  <c r="E8" i="28"/>
  <c r="F8" i="28" s="1"/>
  <c r="AC7" i="28"/>
  <c r="J7" i="28"/>
  <c r="L7" i="28"/>
  <c r="K9" i="28" l="1"/>
  <c r="E9" i="28"/>
  <c r="F9" i="28" s="1"/>
  <c r="AC8" i="28"/>
  <c r="J8" i="28"/>
  <c r="L8" i="28"/>
  <c r="E10" i="28" l="1"/>
  <c r="F10" i="28" s="1"/>
  <c r="K10" i="28"/>
  <c r="AC9" i="28"/>
  <c r="L9" i="28"/>
  <c r="J9" i="28"/>
  <c r="AC10" i="28" l="1"/>
  <c r="K11" i="28"/>
  <c r="E11" i="28"/>
  <c r="F11" i="28" s="1"/>
  <c r="J10" i="28"/>
  <c r="L10" i="28"/>
  <c r="J11" i="28" l="1"/>
  <c r="L11" i="28"/>
  <c r="K12" i="28"/>
  <c r="E12" i="28"/>
  <c r="F12" i="28" s="1"/>
  <c r="AC11" i="28"/>
  <c r="L12" i="28" l="1"/>
  <c r="J12" i="28"/>
  <c r="K13" i="28"/>
  <c r="E13" i="28"/>
  <c r="F13" i="28" s="1"/>
  <c r="AC12" i="28"/>
  <c r="K14" i="28" l="1"/>
  <c r="AC13" i="28"/>
  <c r="E14" i="28"/>
  <c r="F14" i="28" s="1"/>
  <c r="L13" i="28"/>
  <c r="J13" i="28"/>
  <c r="K15" i="28" l="1"/>
  <c r="E15" i="28"/>
  <c r="F15" i="28" s="1"/>
  <c r="AC14" i="28"/>
  <c r="L14" i="28"/>
  <c r="J14" i="28"/>
  <c r="E16" i="28" l="1"/>
  <c r="F16" i="28" s="1"/>
  <c r="K16" i="28"/>
  <c r="AC15" i="28"/>
  <c r="J15" i="28"/>
  <c r="L15" i="28"/>
  <c r="E17" i="28" l="1"/>
  <c r="F17" i="28" s="1"/>
  <c r="AC16" i="28"/>
  <c r="K17" i="28"/>
  <c r="J16" i="28"/>
  <c r="L16" i="28"/>
  <c r="J17" i="28" l="1"/>
  <c r="L17" i="28"/>
  <c r="E18" i="28"/>
  <c r="F18" i="28" s="1"/>
  <c r="AC17" i="28"/>
  <c r="K18" i="28"/>
  <c r="AC18" i="28" l="1"/>
  <c r="K19" i="28"/>
  <c r="E19" i="28"/>
  <c r="F19" i="28" s="1"/>
  <c r="L18" i="28"/>
  <c r="J18" i="28"/>
  <c r="L19" i="28" l="1"/>
  <c r="J19" i="28"/>
  <c r="K20" i="28"/>
  <c r="E20" i="28"/>
  <c r="F20" i="28" s="1"/>
  <c r="AC19" i="28"/>
  <c r="K21" i="28" l="1"/>
  <c r="E21" i="28"/>
  <c r="F21" i="28" s="1"/>
  <c r="AC20" i="28"/>
  <c r="L20" i="28"/>
  <c r="J20" i="28"/>
  <c r="E22" i="28" l="1"/>
  <c r="F22" i="28" s="1"/>
  <c r="AC21" i="28"/>
  <c r="K22" i="28"/>
  <c r="J21" i="28"/>
  <c r="L21" i="28"/>
  <c r="J22" i="28" l="1"/>
  <c r="L22" i="28"/>
  <c r="E23" i="28"/>
  <c r="F23" i="28" s="1"/>
  <c r="AC22" i="28"/>
  <c r="K23" i="28"/>
  <c r="L23" i="28" l="1"/>
  <c r="J23" i="28"/>
  <c r="E24" i="28"/>
  <c r="F24" i="28" s="1"/>
  <c r="AC23" i="28"/>
  <c r="K24" i="28"/>
  <c r="L24" i="28" l="1"/>
  <c r="J24" i="28"/>
  <c r="AC24" i="28"/>
  <c r="K25" i="28"/>
  <c r="E25" i="28"/>
  <c r="F25" i="28" s="1"/>
  <c r="L25" i="28" l="1"/>
  <c r="J25" i="28"/>
  <c r="K26" i="28"/>
  <c r="AC25" i="28"/>
  <c r="E26" i="28"/>
  <c r="F26" i="28" s="1"/>
  <c r="L26" i="28" l="1"/>
  <c r="J26" i="28"/>
  <c r="K27" i="28"/>
  <c r="E27" i="28"/>
  <c r="F27" i="28" s="1"/>
  <c r="AC26" i="28"/>
  <c r="J27" i="28" l="1"/>
  <c r="L27" i="28"/>
  <c r="E28" i="28"/>
  <c r="F28" i="28" s="1"/>
  <c r="AC27" i="28"/>
  <c r="K28" i="28"/>
  <c r="J28" i="28" l="1"/>
  <c r="L28" i="28"/>
  <c r="E29" i="28"/>
  <c r="AC28" i="28"/>
  <c r="K29" i="28"/>
  <c r="J29" i="28" l="1"/>
  <c r="L29" i="28"/>
  <c r="E30" i="28"/>
  <c r="AC29" i="28"/>
  <c r="K30" i="28"/>
  <c r="AC30" i="28" l="1"/>
  <c r="K31" i="28"/>
  <c r="E31" i="28"/>
  <c r="D30" i="28"/>
  <c r="F30" i="28"/>
  <c r="L30" i="28"/>
  <c r="J30" i="28"/>
  <c r="F31" i="28" l="1"/>
  <c r="D31" i="28"/>
  <c r="L31" i="28"/>
  <c r="J31" i="28"/>
  <c r="E32" i="28"/>
  <c r="K32" i="28"/>
  <c r="AC31" i="28"/>
  <c r="F32" i="28" l="1"/>
  <c r="D32" i="28"/>
  <c r="J32" i="28"/>
  <c r="L32" i="28"/>
  <c r="E33" i="28"/>
  <c r="AC32" i="28"/>
  <c r="K33" i="28"/>
  <c r="AC33" i="28" l="1"/>
  <c r="K34" i="28"/>
  <c r="E34" i="28"/>
  <c r="D33" i="28"/>
  <c r="F33" i="28"/>
  <c r="L33" i="28"/>
  <c r="J33" i="28"/>
  <c r="L34" i="28" l="1"/>
  <c r="J34" i="28"/>
  <c r="F34" i="28"/>
  <c r="D34" i="28"/>
  <c r="E35" i="28"/>
  <c r="K35" i="28"/>
  <c r="AC34" i="28"/>
  <c r="J35" i="28" l="1"/>
  <c r="L35" i="28"/>
  <c r="F35" i="28"/>
  <c r="D35" i="28"/>
  <c r="E36" i="28"/>
  <c r="AC35" i="28"/>
  <c r="K36" i="28"/>
  <c r="AC36" i="28" l="1"/>
  <c r="K37" i="28"/>
  <c r="E37" i="28"/>
  <c r="D36" i="28"/>
  <c r="F36" i="28"/>
  <c r="L36" i="28"/>
  <c r="J36" i="28"/>
  <c r="F37" i="28" l="1"/>
  <c r="D37" i="28"/>
  <c r="L37" i="28"/>
  <c r="J37" i="28"/>
  <c r="E38" i="28"/>
  <c r="AC37" i="28"/>
  <c r="K38" i="28"/>
  <c r="F38" i="28" l="1"/>
  <c r="D38" i="28"/>
  <c r="E39" i="28"/>
  <c r="AC38" i="28"/>
  <c r="K39" i="28"/>
  <c r="J38" i="28"/>
  <c r="L38" i="28"/>
  <c r="L39" i="28" l="1"/>
  <c r="J39" i="28"/>
  <c r="AC39" i="28"/>
  <c r="K40" i="28"/>
  <c r="E40" i="28"/>
  <c r="D39" i="28"/>
  <c r="F39" i="28"/>
  <c r="E41" i="28" l="1"/>
  <c r="K41" i="28"/>
  <c r="AC40" i="28"/>
  <c r="F40" i="28"/>
  <c r="D40" i="28"/>
  <c r="L40" i="28"/>
  <c r="J40" i="28"/>
  <c r="E42" i="28" l="1"/>
  <c r="AC41" i="28"/>
  <c r="K42" i="28"/>
  <c r="J41" i="28"/>
  <c r="L41" i="28"/>
  <c r="F41" i="28"/>
  <c r="D41" i="28"/>
  <c r="L42" i="28" l="1"/>
  <c r="J42" i="28"/>
  <c r="AC42" i="28"/>
  <c r="K43" i="28"/>
  <c r="E43" i="28"/>
  <c r="D42" i="28"/>
  <c r="F42" i="28"/>
  <c r="F43" i="28" l="1"/>
  <c r="D43" i="28"/>
  <c r="L43" i="28"/>
  <c r="J43" i="28"/>
  <c r="E44" i="28"/>
  <c r="AC43" i="28"/>
  <c r="K44" i="28"/>
  <c r="E45" i="28" l="1"/>
  <c r="AC44" i="28"/>
  <c r="K45" i="28"/>
  <c r="F44" i="28"/>
  <c r="D44" i="28"/>
  <c r="J44" i="28"/>
  <c r="L44" i="28"/>
  <c r="L45" i="28" l="1"/>
  <c r="J45" i="28"/>
  <c r="AC45" i="28"/>
  <c r="K46" i="28"/>
  <c r="E46" i="28"/>
  <c r="D45" i="28"/>
  <c r="F45" i="28"/>
  <c r="F46" i="28" l="1"/>
  <c r="D46" i="28"/>
  <c r="L46" i="28"/>
  <c r="J46" i="28"/>
  <c r="E47" i="28"/>
  <c r="AC46" i="28"/>
  <c r="K47" i="28"/>
  <c r="F47" i="28" l="1"/>
  <c r="D47" i="28"/>
  <c r="E48" i="28"/>
  <c r="AC47" i="28"/>
  <c r="K48" i="28"/>
  <c r="J47" i="28"/>
  <c r="L47" i="28"/>
  <c r="L48" i="28" l="1"/>
  <c r="J48" i="28"/>
  <c r="AC48" i="28"/>
  <c r="AC49" i="28" s="1"/>
  <c r="AC50" i="28" s="1"/>
  <c r="AC51" i="28" s="1"/>
  <c r="AC52" i="28" s="1"/>
  <c r="AC53" i="28" s="1"/>
  <c r="AC54" i="28" s="1"/>
  <c r="AC55" i="28" s="1"/>
  <c r="AC56" i="28" s="1"/>
  <c r="AC57" i="28" s="1"/>
  <c r="AC58" i="28" s="1"/>
  <c r="AC59" i="28" s="1"/>
  <c r="AC60" i="28" s="1"/>
  <c r="AC61" i="28" s="1"/>
  <c r="AC62" i="28" s="1"/>
  <c r="AC63" i="28" s="1"/>
  <c r="AC64" i="28" s="1"/>
  <c r="AC65" i="28" s="1"/>
  <c r="AC66" i="28" s="1"/>
  <c r="AC67" i="28" s="1"/>
  <c r="AC68" i="28" s="1"/>
  <c r="AC69" i="28" s="1"/>
  <c r="AC70" i="28" s="1"/>
  <c r="AC71" i="28" s="1"/>
  <c r="AC72" i="28" s="1"/>
  <c r="AC73" i="28" s="1"/>
  <c r="AC74" i="28" s="1"/>
  <c r="AC75" i="28" s="1"/>
  <c r="AC76" i="28" s="1"/>
  <c r="AC77" i="28" s="1"/>
  <c r="AC78" i="28" s="1"/>
  <c r="AC79" i="28" s="1"/>
  <c r="AC80" i="28" s="1"/>
  <c r="AC81" i="28" s="1"/>
  <c r="AC82" i="28" s="1"/>
  <c r="AC83" i="28" s="1"/>
  <c r="AC84" i="28" s="1"/>
  <c r="AC85" i="28" s="1"/>
  <c r="AC86" i="28" s="1"/>
  <c r="AC87" i="28" s="1"/>
  <c r="AC88" i="28" s="1"/>
  <c r="AC89" i="28" s="1"/>
  <c r="AC90" i="28" s="1"/>
  <c r="AC91" i="28" s="1"/>
  <c r="AC92" i="28" s="1"/>
  <c r="AC93" i="28" s="1"/>
  <c r="AC94" i="28" s="1"/>
  <c r="AC95" i="28" s="1"/>
  <c r="AC96" i="28" s="1"/>
  <c r="AC97" i="28" s="1"/>
  <c r="K49" i="28"/>
  <c r="D48" i="28"/>
  <c r="F48" i="28"/>
  <c r="L49" i="28" l="1"/>
  <c r="J49" i="28"/>
  <c r="F7" i="19" l="1"/>
  <c r="G7" i="19" s="1"/>
  <c r="C4" i="19" s="1"/>
  <c r="L4" i="20" s="1"/>
  <c r="F6" i="19"/>
  <c r="G6" i="19" s="1"/>
  <c r="F5" i="19"/>
  <c r="G5" i="19" s="1"/>
  <c r="G4" i="19"/>
  <c r="C2" i="26" l="1"/>
  <c r="Q75" i="26" s="1"/>
  <c r="O3" i="26"/>
  <c r="F7" i="26" s="1"/>
  <c r="I7" i="26" s="1"/>
  <c r="P3" i="26"/>
  <c r="F8" i="26" s="1"/>
  <c r="N25" i="26" s="1"/>
  <c r="K3" i="26"/>
  <c r="F3" i="26" s="1"/>
  <c r="F12" i="26" s="1"/>
  <c r="L3" i="26"/>
  <c r="F4" i="26" s="1"/>
  <c r="I4" i="26" s="1"/>
  <c r="M3" i="26"/>
  <c r="F5" i="26" s="1"/>
  <c r="N3" i="26"/>
  <c r="F6" i="26" s="1"/>
  <c r="I6" i="26" s="1"/>
  <c r="AF81" i="26"/>
  <c r="Q81" i="26"/>
  <c r="AV80" i="26"/>
  <c r="AW80" i="26" s="1"/>
  <c r="AU80" i="26"/>
  <c r="AT80" i="26" s="1"/>
  <c r="AO80" i="26" s="1"/>
  <c r="AQ80" i="26"/>
  <c r="AL80" i="26"/>
  <c r="Q80" i="26"/>
  <c r="AV79" i="26"/>
  <c r="AW79" i="26" s="1"/>
  <c r="AU79" i="26"/>
  <c r="AT79" i="26" s="1"/>
  <c r="AO79" i="26" s="1"/>
  <c r="AQ79" i="26" s="1"/>
  <c r="AL79" i="26"/>
  <c r="AW78" i="26"/>
  <c r="AV78" i="26"/>
  <c r="AU78" i="26"/>
  <c r="AT78" i="26" s="1"/>
  <c r="AO78" i="26" s="1"/>
  <c r="AL78" i="26"/>
  <c r="AV77" i="26"/>
  <c r="AW77" i="26" s="1"/>
  <c r="AU77" i="26"/>
  <c r="AT77" i="26" s="1"/>
  <c r="AO77" i="26" s="1"/>
  <c r="AL77" i="26"/>
  <c r="AV76" i="26"/>
  <c r="AW76" i="26" s="1"/>
  <c r="AU76" i="26"/>
  <c r="AT76" i="26" s="1"/>
  <c r="AO76" i="26" s="1"/>
  <c r="AQ76" i="26" s="1"/>
  <c r="AL76" i="26"/>
  <c r="AW75" i="26"/>
  <c r="AV75" i="26"/>
  <c r="AU75" i="26"/>
  <c r="AT75" i="26" s="1"/>
  <c r="AO75" i="26" s="1"/>
  <c r="AQ75" i="26" s="1"/>
  <c r="AL75" i="26"/>
  <c r="AF75" i="26"/>
  <c r="AV74" i="26"/>
  <c r="AW74" i="26" s="1"/>
  <c r="AU74" i="26"/>
  <c r="AT74" i="26" s="1"/>
  <c r="AO74" i="26" s="1"/>
  <c r="AL74" i="26"/>
  <c r="AV73" i="26"/>
  <c r="AW73" i="26" s="1"/>
  <c r="AU73" i="26"/>
  <c r="AT73" i="26" s="1"/>
  <c r="AO73" i="26" s="1"/>
  <c r="AL73" i="26"/>
  <c r="AF73" i="26"/>
  <c r="Q73" i="26"/>
  <c r="AW72" i="26"/>
  <c r="AV72" i="26"/>
  <c r="AU72" i="26"/>
  <c r="AT72" i="26" s="1"/>
  <c r="AO72" i="26" s="1"/>
  <c r="AQ72" i="26" s="1"/>
  <c r="AL72" i="26"/>
  <c r="AF72" i="26"/>
  <c r="Q72" i="26"/>
  <c r="AV71" i="26"/>
  <c r="AW71" i="26" s="1"/>
  <c r="AU71" i="26"/>
  <c r="AT71" i="26" s="1"/>
  <c r="AO71" i="26" s="1"/>
  <c r="AQ71" i="26"/>
  <c r="AP71" i="26"/>
  <c r="AR71" i="26" s="1"/>
  <c r="AN71" i="26"/>
  <c r="AL71" i="26"/>
  <c r="Q71" i="26"/>
  <c r="AV70" i="26"/>
  <c r="AW70" i="26" s="1"/>
  <c r="AU70" i="26"/>
  <c r="AT70" i="26" s="1"/>
  <c r="AO70" i="26" s="1"/>
  <c r="AL70" i="26"/>
  <c r="AF70" i="26"/>
  <c r="AV69" i="26"/>
  <c r="AW69" i="26" s="1"/>
  <c r="AU69" i="26"/>
  <c r="AT69" i="26" s="1"/>
  <c r="AO69" i="26" s="1"/>
  <c r="AQ69" i="26" s="1"/>
  <c r="AN69" i="26"/>
  <c r="AL69" i="26"/>
  <c r="AF69" i="26"/>
  <c r="AW68" i="26"/>
  <c r="AV68" i="26"/>
  <c r="AU68" i="26"/>
  <c r="AT68" i="26" s="1"/>
  <c r="AO68" i="26" s="1"/>
  <c r="AQ68" i="26" s="1"/>
  <c r="AL68" i="26"/>
  <c r="AF68" i="26"/>
  <c r="AW67" i="26"/>
  <c r="AV67" i="26"/>
  <c r="AU67" i="26"/>
  <c r="AT67" i="26" s="1"/>
  <c r="AO67" i="26" s="1"/>
  <c r="AN67" i="26" s="1"/>
  <c r="AQ67" i="26"/>
  <c r="AP67" i="26" s="1"/>
  <c r="AR67" i="26" s="1"/>
  <c r="AL67" i="26"/>
  <c r="Q67" i="26"/>
  <c r="AV66" i="26"/>
  <c r="AW66" i="26" s="1"/>
  <c r="AU66" i="26"/>
  <c r="AT66" i="26" s="1"/>
  <c r="AO66" i="26" s="1"/>
  <c r="AL66" i="26"/>
  <c r="AF66" i="26"/>
  <c r="AV65" i="26"/>
  <c r="AW65" i="26" s="1"/>
  <c r="AU65" i="26"/>
  <c r="AT65" i="26" s="1"/>
  <c r="AO65" i="26" s="1"/>
  <c r="AL65" i="26"/>
  <c r="AF65" i="26"/>
  <c r="Q65" i="26"/>
  <c r="AV64" i="26"/>
  <c r="AW64" i="26" s="1"/>
  <c r="AU64" i="26"/>
  <c r="AT64" i="26" s="1"/>
  <c r="AO64" i="26" s="1"/>
  <c r="AQ64" i="26"/>
  <c r="AL64" i="26"/>
  <c r="AF64" i="26"/>
  <c r="Q64" i="26"/>
  <c r="AW63" i="26"/>
  <c r="AV63" i="26"/>
  <c r="AU63" i="26"/>
  <c r="AT63" i="26" s="1"/>
  <c r="AO63" i="26" s="1"/>
  <c r="AQ63" i="26"/>
  <c r="AP63" i="26" s="1"/>
  <c r="AR63" i="26" s="1"/>
  <c r="AN63" i="26"/>
  <c r="AL63" i="26"/>
  <c r="Q63" i="26"/>
  <c r="AV62" i="26"/>
  <c r="AW62" i="26" s="1"/>
  <c r="AU62" i="26"/>
  <c r="AT62" i="26" s="1"/>
  <c r="AO62" i="26" s="1"/>
  <c r="AL62" i="26"/>
  <c r="AF62" i="26"/>
  <c r="AV61" i="26"/>
  <c r="AW61" i="26" s="1"/>
  <c r="AU61" i="26"/>
  <c r="AT61" i="26" s="1"/>
  <c r="AO61" i="26"/>
  <c r="AL61" i="26"/>
  <c r="AF61" i="26"/>
  <c r="AV60" i="26"/>
  <c r="AW60" i="26" s="1"/>
  <c r="AU60" i="26"/>
  <c r="AT60" i="26"/>
  <c r="AO60" i="26" s="1"/>
  <c r="AL60" i="26"/>
  <c r="AF60" i="26"/>
  <c r="AV59" i="26"/>
  <c r="AW59" i="26" s="1"/>
  <c r="AU59" i="26"/>
  <c r="AT59" i="26" s="1"/>
  <c r="AO59" i="26" s="1"/>
  <c r="AL59" i="26"/>
  <c r="AF59" i="26"/>
  <c r="Q59" i="26"/>
  <c r="AV58" i="26"/>
  <c r="AW58" i="26" s="1"/>
  <c r="AU58" i="26"/>
  <c r="AT58" i="26" s="1"/>
  <c r="AO58" i="26" s="1"/>
  <c r="AL58" i="26"/>
  <c r="AF58" i="26"/>
  <c r="Q58" i="26"/>
  <c r="AV57" i="26"/>
  <c r="AW57" i="26" s="1"/>
  <c r="AU57" i="26"/>
  <c r="AT57" i="26" s="1"/>
  <c r="AO57" i="26" s="1"/>
  <c r="AL57" i="26"/>
  <c r="AF57" i="26"/>
  <c r="Q57" i="26"/>
  <c r="AV56" i="26"/>
  <c r="AW56" i="26" s="1"/>
  <c r="AU56" i="26"/>
  <c r="AT56" i="26" s="1"/>
  <c r="AO56" i="26" s="1"/>
  <c r="AL56" i="26"/>
  <c r="AF56" i="26"/>
  <c r="Q56" i="26"/>
  <c r="AV55" i="26"/>
  <c r="AW55" i="26" s="1"/>
  <c r="AU55" i="26"/>
  <c r="AT55" i="26" s="1"/>
  <c r="AO55" i="26"/>
  <c r="AL55" i="26"/>
  <c r="AF55" i="26"/>
  <c r="Q55" i="26"/>
  <c r="AV54" i="26"/>
  <c r="AW54" i="26" s="1"/>
  <c r="AU54" i="26"/>
  <c r="AT54" i="26"/>
  <c r="AO54" i="26" s="1"/>
  <c r="AL54" i="26"/>
  <c r="AF54" i="26"/>
  <c r="Q54" i="26"/>
  <c r="AV53" i="26"/>
  <c r="AW53" i="26" s="1"/>
  <c r="AU53" i="26"/>
  <c r="AT53" i="26" s="1"/>
  <c r="AO53" i="26" s="1"/>
  <c r="AL53" i="26"/>
  <c r="Q53" i="26"/>
  <c r="AV52" i="26"/>
  <c r="AW52" i="26" s="1"/>
  <c r="AU52" i="26"/>
  <c r="AT52" i="26" s="1"/>
  <c r="AO52" i="26" s="1"/>
  <c r="AL52" i="26"/>
  <c r="AF52" i="26"/>
  <c r="Q52" i="26"/>
  <c r="AV51" i="26"/>
  <c r="AW51" i="26" s="1"/>
  <c r="AU51" i="26"/>
  <c r="AT51" i="26" s="1"/>
  <c r="AO51" i="26" s="1"/>
  <c r="AL51" i="26"/>
  <c r="AF51" i="26"/>
  <c r="Q51" i="26"/>
  <c r="AV50" i="26"/>
  <c r="AW50" i="26" s="1"/>
  <c r="AU50" i="26"/>
  <c r="AT50" i="26" s="1"/>
  <c r="AO50" i="26" s="1"/>
  <c r="AL50" i="26"/>
  <c r="AF50" i="26"/>
  <c r="Q50" i="26"/>
  <c r="AV49" i="26"/>
  <c r="AW49" i="26" s="1"/>
  <c r="AU49" i="26"/>
  <c r="AT49" i="26" s="1"/>
  <c r="AO49" i="26"/>
  <c r="AN49" i="26" s="1"/>
  <c r="AL49" i="26"/>
  <c r="AF49" i="26"/>
  <c r="Q49" i="26"/>
  <c r="AV48" i="26"/>
  <c r="AW48" i="26" s="1"/>
  <c r="AU48" i="26"/>
  <c r="AT48" i="26" s="1"/>
  <c r="AO48" i="26" s="1"/>
  <c r="AL48" i="26"/>
  <c r="AF48" i="26"/>
  <c r="Q48" i="26"/>
  <c r="AV47" i="26"/>
  <c r="AW47" i="26" s="1"/>
  <c r="AU47" i="26"/>
  <c r="AT47" i="26" s="1"/>
  <c r="AO47" i="26"/>
  <c r="AL47" i="26"/>
  <c r="AF47" i="26"/>
  <c r="Q47" i="26"/>
  <c r="AV46" i="26"/>
  <c r="AW46" i="26" s="1"/>
  <c r="AU46" i="26"/>
  <c r="AT46" i="26" s="1"/>
  <c r="AO46" i="26" s="1"/>
  <c r="AL46" i="26"/>
  <c r="AF46" i="26"/>
  <c r="Q46" i="26"/>
  <c r="AV45" i="26"/>
  <c r="AW45" i="26" s="1"/>
  <c r="AU45" i="26"/>
  <c r="AT45" i="26" s="1"/>
  <c r="AO45" i="26" s="1"/>
  <c r="AL45" i="26"/>
  <c r="AF45" i="26"/>
  <c r="Q45" i="26"/>
  <c r="AV44" i="26"/>
  <c r="AW44" i="26" s="1"/>
  <c r="AU44" i="26"/>
  <c r="AT44" i="26"/>
  <c r="AO44" i="26" s="1"/>
  <c r="AN44" i="26" s="1"/>
  <c r="AL44" i="26"/>
  <c r="AF44" i="26"/>
  <c r="Q44" i="26"/>
  <c r="AW43" i="26"/>
  <c r="AV43" i="26"/>
  <c r="AU43" i="26"/>
  <c r="AT43" i="26" s="1"/>
  <c r="AO43" i="26"/>
  <c r="AQ43" i="26" s="1"/>
  <c r="AL43" i="26"/>
  <c r="AF43" i="26"/>
  <c r="Q43" i="26"/>
  <c r="AV42" i="26"/>
  <c r="AW42" i="26" s="1"/>
  <c r="AU42" i="26"/>
  <c r="AT42" i="26" s="1"/>
  <c r="AO42" i="26" s="1"/>
  <c r="AL42" i="26"/>
  <c r="AF42" i="26"/>
  <c r="Q42" i="26"/>
  <c r="AV41" i="26"/>
  <c r="AW41" i="26" s="1"/>
  <c r="AU41" i="26"/>
  <c r="AT41" i="26" s="1"/>
  <c r="AO41" i="26"/>
  <c r="AQ41" i="26" s="1"/>
  <c r="AL41" i="26"/>
  <c r="AF41" i="26"/>
  <c r="Q41" i="26"/>
  <c r="AV40" i="26"/>
  <c r="AW40" i="26" s="1"/>
  <c r="AU40" i="26"/>
  <c r="AT40" i="26" s="1"/>
  <c r="AO40" i="26" s="1"/>
  <c r="AN40" i="26"/>
  <c r="AL40" i="26"/>
  <c r="AF40" i="26"/>
  <c r="Q40" i="26"/>
  <c r="AV39" i="26"/>
  <c r="AW39" i="26" s="1"/>
  <c r="AU39" i="26"/>
  <c r="AT39" i="26" s="1"/>
  <c r="AO39" i="26" s="1"/>
  <c r="AL39" i="26"/>
  <c r="AF39" i="26"/>
  <c r="Q39" i="26"/>
  <c r="AV38" i="26"/>
  <c r="AW38" i="26" s="1"/>
  <c r="AU38" i="26"/>
  <c r="AT38" i="26" s="1"/>
  <c r="AO38" i="26" s="1"/>
  <c r="AL38" i="26"/>
  <c r="AF38" i="26"/>
  <c r="Q38" i="26"/>
  <c r="AW37" i="26"/>
  <c r="AV37" i="26"/>
  <c r="AU37" i="26"/>
  <c r="AT37" i="26" s="1"/>
  <c r="AO37" i="26" s="1"/>
  <c r="AN37" i="26" s="1"/>
  <c r="AL37" i="26"/>
  <c r="AF37" i="26"/>
  <c r="Q37" i="26"/>
  <c r="AV36" i="26"/>
  <c r="AW36" i="26" s="1"/>
  <c r="AU36" i="26"/>
  <c r="AT36" i="26" s="1"/>
  <c r="AO36" i="26" s="1"/>
  <c r="AL36" i="26"/>
  <c r="AF36" i="26"/>
  <c r="Q36" i="26"/>
  <c r="AV35" i="26"/>
  <c r="AW35" i="26" s="1"/>
  <c r="AU35" i="26"/>
  <c r="AT35" i="26" s="1"/>
  <c r="AO35" i="26" s="1"/>
  <c r="AN35" i="26" s="1"/>
  <c r="AL35" i="26"/>
  <c r="AF35" i="26"/>
  <c r="Q35" i="26"/>
  <c r="AV34" i="26"/>
  <c r="AW34" i="26" s="1"/>
  <c r="AU34" i="26"/>
  <c r="AT34" i="26" s="1"/>
  <c r="AO34" i="26" s="1"/>
  <c r="AL34" i="26"/>
  <c r="AF34" i="26"/>
  <c r="Q34" i="26"/>
  <c r="AV33" i="26"/>
  <c r="AW33" i="26" s="1"/>
  <c r="AU33" i="26"/>
  <c r="AT33" i="26" s="1"/>
  <c r="AO33" i="26" s="1"/>
  <c r="AN33" i="26" s="1"/>
  <c r="AL33" i="26"/>
  <c r="AF33" i="26"/>
  <c r="Q33" i="26"/>
  <c r="AV32" i="26"/>
  <c r="AW32" i="26" s="1"/>
  <c r="AU32" i="26"/>
  <c r="AT32" i="26" s="1"/>
  <c r="AO32" i="26" s="1"/>
  <c r="AL32" i="26"/>
  <c r="AF32" i="26"/>
  <c r="Q32" i="26"/>
  <c r="AV31" i="26"/>
  <c r="AW31" i="26" s="1"/>
  <c r="AU31" i="26"/>
  <c r="AT31" i="26" s="1"/>
  <c r="AO31" i="26" s="1"/>
  <c r="AN31" i="26" s="1"/>
  <c r="AL31" i="26"/>
  <c r="AF31" i="26"/>
  <c r="Q31" i="26"/>
  <c r="AV30" i="26"/>
  <c r="AW30" i="26" s="1"/>
  <c r="AU30" i="26"/>
  <c r="AT30" i="26" s="1"/>
  <c r="AO30" i="26" s="1"/>
  <c r="AL30" i="26"/>
  <c r="AF30" i="26"/>
  <c r="Q30" i="26"/>
  <c r="AV29" i="26"/>
  <c r="AW29" i="26" s="1"/>
  <c r="AU29" i="26"/>
  <c r="AT29" i="26" s="1"/>
  <c r="AO29" i="26" s="1"/>
  <c r="AN29" i="26" s="1"/>
  <c r="AL29" i="26"/>
  <c r="AF29" i="26"/>
  <c r="Q29" i="26"/>
  <c r="AV28" i="26"/>
  <c r="AW28" i="26" s="1"/>
  <c r="AU28" i="26"/>
  <c r="AT28" i="26" s="1"/>
  <c r="AO28" i="26" s="1"/>
  <c r="AL28" i="26"/>
  <c r="AF28" i="26"/>
  <c r="Q28" i="26"/>
  <c r="AV27" i="26"/>
  <c r="AW27" i="26" s="1"/>
  <c r="AU27" i="26"/>
  <c r="AT27" i="26" s="1"/>
  <c r="AO27" i="26" s="1"/>
  <c r="AN27" i="26" s="1"/>
  <c r="AL27" i="26"/>
  <c r="AF27" i="26"/>
  <c r="Q27" i="26"/>
  <c r="AV26" i="26"/>
  <c r="AW26" i="26" s="1"/>
  <c r="AU26" i="26"/>
  <c r="AT26" i="26" s="1"/>
  <c r="AO26" i="26" s="1"/>
  <c r="AN26" i="26" s="1"/>
  <c r="AL26" i="26"/>
  <c r="AF26" i="26"/>
  <c r="Q26" i="26"/>
  <c r="AV25" i="26"/>
  <c r="AW25" i="26" s="1"/>
  <c r="AU25" i="26"/>
  <c r="AT25" i="26" s="1"/>
  <c r="AO25" i="26" s="1"/>
  <c r="AN25" i="26" s="1"/>
  <c r="AL25" i="26"/>
  <c r="AF25" i="26"/>
  <c r="V25" i="26"/>
  <c r="U25" i="26"/>
  <c r="Q25" i="26"/>
  <c r="AV24" i="26"/>
  <c r="AW24" i="26" s="1"/>
  <c r="AU24" i="26"/>
  <c r="AT24" i="26" s="1"/>
  <c r="AO24" i="26" s="1"/>
  <c r="AN24" i="26" s="1"/>
  <c r="AL24" i="26"/>
  <c r="AF24" i="26"/>
  <c r="AC24" i="26"/>
  <c r="V24" i="26"/>
  <c r="U24" i="26"/>
  <c r="Q24" i="26"/>
  <c r="N24" i="26"/>
  <c r="AV23" i="26"/>
  <c r="AW23" i="26" s="1"/>
  <c r="AU23" i="26"/>
  <c r="AT23" i="26" s="1"/>
  <c r="AO23" i="26" s="1"/>
  <c r="AN23" i="26" s="1"/>
  <c r="AL23" i="26"/>
  <c r="AF23" i="26"/>
  <c r="AC23" i="26"/>
  <c r="V23" i="26"/>
  <c r="U23" i="26"/>
  <c r="Q23" i="26"/>
  <c r="N23" i="26"/>
  <c r="AV22" i="26"/>
  <c r="AW22" i="26" s="1"/>
  <c r="AU22" i="26"/>
  <c r="AT22" i="26" s="1"/>
  <c r="AO22" i="26" s="1"/>
  <c r="AN22" i="26" s="1"/>
  <c r="AL22" i="26"/>
  <c r="AF22" i="26"/>
  <c r="AC22" i="26"/>
  <c r="V22" i="26"/>
  <c r="U22" i="26"/>
  <c r="Q22" i="26"/>
  <c r="N22" i="26"/>
  <c r="AV21" i="26"/>
  <c r="AW21" i="26" s="1"/>
  <c r="AU21" i="26"/>
  <c r="AT21" i="26" s="1"/>
  <c r="AO21" i="26" s="1"/>
  <c r="AN21" i="26" s="1"/>
  <c r="AQ21" i="26"/>
  <c r="AP21" i="26" s="1"/>
  <c r="AR21" i="26" s="1"/>
  <c r="AL21" i="26"/>
  <c r="AF21" i="26"/>
  <c r="AC21" i="26"/>
  <c r="V21" i="26"/>
  <c r="U21" i="26"/>
  <c r="Q21" i="26"/>
  <c r="N21" i="26"/>
  <c r="AV20" i="26"/>
  <c r="AW20" i="26" s="1"/>
  <c r="AU20" i="26"/>
  <c r="AT20" i="26" s="1"/>
  <c r="AO20" i="26" s="1"/>
  <c r="AQ20" i="26" s="1"/>
  <c r="AP20" i="26" s="1"/>
  <c r="AR20" i="26" s="1"/>
  <c r="AL20" i="26"/>
  <c r="AF20" i="26"/>
  <c r="AC20" i="26"/>
  <c r="V20" i="26"/>
  <c r="U20" i="26"/>
  <c r="Q20" i="26"/>
  <c r="N20" i="26"/>
  <c r="AV19" i="26"/>
  <c r="AW19" i="26" s="1"/>
  <c r="AU19" i="26"/>
  <c r="AT19" i="26"/>
  <c r="AO19" i="26" s="1"/>
  <c r="AQ19" i="26" s="1"/>
  <c r="AL19" i="26"/>
  <c r="AF19" i="26"/>
  <c r="AC19" i="26"/>
  <c r="V19" i="26"/>
  <c r="U19" i="26"/>
  <c r="Q19" i="26"/>
  <c r="N19" i="26"/>
  <c r="AV18" i="26"/>
  <c r="AW18" i="26" s="1"/>
  <c r="AU18" i="26"/>
  <c r="AT18" i="26" s="1"/>
  <c r="AO18" i="26" s="1"/>
  <c r="AN18" i="26" s="1"/>
  <c r="AQ18" i="26"/>
  <c r="AP18" i="26" s="1"/>
  <c r="AR18" i="26" s="1"/>
  <c r="AL18" i="26"/>
  <c r="AF18" i="26"/>
  <c r="AC18" i="26"/>
  <c r="V18" i="26"/>
  <c r="U18" i="26"/>
  <c r="Q18" i="26"/>
  <c r="N18" i="26"/>
  <c r="AW17" i="26"/>
  <c r="AV17" i="26"/>
  <c r="AU17" i="26"/>
  <c r="AT17" i="26" s="1"/>
  <c r="AO17" i="26" s="1"/>
  <c r="AL17" i="26"/>
  <c r="AF17" i="26"/>
  <c r="AE17" i="26"/>
  <c r="AE18" i="26" s="1"/>
  <c r="AE19" i="26" s="1"/>
  <c r="AE20" i="26" s="1"/>
  <c r="AE21" i="26" s="1"/>
  <c r="AE22" i="26" s="1"/>
  <c r="AE23" i="26" s="1"/>
  <c r="AE24" i="26" s="1"/>
  <c r="AE25" i="26" s="1"/>
  <c r="AE26" i="26" s="1"/>
  <c r="AE27" i="26" s="1"/>
  <c r="AE28" i="26" s="1"/>
  <c r="AE29" i="26" s="1"/>
  <c r="AE30" i="26" s="1"/>
  <c r="AE31" i="26" s="1"/>
  <c r="AE32" i="26" s="1"/>
  <c r="AE33" i="26" s="1"/>
  <c r="AE34" i="26" s="1"/>
  <c r="AE35" i="26" s="1"/>
  <c r="AE36" i="26" s="1"/>
  <c r="AE37" i="26" s="1"/>
  <c r="AE38" i="26" s="1"/>
  <c r="AE39" i="26" s="1"/>
  <c r="AE40" i="26" s="1"/>
  <c r="AE41" i="26" s="1"/>
  <c r="AE42" i="26" s="1"/>
  <c r="AE43" i="26" s="1"/>
  <c r="AE44" i="26" s="1"/>
  <c r="AE45" i="26" s="1"/>
  <c r="AE46" i="26" s="1"/>
  <c r="AE47" i="26" s="1"/>
  <c r="AE48" i="26" s="1"/>
  <c r="AE49" i="26" s="1"/>
  <c r="AE50" i="26" s="1"/>
  <c r="AE51" i="26" s="1"/>
  <c r="AE52" i="26" s="1"/>
  <c r="AE53" i="26" s="1"/>
  <c r="AE54" i="26" s="1"/>
  <c r="AE55" i="26" s="1"/>
  <c r="AE56" i="26" s="1"/>
  <c r="AE57" i="26" s="1"/>
  <c r="AE58" i="26" s="1"/>
  <c r="AE59" i="26" s="1"/>
  <c r="AE60" i="26" s="1"/>
  <c r="AE61" i="26" s="1"/>
  <c r="AE62" i="26" s="1"/>
  <c r="AE63" i="26" s="1"/>
  <c r="AE64" i="26" s="1"/>
  <c r="AE65" i="26" s="1"/>
  <c r="AE66" i="26" s="1"/>
  <c r="AE67" i="26" s="1"/>
  <c r="AE68" i="26" s="1"/>
  <c r="AE69" i="26" s="1"/>
  <c r="AE70" i="26" s="1"/>
  <c r="AE71" i="26" s="1"/>
  <c r="AE72" i="26" s="1"/>
  <c r="AE73" i="26" s="1"/>
  <c r="AE74" i="26" s="1"/>
  <c r="AE75" i="26" s="1"/>
  <c r="AE76" i="26" s="1"/>
  <c r="AE77" i="26" s="1"/>
  <c r="AE78" i="26" s="1"/>
  <c r="AE79" i="26" s="1"/>
  <c r="AE80" i="26" s="1"/>
  <c r="AE81" i="26" s="1"/>
  <c r="AE82" i="26" s="1"/>
  <c r="AC17" i="26"/>
  <c r="V17" i="26"/>
  <c r="U17" i="26"/>
  <c r="Q17" i="26"/>
  <c r="P17" i="26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N17" i="26"/>
  <c r="AW16" i="26"/>
  <c r="AV16" i="26"/>
  <c r="AU16" i="26"/>
  <c r="AT16" i="26" s="1"/>
  <c r="AO16" i="26" s="1"/>
  <c r="AQ16" i="26" s="1"/>
  <c r="AP16" i="26" s="1"/>
  <c r="AR16" i="26" s="1"/>
  <c r="AL16" i="26"/>
  <c r="AF16" i="26"/>
  <c r="AC16" i="26"/>
  <c r="V16" i="26"/>
  <c r="U16" i="26"/>
  <c r="Q16" i="26"/>
  <c r="N16" i="26"/>
  <c r="AW15" i="26"/>
  <c r="AV15" i="26"/>
  <c r="AU15" i="26"/>
  <c r="AT15" i="26" s="1"/>
  <c r="AO15" i="26" s="1"/>
  <c r="AQ15" i="26" s="1"/>
  <c r="AL15" i="26"/>
  <c r="AJ15" i="26"/>
  <c r="AJ16" i="26" s="1"/>
  <c r="AJ17" i="26" s="1"/>
  <c r="AJ18" i="26" s="1"/>
  <c r="AJ19" i="26" s="1"/>
  <c r="AJ20" i="26" s="1"/>
  <c r="AJ21" i="26" s="1"/>
  <c r="AJ22" i="26" s="1"/>
  <c r="AJ23" i="26" s="1"/>
  <c r="AJ24" i="26" s="1"/>
  <c r="AJ25" i="26" s="1"/>
  <c r="AJ26" i="26" s="1"/>
  <c r="AJ27" i="26" s="1"/>
  <c r="AJ28" i="26" s="1"/>
  <c r="AJ29" i="26" s="1"/>
  <c r="AJ30" i="26" s="1"/>
  <c r="AJ31" i="26" s="1"/>
  <c r="AJ32" i="26" s="1"/>
  <c r="AJ33" i="26" s="1"/>
  <c r="AJ34" i="26" s="1"/>
  <c r="AJ35" i="26" s="1"/>
  <c r="AJ36" i="26" s="1"/>
  <c r="AJ37" i="26" s="1"/>
  <c r="AJ38" i="26" s="1"/>
  <c r="AJ39" i="26" s="1"/>
  <c r="AJ40" i="26" s="1"/>
  <c r="AJ41" i="26" s="1"/>
  <c r="AJ42" i="26" s="1"/>
  <c r="AJ43" i="26" s="1"/>
  <c r="AJ44" i="26" s="1"/>
  <c r="AJ45" i="26" s="1"/>
  <c r="AJ46" i="26" s="1"/>
  <c r="AJ47" i="26" s="1"/>
  <c r="AJ48" i="26" s="1"/>
  <c r="AJ49" i="26" s="1"/>
  <c r="AJ50" i="26" s="1"/>
  <c r="AJ51" i="26" s="1"/>
  <c r="AJ52" i="26" s="1"/>
  <c r="AJ53" i="26" s="1"/>
  <c r="AJ54" i="26" s="1"/>
  <c r="AJ55" i="26" s="1"/>
  <c r="AJ56" i="26" s="1"/>
  <c r="AJ57" i="26" s="1"/>
  <c r="AJ58" i="26" s="1"/>
  <c r="AJ59" i="26" s="1"/>
  <c r="AJ60" i="26" s="1"/>
  <c r="AJ61" i="26" s="1"/>
  <c r="AJ62" i="26" s="1"/>
  <c r="AJ63" i="26" s="1"/>
  <c r="AJ64" i="26" s="1"/>
  <c r="AJ65" i="26" s="1"/>
  <c r="AJ66" i="26" s="1"/>
  <c r="AJ67" i="26" s="1"/>
  <c r="AJ68" i="26" s="1"/>
  <c r="AJ69" i="26" s="1"/>
  <c r="AJ70" i="26" s="1"/>
  <c r="AJ71" i="26" s="1"/>
  <c r="AJ72" i="26" s="1"/>
  <c r="AJ73" i="26" s="1"/>
  <c r="AJ74" i="26" s="1"/>
  <c r="AJ75" i="26" s="1"/>
  <c r="AJ76" i="26" s="1"/>
  <c r="AJ77" i="26" s="1"/>
  <c r="AJ78" i="26" s="1"/>
  <c r="AJ79" i="26" s="1"/>
  <c r="AJ80" i="26" s="1"/>
  <c r="AC15" i="26"/>
  <c r="V15" i="26"/>
  <c r="U15" i="26"/>
  <c r="N15" i="26"/>
  <c r="AV14" i="26"/>
  <c r="AW14" i="26" s="1"/>
  <c r="AU14" i="26"/>
  <c r="AT14" i="26" s="1"/>
  <c r="AO14" i="26" s="1"/>
  <c r="AL14" i="26"/>
  <c r="AI13" i="26"/>
  <c r="B4" i="26"/>
  <c r="B5" i="26" s="1"/>
  <c r="C3" i="26"/>
  <c r="AF53" i="26" l="1"/>
  <c r="Q60" i="26"/>
  <c r="Q61" i="26"/>
  <c r="Q62" i="26"/>
  <c r="AF63" i="26"/>
  <c r="Q66" i="26"/>
  <c r="AF67" i="26"/>
  <c r="Q68" i="26"/>
  <c r="Q69" i="26"/>
  <c r="Q70" i="26"/>
  <c r="AF71" i="26"/>
  <c r="Q74" i="26"/>
  <c r="Q82" i="26"/>
  <c r="AF74" i="26"/>
  <c r="AQ39" i="26"/>
  <c r="AN39" i="26"/>
  <c r="AP39" i="26"/>
  <c r="AR39" i="26" s="1"/>
  <c r="AP78" i="26"/>
  <c r="AR78" i="26" s="1"/>
  <c r="C5" i="26"/>
  <c r="B6" i="26"/>
  <c r="C6" i="26" s="1"/>
  <c r="AP77" i="26"/>
  <c r="AR77" i="26" s="1"/>
  <c r="AN43" i="26"/>
  <c r="AQ62" i="26"/>
  <c r="AP62" i="26" s="1"/>
  <c r="AR62" i="26" s="1"/>
  <c r="AQ70" i="26"/>
  <c r="AP70" i="26" s="1"/>
  <c r="AR70" i="26" s="1"/>
  <c r="AQ77" i="26"/>
  <c r="AQ78" i="26"/>
  <c r="C4" i="26"/>
  <c r="AP43" i="26"/>
  <c r="AR43" i="26" s="1"/>
  <c r="AP49" i="26"/>
  <c r="AR49" i="26" s="1"/>
  <c r="AN68" i="26"/>
  <c r="AN16" i="26"/>
  <c r="AN15" i="26"/>
  <c r="AN20" i="26"/>
  <c r="AQ49" i="26"/>
  <c r="AP64" i="26"/>
  <c r="AR64" i="26" s="1"/>
  <c r="AN62" i="26"/>
  <c r="AP68" i="26"/>
  <c r="AR68" i="26" s="1"/>
  <c r="AN70" i="26"/>
  <c r="AN77" i="26"/>
  <c r="AN78" i="26"/>
  <c r="AQ22" i="26"/>
  <c r="AP22" i="26" s="1"/>
  <c r="AR22" i="26" s="1"/>
  <c r="AN76" i="26"/>
  <c r="Q77" i="26"/>
  <c r="Q78" i="26"/>
  <c r="AF80" i="26"/>
  <c r="AF82" i="26"/>
  <c r="Q76" i="26"/>
  <c r="AF77" i="26"/>
  <c r="AF78" i="26"/>
  <c r="Q79" i="26"/>
  <c r="AF76" i="26"/>
  <c r="AF79" i="26"/>
  <c r="I8" i="26"/>
  <c r="AC25" i="26" s="1"/>
  <c r="F11" i="26"/>
  <c r="G11" i="26"/>
  <c r="I5" i="26"/>
  <c r="U11" i="26" s="1"/>
  <c r="I3" i="26"/>
  <c r="V27" i="26" s="1"/>
  <c r="AQ17" i="26"/>
  <c r="AP17" i="26"/>
  <c r="AR17" i="26" s="1"/>
  <c r="AN17" i="26"/>
  <c r="AQ14" i="26"/>
  <c r="AN14" i="26"/>
  <c r="AP14" i="26"/>
  <c r="AR14" i="26" s="1"/>
  <c r="B7" i="26"/>
  <c r="AI79" i="26"/>
  <c r="AI77" i="26"/>
  <c r="AI75" i="26"/>
  <c r="AI73" i="26"/>
  <c r="AI71" i="26"/>
  <c r="AI69" i="26"/>
  <c r="AI67" i="26"/>
  <c r="AI65" i="26"/>
  <c r="AI63" i="26"/>
  <c r="AI80" i="26"/>
  <c r="AI78" i="26"/>
  <c r="AI76" i="26"/>
  <c r="AI74" i="26"/>
  <c r="AI72" i="26"/>
  <c r="AI70" i="26"/>
  <c r="AI68" i="26"/>
  <c r="AI66" i="26"/>
  <c r="AI64" i="26"/>
  <c r="AI62" i="26"/>
  <c r="AI61" i="26"/>
  <c r="AI59" i="26"/>
  <c r="AI57" i="26"/>
  <c r="AI55" i="26"/>
  <c r="AI53" i="26"/>
  <c r="AI51" i="26"/>
  <c r="AI49" i="26"/>
  <c r="AI47" i="26"/>
  <c r="AI45" i="26"/>
  <c r="AI43" i="26"/>
  <c r="AI41" i="26"/>
  <c r="AI39" i="26"/>
  <c r="AI44" i="26"/>
  <c r="AI40" i="26"/>
  <c r="AI37" i="26"/>
  <c r="AI35" i="26"/>
  <c r="AI33" i="26"/>
  <c r="AI31" i="26"/>
  <c r="AI29" i="26"/>
  <c r="AI27" i="26"/>
  <c r="AI26" i="26"/>
  <c r="AI20" i="26"/>
  <c r="AI16" i="26"/>
  <c r="AI15" i="26"/>
  <c r="AI50" i="26"/>
  <c r="AI52" i="26"/>
  <c r="AI48" i="26"/>
  <c r="AI54" i="26"/>
  <c r="AI56" i="26"/>
  <c r="AI38" i="26"/>
  <c r="AI36" i="26"/>
  <c r="AI34" i="26"/>
  <c r="AI32" i="26"/>
  <c r="AI30" i="26"/>
  <c r="AI28" i="26"/>
  <c r="AI25" i="26"/>
  <c r="AI24" i="26"/>
  <c r="AI23" i="26"/>
  <c r="AI22" i="26"/>
  <c r="AI21" i="26"/>
  <c r="AI18" i="26"/>
  <c r="AI60" i="26"/>
  <c r="AI42" i="26"/>
  <c r="AP15" i="26"/>
  <c r="AR15" i="26" s="1"/>
  <c r="AQ27" i="26"/>
  <c r="AP27" i="26"/>
  <c r="AR27" i="26" s="1"/>
  <c r="AN34" i="26"/>
  <c r="AQ34" i="26"/>
  <c r="AP34" i="26" s="1"/>
  <c r="AR34" i="26" s="1"/>
  <c r="AQ35" i="26"/>
  <c r="AP35" i="26" s="1"/>
  <c r="AR35" i="26" s="1"/>
  <c r="AQ40" i="26"/>
  <c r="AP40" i="26" s="1"/>
  <c r="AR40" i="26" s="1"/>
  <c r="AN42" i="26"/>
  <c r="AQ42" i="26"/>
  <c r="AP42" i="26"/>
  <c r="AR42" i="26" s="1"/>
  <c r="AN55" i="26"/>
  <c r="AQ55" i="26"/>
  <c r="AP55" i="26"/>
  <c r="AR55" i="26" s="1"/>
  <c r="G12" i="26"/>
  <c r="AN59" i="26"/>
  <c r="AQ59" i="26"/>
  <c r="AP59" i="26" s="1"/>
  <c r="AR59" i="26" s="1"/>
  <c r="AI19" i="26"/>
  <c r="AN28" i="26"/>
  <c r="AQ28" i="26"/>
  <c r="AP28" i="26" s="1"/>
  <c r="AR28" i="26" s="1"/>
  <c r="AQ29" i="26"/>
  <c r="AP29" i="26" s="1"/>
  <c r="AR29" i="26" s="1"/>
  <c r="AN36" i="26"/>
  <c r="AQ36" i="26"/>
  <c r="AP36" i="26" s="1"/>
  <c r="AR36" i="26" s="1"/>
  <c r="AQ37" i="26"/>
  <c r="AP37" i="26" s="1"/>
  <c r="AR37" i="26" s="1"/>
  <c r="AI46" i="26"/>
  <c r="AQ50" i="26"/>
  <c r="AP50" i="26" s="1"/>
  <c r="AR50" i="26" s="1"/>
  <c r="AN50" i="26"/>
  <c r="AI58" i="26"/>
  <c r="AI14" i="26"/>
  <c r="AI17" i="26"/>
  <c r="AQ23" i="26"/>
  <c r="AP23" i="26" s="1"/>
  <c r="AR23" i="26" s="1"/>
  <c r="AQ25" i="26"/>
  <c r="AP25" i="26" s="1"/>
  <c r="AR25" i="26" s="1"/>
  <c r="AN47" i="26"/>
  <c r="AQ47" i="26"/>
  <c r="AP47" i="26" s="1"/>
  <c r="AR47" i="26" s="1"/>
  <c r="AQ48" i="26"/>
  <c r="AP48" i="26" s="1"/>
  <c r="AR48" i="26" s="1"/>
  <c r="AN48" i="26"/>
  <c r="AQ65" i="26"/>
  <c r="AP65" i="26" s="1"/>
  <c r="AR65" i="26" s="1"/>
  <c r="AN65" i="26"/>
  <c r="AQ52" i="26"/>
  <c r="AP52" i="26" s="1"/>
  <c r="AR52" i="26" s="1"/>
  <c r="AN52" i="26"/>
  <c r="AN19" i="26"/>
  <c r="AQ24" i="26"/>
  <c r="AP24" i="26" s="1"/>
  <c r="AR24" i="26" s="1"/>
  <c r="AN30" i="26"/>
  <c r="AQ30" i="26"/>
  <c r="AP30" i="26" s="1"/>
  <c r="AR30" i="26" s="1"/>
  <c r="AQ31" i="26"/>
  <c r="AP31" i="26" s="1"/>
  <c r="AR31" i="26" s="1"/>
  <c r="AN38" i="26"/>
  <c r="AQ38" i="26"/>
  <c r="AP38" i="26" s="1"/>
  <c r="AR38" i="26" s="1"/>
  <c r="AN46" i="26"/>
  <c r="AQ46" i="26"/>
  <c r="AP46" i="26" s="1"/>
  <c r="AR46" i="26" s="1"/>
  <c r="AN53" i="26"/>
  <c r="AQ53" i="26"/>
  <c r="AP53" i="26"/>
  <c r="AR53" i="26" s="1"/>
  <c r="AQ58" i="26"/>
  <c r="AP58" i="26" s="1"/>
  <c r="AR58" i="26" s="1"/>
  <c r="AN58" i="26"/>
  <c r="AN45" i="26"/>
  <c r="AQ45" i="26"/>
  <c r="AP45" i="26" s="1"/>
  <c r="AR45" i="26" s="1"/>
  <c r="G27" i="26"/>
  <c r="F27" i="26"/>
  <c r="AP19" i="26"/>
  <c r="AR19" i="26" s="1"/>
  <c r="AQ26" i="26"/>
  <c r="AP26" i="26"/>
  <c r="AR26" i="26" s="1"/>
  <c r="AN32" i="26"/>
  <c r="AQ32" i="26"/>
  <c r="AP32" i="26" s="1"/>
  <c r="AR32" i="26" s="1"/>
  <c r="AQ33" i="26"/>
  <c r="AP33" i="26" s="1"/>
  <c r="AR33" i="26" s="1"/>
  <c r="AQ56" i="26"/>
  <c r="AP56" i="26" s="1"/>
  <c r="AR56" i="26" s="1"/>
  <c r="AN56" i="26"/>
  <c r="AQ54" i="26"/>
  <c r="AP54" i="26" s="1"/>
  <c r="AR54" i="26" s="1"/>
  <c r="AN54" i="26"/>
  <c r="AQ66" i="26"/>
  <c r="AP66" i="26" s="1"/>
  <c r="AR66" i="26" s="1"/>
  <c r="AN66" i="26"/>
  <c r="AN57" i="26"/>
  <c r="AQ57" i="26"/>
  <c r="AP57" i="26" s="1"/>
  <c r="AR57" i="26" s="1"/>
  <c r="AN41" i="26"/>
  <c r="AQ44" i="26"/>
  <c r="AP44" i="26" s="1"/>
  <c r="AR44" i="26" s="1"/>
  <c r="AQ74" i="26"/>
  <c r="AP74" i="26" s="1"/>
  <c r="AR74" i="26" s="1"/>
  <c r="AN74" i="26"/>
  <c r="AN51" i="26"/>
  <c r="AQ51" i="26"/>
  <c r="AP51" i="26" s="1"/>
  <c r="AR51" i="26" s="1"/>
  <c r="AQ60" i="26"/>
  <c r="AP60" i="26" s="1"/>
  <c r="AR60" i="26" s="1"/>
  <c r="AN60" i="26"/>
  <c r="AN61" i="26"/>
  <c r="AQ61" i="26"/>
  <c r="AP41" i="26"/>
  <c r="AR41" i="26" s="1"/>
  <c r="AP61" i="26"/>
  <c r="AR61" i="26" s="1"/>
  <c r="AP72" i="26"/>
  <c r="AR72" i="26" s="1"/>
  <c r="AQ73" i="26"/>
  <c r="AP73" i="26" s="1"/>
  <c r="AR73" i="26" s="1"/>
  <c r="AN73" i="26"/>
  <c r="AP69" i="26"/>
  <c r="AR69" i="26" s="1"/>
  <c r="AP79" i="26"/>
  <c r="AR79" i="26" s="1"/>
  <c r="AN75" i="26"/>
  <c r="AP76" i="26"/>
  <c r="AR76" i="26" s="1"/>
  <c r="AP75" i="26"/>
  <c r="AR75" i="26" s="1"/>
  <c r="AP80" i="26"/>
  <c r="AR80" i="26" s="1"/>
  <c r="AN80" i="26"/>
  <c r="AN64" i="26"/>
  <c r="AN72" i="26"/>
  <c r="AN79" i="26"/>
  <c r="H12" i="26" l="1"/>
  <c r="I12" i="26" s="1"/>
  <c r="R58" i="26" s="1"/>
  <c r="I11" i="26"/>
  <c r="V11" i="26"/>
  <c r="X11" i="26" s="1"/>
  <c r="U12" i="26"/>
  <c r="U27" i="26"/>
  <c r="W12" i="26" s="1"/>
  <c r="V12" i="26"/>
  <c r="B8" i="26"/>
  <c r="C7" i="26"/>
  <c r="R44" i="26" l="1"/>
  <c r="R71" i="26"/>
  <c r="R49" i="26"/>
  <c r="R37" i="26"/>
  <c r="R18" i="26"/>
  <c r="R20" i="26"/>
  <c r="R41" i="26"/>
  <c r="R35" i="26"/>
  <c r="R81" i="26"/>
  <c r="R73" i="26"/>
  <c r="R22" i="26"/>
  <c r="I16" i="26"/>
  <c r="I15" i="26"/>
  <c r="R80" i="26"/>
  <c r="R40" i="26"/>
  <c r="R79" i="26"/>
  <c r="R60" i="26"/>
  <c r="R63" i="26"/>
  <c r="R82" i="26"/>
  <c r="I17" i="26"/>
  <c r="R74" i="26"/>
  <c r="R29" i="26"/>
  <c r="R61" i="26"/>
  <c r="I18" i="26"/>
  <c r="R64" i="26"/>
  <c r="R46" i="26"/>
  <c r="R27" i="26"/>
  <c r="R67" i="26"/>
  <c r="R42" i="26"/>
  <c r="R53" i="26"/>
  <c r="R66" i="26"/>
  <c r="R30" i="26"/>
  <c r="I19" i="26"/>
  <c r="R43" i="26"/>
  <c r="R17" i="26"/>
  <c r="R33" i="26"/>
  <c r="R77" i="26"/>
  <c r="R16" i="26"/>
  <c r="R75" i="26"/>
  <c r="R69" i="26"/>
  <c r="R68" i="26"/>
  <c r="R28" i="26"/>
  <c r="R62" i="26"/>
  <c r="R23" i="26"/>
  <c r="I20" i="26"/>
  <c r="R32" i="26"/>
  <c r="R65" i="26"/>
  <c r="R72" i="26"/>
  <c r="R76" i="26"/>
  <c r="R78" i="26"/>
  <c r="R70" i="26"/>
  <c r="R26" i="26"/>
  <c r="R48" i="26"/>
  <c r="R45" i="26"/>
  <c r="R59" i="26"/>
  <c r="R52" i="26"/>
  <c r="X12" i="26"/>
  <c r="AG70" i="26" s="1"/>
  <c r="R56" i="26"/>
  <c r="R19" i="26"/>
  <c r="R25" i="26"/>
  <c r="R36" i="26"/>
  <c r="R47" i="26"/>
  <c r="R38" i="26"/>
  <c r="R21" i="26"/>
  <c r="R55" i="26"/>
  <c r="R51" i="26"/>
  <c r="R50" i="26"/>
  <c r="R54" i="26"/>
  <c r="R31" i="26"/>
  <c r="R39" i="26"/>
  <c r="R24" i="26"/>
  <c r="R57" i="26"/>
  <c r="R34" i="26"/>
  <c r="C8" i="26"/>
  <c r="B9" i="26"/>
  <c r="X18" i="26" l="1"/>
  <c r="AG23" i="26"/>
  <c r="AG77" i="26"/>
  <c r="AG54" i="26"/>
  <c r="AG82" i="26"/>
  <c r="AG50" i="26"/>
  <c r="AG81" i="26"/>
  <c r="AG52" i="26"/>
  <c r="AG69" i="26"/>
  <c r="AG78" i="26"/>
  <c r="AG38" i="26"/>
  <c r="AG57" i="26"/>
  <c r="AG73" i="26"/>
  <c r="AG34" i="26"/>
  <c r="AG48" i="26"/>
  <c r="AG27" i="26"/>
  <c r="AG43" i="26"/>
  <c r="AG19" i="26"/>
  <c r="AG75" i="26"/>
  <c r="AG68" i="26"/>
  <c r="AG45" i="26"/>
  <c r="AG46" i="26"/>
  <c r="X19" i="26"/>
  <c r="AG49" i="26"/>
  <c r="AG53" i="26"/>
  <c r="AG72" i="26"/>
  <c r="AG42" i="26"/>
  <c r="I21" i="26"/>
  <c r="R15" i="26"/>
  <c r="Q12" i="26" s="1"/>
  <c r="AG59" i="26"/>
  <c r="AG26" i="26"/>
  <c r="AG61" i="26"/>
  <c r="AG66" i="26"/>
  <c r="AG24" i="26"/>
  <c r="AG28" i="26"/>
  <c r="AG65" i="26"/>
  <c r="AG18" i="26"/>
  <c r="AG39" i="26"/>
  <c r="AG58" i="26"/>
  <c r="AG33" i="26"/>
  <c r="X20" i="26"/>
  <c r="AG36" i="26"/>
  <c r="AG63" i="26"/>
  <c r="AG55" i="26"/>
  <c r="AG51" i="26"/>
  <c r="AG79" i="26"/>
  <c r="AG80" i="26"/>
  <c r="AG76" i="26"/>
  <c r="AG17" i="26"/>
  <c r="X17" i="26"/>
  <c r="AG71" i="26"/>
  <c r="AG74" i="26"/>
  <c r="AG47" i="26"/>
  <c r="AG31" i="26"/>
  <c r="AG25" i="26"/>
  <c r="AG22" i="26"/>
  <c r="X16" i="26"/>
  <c r="AG62" i="26"/>
  <c r="AG60" i="26"/>
  <c r="AG37" i="26"/>
  <c r="AG20" i="26"/>
  <c r="AG16" i="26"/>
  <c r="AG32" i="26"/>
  <c r="AG29" i="26"/>
  <c r="AG64" i="26"/>
  <c r="AG40" i="26"/>
  <c r="AG44" i="26"/>
  <c r="AG56" i="26"/>
  <c r="AG21" i="26"/>
  <c r="AG35" i="26"/>
  <c r="AG30" i="26"/>
  <c r="X15" i="26"/>
  <c r="AG41" i="26"/>
  <c r="AG67" i="26"/>
  <c r="B10" i="26"/>
  <c r="C9" i="26"/>
  <c r="R12" i="26" l="1"/>
  <c r="J12" i="26" s="1"/>
  <c r="L6" i="26" s="1"/>
  <c r="AA30" i="20" s="1"/>
  <c r="AA29" i="20" s="1"/>
  <c r="X21" i="26"/>
  <c r="Y21" i="26" s="1"/>
  <c r="Y11" i="26" s="1"/>
  <c r="M5" i="26" s="1"/>
  <c r="AB26" i="20" s="1"/>
  <c r="AB27" i="20" s="1"/>
  <c r="AG15" i="26"/>
  <c r="AF12" i="26" s="1"/>
  <c r="B11" i="26"/>
  <c r="C10" i="26"/>
  <c r="J21" i="26" l="1"/>
  <c r="J11" i="26" s="1"/>
  <c r="L5" i="26" s="1"/>
  <c r="AA26" i="20" s="1"/>
  <c r="AA27" i="20" s="1"/>
  <c r="AB28" i="20"/>
  <c r="AG12" i="26"/>
  <c r="Y12" i="26" s="1"/>
  <c r="M6" i="26" s="1"/>
  <c r="AB30" i="20" s="1"/>
  <c r="AB29" i="20" s="1"/>
  <c r="B12" i="26"/>
  <c r="C11" i="26"/>
  <c r="AA28" i="20" l="1"/>
  <c r="B13" i="26"/>
  <c r="C12" i="26"/>
  <c r="C13" i="26" l="1"/>
  <c r="B14" i="26"/>
  <c r="B15" i="26" l="1"/>
  <c r="C14" i="26"/>
  <c r="B16" i="26" l="1"/>
  <c r="C15" i="26"/>
  <c r="B17" i="26" l="1"/>
  <c r="C16" i="26"/>
  <c r="C17" i="26" l="1"/>
  <c r="B18" i="26"/>
  <c r="B19" i="26" l="1"/>
  <c r="C18" i="26"/>
  <c r="C19" i="26" l="1"/>
  <c r="B20" i="26"/>
  <c r="B21" i="26" l="1"/>
  <c r="C20" i="26"/>
  <c r="B22" i="26" l="1"/>
  <c r="C21" i="26"/>
  <c r="B23" i="26" l="1"/>
  <c r="C22" i="26"/>
  <c r="B24" i="26" l="1"/>
  <c r="C23" i="26"/>
  <c r="B25" i="26" l="1"/>
  <c r="C24" i="26"/>
  <c r="B26" i="26" l="1"/>
  <c r="C25" i="26"/>
  <c r="B27" i="26" l="1"/>
  <c r="C26" i="26"/>
  <c r="C27" i="26" l="1"/>
  <c r="B28" i="26"/>
  <c r="B29" i="26" l="1"/>
  <c r="C28" i="26"/>
  <c r="B30" i="26" l="1"/>
  <c r="C29" i="26"/>
  <c r="B31" i="26" l="1"/>
  <c r="C30" i="26"/>
  <c r="B32" i="26" l="1"/>
  <c r="C31" i="26"/>
  <c r="B33" i="26" l="1"/>
  <c r="C32" i="26"/>
  <c r="B34" i="26" l="1"/>
  <c r="C33" i="26"/>
  <c r="B35" i="26" l="1"/>
  <c r="C34" i="26"/>
  <c r="B36" i="26" l="1"/>
  <c r="C35" i="26"/>
  <c r="B37" i="26" l="1"/>
  <c r="C36" i="26"/>
  <c r="B38" i="26" l="1"/>
  <c r="C37" i="26"/>
  <c r="B39" i="26" l="1"/>
  <c r="C38" i="26"/>
  <c r="C39" i="26" l="1"/>
  <c r="B40" i="26"/>
  <c r="B41" i="26" l="1"/>
  <c r="C40" i="26"/>
  <c r="B42" i="26" l="1"/>
  <c r="C41" i="26"/>
  <c r="B43" i="26" l="1"/>
  <c r="C42" i="26"/>
  <c r="B44" i="26" l="1"/>
  <c r="C43" i="26"/>
  <c r="B45" i="26" l="1"/>
  <c r="C44" i="26"/>
  <c r="C45" i="26" l="1"/>
  <c r="B46" i="26"/>
  <c r="B47" i="26" l="1"/>
  <c r="C46" i="26"/>
  <c r="B48" i="26" l="1"/>
  <c r="C47" i="26"/>
  <c r="B49" i="26" l="1"/>
  <c r="C48" i="26"/>
  <c r="C49" i="26" l="1"/>
  <c r="B50" i="26"/>
  <c r="B51" i="26" l="1"/>
  <c r="C50" i="26"/>
  <c r="C51" i="26" l="1"/>
  <c r="B52" i="26"/>
  <c r="B53" i="26" l="1"/>
  <c r="C52" i="26"/>
  <c r="B54" i="26" l="1"/>
  <c r="C53" i="26"/>
  <c r="B55" i="26" l="1"/>
  <c r="C54" i="26"/>
  <c r="B56" i="26" l="1"/>
  <c r="C55" i="26"/>
  <c r="B57" i="26" l="1"/>
  <c r="C56" i="26"/>
  <c r="B58" i="26" l="1"/>
  <c r="C57" i="26"/>
  <c r="B59" i="26" l="1"/>
  <c r="C58" i="26"/>
  <c r="B60" i="26" l="1"/>
  <c r="C59" i="26"/>
  <c r="B61" i="26" l="1"/>
  <c r="C60" i="26"/>
  <c r="B62" i="26" l="1"/>
  <c r="C61" i="26"/>
  <c r="B63" i="26" l="1"/>
  <c r="C62" i="26"/>
  <c r="B64" i="26" l="1"/>
  <c r="C63" i="26"/>
  <c r="B65" i="26" l="1"/>
  <c r="C64" i="26"/>
  <c r="B66" i="26" l="1"/>
  <c r="C65" i="26"/>
  <c r="B67" i="26" l="1"/>
  <c r="C66" i="26"/>
  <c r="B68" i="26" l="1"/>
  <c r="C67" i="26"/>
  <c r="B69" i="26" l="1"/>
  <c r="C68" i="26"/>
  <c r="B70" i="26" l="1"/>
  <c r="C69" i="26"/>
  <c r="B71" i="26" l="1"/>
  <c r="C70" i="26"/>
  <c r="B72" i="26" l="1"/>
  <c r="C71" i="26"/>
  <c r="B73" i="26" l="1"/>
  <c r="C72" i="26"/>
  <c r="B74" i="26" l="1"/>
  <c r="C73" i="26"/>
  <c r="B75" i="26" l="1"/>
  <c r="C74" i="26"/>
  <c r="B76" i="26" l="1"/>
  <c r="C75" i="26"/>
  <c r="B77" i="26" l="1"/>
  <c r="C76" i="26"/>
  <c r="B78" i="26" l="1"/>
  <c r="C77" i="26"/>
  <c r="B79" i="26" l="1"/>
  <c r="C78" i="26"/>
  <c r="B80" i="26" l="1"/>
  <c r="C79" i="26"/>
  <c r="B81" i="26" l="1"/>
  <c r="C80" i="26"/>
  <c r="C81" i="26" l="1"/>
  <c r="B82" i="26"/>
  <c r="C82" i="26" l="1"/>
  <c r="B83" i="26"/>
  <c r="C83" i="26" l="1"/>
  <c r="B84" i="26"/>
  <c r="B85" i="26" l="1"/>
  <c r="C84" i="26"/>
  <c r="B86" i="26" l="1"/>
  <c r="C85" i="26"/>
  <c r="B87" i="26" l="1"/>
  <c r="C86" i="26"/>
  <c r="C87" i="26" l="1"/>
  <c r="B88" i="26"/>
  <c r="B89" i="26" l="1"/>
  <c r="C88" i="26"/>
  <c r="B90" i="26" l="1"/>
  <c r="C89" i="26"/>
  <c r="B91" i="26" l="1"/>
  <c r="C90" i="26"/>
  <c r="C91" i="26" l="1"/>
  <c r="B92" i="26"/>
  <c r="B93" i="26" l="1"/>
  <c r="C92" i="26"/>
  <c r="B94" i="26" l="1"/>
  <c r="C93" i="26"/>
  <c r="B95" i="26" l="1"/>
  <c r="C94" i="26"/>
  <c r="C95" i="26" l="1"/>
  <c r="B96" i="26"/>
  <c r="B97" i="26" l="1"/>
  <c r="C96" i="26"/>
  <c r="B98" i="26" l="1"/>
  <c r="C97" i="26"/>
  <c r="B99" i="26" l="1"/>
  <c r="C98" i="26"/>
  <c r="C99" i="26" l="1"/>
  <c r="B100" i="26"/>
  <c r="B101" i="26" l="1"/>
  <c r="C100" i="26"/>
  <c r="B102" i="26" l="1"/>
  <c r="C101" i="26"/>
  <c r="B103" i="26" l="1"/>
  <c r="C102" i="26"/>
  <c r="C103" i="26" l="1"/>
  <c r="B104" i="26"/>
  <c r="B105" i="26" l="1"/>
  <c r="C104" i="26"/>
  <c r="B106" i="26" l="1"/>
  <c r="C105" i="26"/>
  <c r="B107" i="26" l="1"/>
  <c r="C106" i="26"/>
  <c r="C107" i="26" l="1"/>
  <c r="B108" i="26"/>
  <c r="B109" i="26" l="1"/>
  <c r="C108" i="26"/>
  <c r="B110" i="26" l="1"/>
  <c r="C109" i="26"/>
  <c r="B111" i="26" l="1"/>
  <c r="C110" i="26"/>
  <c r="C111" i="26" l="1"/>
  <c r="B112" i="26"/>
  <c r="B113" i="26" l="1"/>
  <c r="C112" i="26"/>
  <c r="B114" i="26" l="1"/>
  <c r="C113" i="26"/>
  <c r="B115" i="26" l="1"/>
  <c r="C114" i="26"/>
  <c r="C115" i="26" l="1"/>
  <c r="B116" i="26"/>
  <c r="B117" i="26" l="1"/>
  <c r="C116" i="26"/>
  <c r="B118" i="26" l="1"/>
  <c r="C117" i="26"/>
  <c r="B119" i="26" l="1"/>
  <c r="C118" i="26"/>
  <c r="C119" i="26" l="1"/>
  <c r="B120" i="26"/>
  <c r="B121" i="26" l="1"/>
  <c r="C120" i="26"/>
  <c r="B122" i="26" l="1"/>
  <c r="C121" i="26"/>
  <c r="B123" i="26" l="1"/>
  <c r="C122" i="26"/>
  <c r="C123" i="26" l="1"/>
  <c r="B124" i="26"/>
  <c r="B125" i="26" l="1"/>
  <c r="C124" i="26"/>
  <c r="B126" i="26" l="1"/>
  <c r="C125" i="26"/>
  <c r="B127" i="26" l="1"/>
  <c r="C126" i="26"/>
  <c r="C127" i="26" l="1"/>
  <c r="B128" i="26"/>
  <c r="B129" i="26" l="1"/>
  <c r="C128" i="26"/>
  <c r="B130" i="26" l="1"/>
  <c r="C129" i="26"/>
  <c r="B131" i="26" l="1"/>
  <c r="C130" i="26"/>
  <c r="C131" i="26" l="1"/>
  <c r="B132" i="26"/>
  <c r="B133" i="26" l="1"/>
  <c r="C132" i="26"/>
  <c r="B134" i="26" l="1"/>
  <c r="C133" i="26"/>
  <c r="B135" i="26" l="1"/>
  <c r="C134" i="26"/>
  <c r="C135" i="26" l="1"/>
  <c r="B136" i="26"/>
  <c r="B137" i="26" l="1"/>
  <c r="C136" i="26"/>
  <c r="B138" i="26" l="1"/>
  <c r="C137" i="26"/>
  <c r="B139" i="26" l="1"/>
  <c r="C138" i="26"/>
  <c r="C139" i="26" l="1"/>
  <c r="B140" i="26"/>
  <c r="B141" i="26" l="1"/>
  <c r="C140" i="26"/>
  <c r="B142" i="26" l="1"/>
  <c r="C141" i="26"/>
  <c r="B143" i="26" l="1"/>
  <c r="C142" i="26"/>
  <c r="C143" i="26" l="1"/>
  <c r="B144" i="26"/>
  <c r="B145" i="26" l="1"/>
  <c r="C144" i="26"/>
  <c r="B146" i="26" l="1"/>
  <c r="C145" i="26"/>
  <c r="B147" i="26" l="1"/>
  <c r="C146" i="26"/>
  <c r="C147" i="26" l="1"/>
  <c r="B148" i="26"/>
  <c r="B149" i="26" l="1"/>
  <c r="C148" i="26"/>
  <c r="B150" i="26" l="1"/>
  <c r="C149" i="26"/>
  <c r="B151" i="26" l="1"/>
  <c r="C150" i="26"/>
  <c r="C151" i="26" l="1"/>
  <c r="B152" i="26"/>
  <c r="B153" i="26" l="1"/>
  <c r="C152" i="26"/>
  <c r="B154" i="26" l="1"/>
  <c r="C153" i="26"/>
  <c r="B155" i="26" l="1"/>
  <c r="C154" i="26"/>
  <c r="C155" i="26" l="1"/>
  <c r="B156" i="26"/>
  <c r="B157" i="26" l="1"/>
  <c r="C156" i="26"/>
  <c r="B158" i="26" l="1"/>
  <c r="C157" i="26"/>
  <c r="B159" i="26" l="1"/>
  <c r="C158" i="26"/>
  <c r="C159" i="26" l="1"/>
  <c r="B160" i="26"/>
  <c r="B161" i="26" l="1"/>
  <c r="C160" i="26"/>
  <c r="B162" i="26" l="1"/>
  <c r="C161" i="26"/>
  <c r="B163" i="26" l="1"/>
  <c r="C162" i="26"/>
  <c r="C163" i="26" l="1"/>
  <c r="B164" i="26"/>
  <c r="B165" i="26" l="1"/>
  <c r="C164" i="26"/>
  <c r="B166" i="26" l="1"/>
  <c r="C165" i="26"/>
  <c r="B167" i="26" l="1"/>
  <c r="C166" i="26"/>
  <c r="C167" i="26" l="1"/>
  <c r="B168" i="26"/>
  <c r="B169" i="26" l="1"/>
  <c r="C168" i="26"/>
  <c r="B170" i="26" l="1"/>
  <c r="C169" i="26"/>
  <c r="B171" i="26" l="1"/>
  <c r="C170" i="26"/>
  <c r="C171" i="26" l="1"/>
  <c r="B172" i="26"/>
  <c r="B173" i="26" l="1"/>
  <c r="C172" i="26"/>
  <c r="B174" i="26" l="1"/>
  <c r="C173" i="26"/>
  <c r="B175" i="26" l="1"/>
  <c r="C174" i="26"/>
  <c r="C175" i="26" l="1"/>
  <c r="B176" i="26"/>
  <c r="B177" i="26" l="1"/>
  <c r="C176" i="26"/>
  <c r="B178" i="26" l="1"/>
  <c r="C177" i="26"/>
  <c r="B179" i="26" l="1"/>
  <c r="C178" i="26"/>
  <c r="C179" i="26" l="1"/>
  <c r="B180" i="26"/>
  <c r="B181" i="26" l="1"/>
  <c r="C180" i="26"/>
  <c r="B182" i="26" l="1"/>
  <c r="C181" i="26"/>
  <c r="B183" i="26" l="1"/>
  <c r="C182" i="26"/>
  <c r="C183" i="26" l="1"/>
  <c r="B184" i="26"/>
  <c r="B185" i="26" l="1"/>
  <c r="C184" i="26"/>
  <c r="B186" i="26" l="1"/>
  <c r="C185" i="26"/>
  <c r="B187" i="26" l="1"/>
  <c r="C186" i="26"/>
  <c r="C187" i="26" l="1"/>
  <c r="B188" i="26"/>
  <c r="B189" i="26" l="1"/>
  <c r="C188" i="26"/>
  <c r="B190" i="26" l="1"/>
  <c r="C189" i="26"/>
  <c r="B191" i="26" l="1"/>
  <c r="C190" i="26"/>
  <c r="C191" i="26" l="1"/>
  <c r="B192" i="26"/>
  <c r="B193" i="26" l="1"/>
  <c r="C192" i="26"/>
  <c r="B194" i="26" l="1"/>
  <c r="C193" i="26"/>
  <c r="B195" i="26" l="1"/>
  <c r="C194" i="26"/>
  <c r="C195" i="26" l="1"/>
  <c r="B196" i="26"/>
  <c r="B197" i="26" l="1"/>
  <c r="C196" i="26"/>
  <c r="B198" i="26" l="1"/>
  <c r="C197" i="26"/>
  <c r="B199" i="26" l="1"/>
  <c r="C198" i="26"/>
  <c r="C199" i="26" l="1"/>
  <c r="B200" i="26"/>
  <c r="B201" i="26" l="1"/>
  <c r="C200" i="26"/>
  <c r="B202" i="26" l="1"/>
  <c r="C201" i="26"/>
  <c r="B203" i="26" l="1"/>
  <c r="C202" i="26"/>
  <c r="C203" i="26" l="1"/>
  <c r="B204" i="26"/>
  <c r="B205" i="26" l="1"/>
  <c r="C204" i="26"/>
  <c r="B206" i="26" l="1"/>
  <c r="C205" i="26"/>
  <c r="B207" i="26" l="1"/>
  <c r="C206" i="26"/>
  <c r="C207" i="26" l="1"/>
  <c r="B208" i="26"/>
  <c r="B209" i="26" l="1"/>
  <c r="C208" i="26"/>
  <c r="B210" i="26" l="1"/>
  <c r="C209" i="26"/>
  <c r="B211" i="26" l="1"/>
  <c r="C210" i="26"/>
  <c r="C211" i="26" l="1"/>
  <c r="B212" i="26"/>
  <c r="B213" i="26" l="1"/>
  <c r="C212" i="26"/>
  <c r="B214" i="26" l="1"/>
  <c r="C213" i="26"/>
  <c r="B215" i="26" l="1"/>
  <c r="C214" i="26"/>
  <c r="C215" i="26" l="1"/>
  <c r="B216" i="26"/>
  <c r="B217" i="26" l="1"/>
  <c r="C216" i="26"/>
  <c r="B218" i="26" l="1"/>
  <c r="C217" i="26"/>
  <c r="B219" i="26" l="1"/>
  <c r="C218" i="26"/>
  <c r="C219" i="26" l="1"/>
  <c r="B220" i="26"/>
  <c r="B221" i="26" l="1"/>
  <c r="C220" i="26"/>
  <c r="B222" i="26" l="1"/>
  <c r="C221" i="26"/>
  <c r="B223" i="26" l="1"/>
  <c r="C223" i="26" s="1"/>
  <c r="C222" i="26"/>
  <c r="C7" i="6"/>
  <c r="B4" i="22" l="1"/>
  <c r="B6" i="21"/>
  <c r="B5" i="21"/>
  <c r="B3" i="21"/>
  <c r="B2" i="21"/>
  <c r="B1" i="21"/>
  <c r="B6" i="22"/>
  <c r="B5" i="22"/>
  <c r="B3" i="22"/>
  <c r="B2" i="22"/>
  <c r="B1" i="22"/>
  <c r="B6" i="23"/>
  <c r="B5" i="23"/>
  <c r="B3" i="23"/>
  <c r="B2" i="23"/>
  <c r="B1" i="23"/>
  <c r="B6" i="24"/>
  <c r="B3" i="24"/>
  <c r="B2" i="24"/>
  <c r="B1" i="24"/>
  <c r="B4" i="24" l="1"/>
  <c r="B4" i="21"/>
  <c r="B4" i="23"/>
  <c r="D40" i="24" l="1"/>
  <c r="D9" i="24"/>
  <c r="D40" i="23"/>
  <c r="D9" i="23"/>
  <c r="D40" i="22"/>
  <c r="D9" i="22"/>
  <c r="D40" i="21"/>
  <c r="D9" i="21"/>
  <c r="B5" i="24"/>
  <c r="J5" i="24" l="1"/>
  <c r="J3" i="24" s="1"/>
  <c r="P9" i="24"/>
  <c r="V9" i="24"/>
  <c r="P10" i="24"/>
  <c r="V10" i="24"/>
  <c r="P11" i="24"/>
  <c r="O11" i="24" s="1"/>
  <c r="V11" i="24"/>
  <c r="Y15" i="24"/>
  <c r="Z15" i="24" s="1"/>
  <c r="F9" i="24" s="1"/>
  <c r="C16" i="24"/>
  <c r="Y16" i="24"/>
  <c r="Z16" i="24" s="1"/>
  <c r="F10" i="24" s="1"/>
  <c r="C17" i="24"/>
  <c r="Y17" i="24"/>
  <c r="Z17" i="24" s="1"/>
  <c r="F11" i="24" s="1"/>
  <c r="C18" i="24"/>
  <c r="Y21" i="24"/>
  <c r="Z21" i="24" s="1"/>
  <c r="H9" i="24" s="1"/>
  <c r="Y22" i="24"/>
  <c r="Z22" i="24" s="1"/>
  <c r="H10" i="24" s="1"/>
  <c r="Y23" i="24"/>
  <c r="Z23" i="24" s="1"/>
  <c r="H11" i="24" s="1"/>
  <c r="Y27" i="24"/>
  <c r="Z27" i="24" s="1"/>
  <c r="I9" i="24" s="1"/>
  <c r="Y28" i="24"/>
  <c r="Z28" i="24" s="1"/>
  <c r="I10" i="24" s="1"/>
  <c r="Y29" i="24"/>
  <c r="Z29" i="24" s="1"/>
  <c r="I11" i="24" s="1"/>
  <c r="Y33" i="24"/>
  <c r="Z33" i="24" s="1"/>
  <c r="G9" i="24" s="1"/>
  <c r="Y34" i="24"/>
  <c r="Z34" i="24" s="1"/>
  <c r="G10" i="24" s="1"/>
  <c r="Y35" i="24"/>
  <c r="Z35" i="24" s="1"/>
  <c r="G11" i="24" s="1"/>
  <c r="O40" i="24"/>
  <c r="O41" i="24"/>
  <c r="O42" i="24"/>
  <c r="V42" i="24"/>
  <c r="V40" i="24" s="1"/>
  <c r="Y46" i="24"/>
  <c r="Z46" i="24" s="1"/>
  <c r="F40" i="24" s="1"/>
  <c r="C47" i="24"/>
  <c r="Y47" i="24"/>
  <c r="Z47" i="24" s="1"/>
  <c r="F41" i="24" s="1"/>
  <c r="C48" i="24"/>
  <c r="Y48" i="24"/>
  <c r="Z48" i="24" s="1"/>
  <c r="F42" i="24" s="1"/>
  <c r="C49" i="24"/>
  <c r="Y52" i="24"/>
  <c r="Z52" i="24" s="1"/>
  <c r="I40" i="24" s="1"/>
  <c r="Y53" i="24"/>
  <c r="Z53" i="24" s="1"/>
  <c r="I41" i="24" s="1"/>
  <c r="Y54" i="24"/>
  <c r="Z54" i="24" s="1"/>
  <c r="I42" i="24" s="1"/>
  <c r="Y58" i="24"/>
  <c r="Z58" i="24" s="1"/>
  <c r="H40" i="24" s="1"/>
  <c r="Y59" i="24"/>
  <c r="Z59" i="24" s="1"/>
  <c r="H41" i="24" s="1"/>
  <c r="Y60" i="24"/>
  <c r="Z60" i="24" s="1"/>
  <c r="H42" i="24" s="1"/>
  <c r="Y64" i="24"/>
  <c r="Z64" i="24" s="1"/>
  <c r="G40" i="24" s="1"/>
  <c r="Y65" i="24"/>
  <c r="Z65" i="24" s="1"/>
  <c r="G41" i="24" s="1"/>
  <c r="Y66" i="24"/>
  <c r="Z66" i="24" s="1"/>
  <c r="G42" i="24" s="1"/>
  <c r="J9" i="23"/>
  <c r="O9" i="23"/>
  <c r="V9" i="23"/>
  <c r="O10" i="23"/>
  <c r="V10" i="23"/>
  <c r="O11" i="23"/>
  <c r="V11" i="23"/>
  <c r="Y15" i="23"/>
  <c r="Z15" i="23" s="1"/>
  <c r="F9" i="23" s="1"/>
  <c r="C16" i="23"/>
  <c r="Y16" i="23"/>
  <c r="Z16" i="23" s="1"/>
  <c r="F10" i="23" s="1"/>
  <c r="C17" i="23"/>
  <c r="Y17" i="23"/>
  <c r="Z17" i="23" s="1"/>
  <c r="F11" i="23" s="1"/>
  <c r="C18" i="23"/>
  <c r="Y21" i="23"/>
  <c r="Z21" i="23" s="1"/>
  <c r="H9" i="23" s="1"/>
  <c r="Y22" i="23"/>
  <c r="Z22" i="23" s="1"/>
  <c r="H10" i="23" s="1"/>
  <c r="Y23" i="23"/>
  <c r="Z23" i="23" s="1"/>
  <c r="H11" i="23" s="1"/>
  <c r="Y27" i="23"/>
  <c r="Z27" i="23" s="1"/>
  <c r="I9" i="23" s="1"/>
  <c r="Y28" i="23"/>
  <c r="Z28" i="23" s="1"/>
  <c r="I10" i="23" s="1"/>
  <c r="Y29" i="23"/>
  <c r="Z29" i="23" s="1"/>
  <c r="I11" i="23" s="1"/>
  <c r="Y33" i="23"/>
  <c r="Z33" i="23" s="1"/>
  <c r="G9" i="23" s="1"/>
  <c r="Y34" i="23"/>
  <c r="Z34" i="23" s="1"/>
  <c r="G10" i="23" s="1"/>
  <c r="Y35" i="23"/>
  <c r="Z35" i="23" s="1"/>
  <c r="G11" i="23" s="1"/>
  <c r="J40" i="23"/>
  <c r="O40" i="23"/>
  <c r="O41" i="23"/>
  <c r="O42" i="23"/>
  <c r="Y46" i="23"/>
  <c r="Z46" i="23" s="1"/>
  <c r="F40" i="23" s="1"/>
  <c r="C47" i="23"/>
  <c r="Y47" i="23"/>
  <c r="Z47" i="23" s="1"/>
  <c r="F41" i="23" s="1"/>
  <c r="C48" i="23"/>
  <c r="Y48" i="23"/>
  <c r="Z48" i="23" s="1"/>
  <c r="F42" i="23" s="1"/>
  <c r="C49" i="23"/>
  <c r="Y52" i="23"/>
  <c r="Z52" i="23" s="1"/>
  <c r="H40" i="23" s="1"/>
  <c r="Y53" i="23"/>
  <c r="Z53" i="23" s="1"/>
  <c r="H41" i="23" s="1"/>
  <c r="Y54" i="23"/>
  <c r="Z54" i="23" s="1"/>
  <c r="H42" i="23" s="1"/>
  <c r="Y58" i="23"/>
  <c r="Z58" i="23" s="1"/>
  <c r="I40" i="23" s="1"/>
  <c r="Y59" i="23"/>
  <c r="Z59" i="23" s="1"/>
  <c r="I41" i="23" s="1"/>
  <c r="Y60" i="23"/>
  <c r="Z60" i="23" s="1"/>
  <c r="I42" i="23" s="1"/>
  <c r="Y64" i="23"/>
  <c r="Z64" i="23" s="1"/>
  <c r="G40" i="23" s="1"/>
  <c r="Y65" i="23"/>
  <c r="Z65" i="23" s="1"/>
  <c r="G41" i="23" s="1"/>
  <c r="Y66" i="23"/>
  <c r="Z66" i="23" s="1"/>
  <c r="G42" i="23" s="1"/>
  <c r="N4" i="22"/>
  <c r="P4" i="22"/>
  <c r="O9" i="22"/>
  <c r="V9" i="22"/>
  <c r="O10" i="22"/>
  <c r="V10" i="22"/>
  <c r="O11" i="22"/>
  <c r="V11" i="22"/>
  <c r="X15" i="22"/>
  <c r="Y15" i="22"/>
  <c r="C16" i="22"/>
  <c r="X16" i="22"/>
  <c r="Y16" i="22"/>
  <c r="C17" i="22"/>
  <c r="X17" i="22"/>
  <c r="Y17" i="22"/>
  <c r="Z17" i="22" s="1"/>
  <c r="F11" i="22" s="1"/>
  <c r="C18" i="22"/>
  <c r="X21" i="22"/>
  <c r="Y21" i="22"/>
  <c r="X22" i="22"/>
  <c r="Y22" i="22"/>
  <c r="X23" i="22"/>
  <c r="Y23" i="22"/>
  <c r="X27" i="22"/>
  <c r="Y27" i="22"/>
  <c r="X28" i="22"/>
  <c r="Y28" i="22"/>
  <c r="X29" i="22"/>
  <c r="Y29" i="22"/>
  <c r="X33" i="22"/>
  <c r="Y33" i="22"/>
  <c r="Z33" i="22" s="1"/>
  <c r="G9" i="22" s="1"/>
  <c r="X34" i="22"/>
  <c r="Y34" i="22"/>
  <c r="X35" i="22"/>
  <c r="Y35" i="22"/>
  <c r="O40" i="22"/>
  <c r="V40" i="22"/>
  <c r="AA40" i="22"/>
  <c r="Z41" i="22" s="1"/>
  <c r="J40" i="22" s="1"/>
  <c r="AC40" i="22"/>
  <c r="O41" i="22"/>
  <c r="V41" i="22"/>
  <c r="O42" i="22"/>
  <c r="V42" i="22"/>
  <c r="X46" i="22"/>
  <c r="Y46" i="22"/>
  <c r="C47" i="22"/>
  <c r="X47" i="22"/>
  <c r="Y47" i="22"/>
  <c r="C48" i="22"/>
  <c r="X48" i="22"/>
  <c r="Y48" i="22"/>
  <c r="C49" i="22"/>
  <c r="X52" i="22"/>
  <c r="Y52" i="22"/>
  <c r="X53" i="22"/>
  <c r="Y53" i="22"/>
  <c r="X54" i="22"/>
  <c r="Y54" i="22"/>
  <c r="X58" i="22"/>
  <c r="Y58" i="22"/>
  <c r="X59" i="22"/>
  <c r="Y59" i="22"/>
  <c r="X60" i="22"/>
  <c r="Y60" i="22"/>
  <c r="Z60" i="22" s="1"/>
  <c r="I42" i="22" s="1"/>
  <c r="X64" i="22"/>
  <c r="Y64" i="22"/>
  <c r="X65" i="22"/>
  <c r="Y65" i="22"/>
  <c r="X66" i="22"/>
  <c r="Y66" i="22"/>
  <c r="P9" i="21"/>
  <c r="P10" i="21"/>
  <c r="P11" i="21"/>
  <c r="Y12" i="21"/>
  <c r="Z12" i="21"/>
  <c r="X15" i="21"/>
  <c r="Y15" i="21"/>
  <c r="C16" i="21"/>
  <c r="X16" i="21"/>
  <c r="Y16" i="21"/>
  <c r="C17" i="21"/>
  <c r="X17" i="21"/>
  <c r="Y17" i="21"/>
  <c r="C18" i="21"/>
  <c r="X21" i="21"/>
  <c r="Y21" i="21"/>
  <c r="X22" i="21"/>
  <c r="Y22" i="21"/>
  <c r="Z22" i="21" s="1"/>
  <c r="H10" i="21" s="1"/>
  <c r="X23" i="21"/>
  <c r="Y23" i="21"/>
  <c r="X27" i="21"/>
  <c r="Y27" i="21"/>
  <c r="X28" i="21"/>
  <c r="Y28" i="21"/>
  <c r="X29" i="21"/>
  <c r="Y29" i="21"/>
  <c r="Z29" i="21" s="1"/>
  <c r="I11" i="21" s="1"/>
  <c r="X33" i="21"/>
  <c r="Y33" i="21"/>
  <c r="Z33" i="21" s="1"/>
  <c r="G9" i="21" s="1"/>
  <c r="X34" i="21"/>
  <c r="Y34" i="21"/>
  <c r="X35" i="21"/>
  <c r="Y35" i="21"/>
  <c r="V40" i="21"/>
  <c r="V41" i="21"/>
  <c r="V42" i="21"/>
  <c r="AA43" i="21"/>
  <c r="AB43" i="21"/>
  <c r="X46" i="21"/>
  <c r="Y46" i="21"/>
  <c r="C47" i="21"/>
  <c r="X47" i="21"/>
  <c r="Y47" i="21"/>
  <c r="Z47" i="21" s="1"/>
  <c r="F41" i="21" s="1"/>
  <c r="C48" i="21"/>
  <c r="X48" i="21"/>
  <c r="Y48" i="21"/>
  <c r="C49" i="21"/>
  <c r="X52" i="21"/>
  <c r="Y52" i="21"/>
  <c r="Z52" i="21" s="1"/>
  <c r="H40" i="21" s="1"/>
  <c r="AC52" i="21"/>
  <c r="AD52" i="21"/>
  <c r="X53" i="21"/>
  <c r="Y53" i="21"/>
  <c r="Z53" i="21" s="1"/>
  <c r="H41" i="21" s="1"/>
  <c r="AB53" i="21"/>
  <c r="X54" i="21"/>
  <c r="Y54" i="21"/>
  <c r="AB54" i="21"/>
  <c r="AB55" i="21"/>
  <c r="X58" i="21"/>
  <c r="Y58" i="21"/>
  <c r="X59" i="21"/>
  <c r="Y59" i="21"/>
  <c r="X60" i="21"/>
  <c r="Y60" i="21"/>
  <c r="Z60" i="21" s="1"/>
  <c r="I42" i="21" s="1"/>
  <c r="X64" i="21"/>
  <c r="Y64" i="21"/>
  <c r="X65" i="21"/>
  <c r="Y65" i="21"/>
  <c r="X66" i="21"/>
  <c r="Y66" i="21"/>
  <c r="Z66" i="21" s="1"/>
  <c r="G42" i="21" s="1"/>
  <c r="Z16" i="21" l="1"/>
  <c r="F10" i="21" s="1"/>
  <c r="Z65" i="22"/>
  <c r="G41" i="22" s="1"/>
  <c r="Z35" i="21"/>
  <c r="G11" i="21" s="1"/>
  <c r="Z23" i="21"/>
  <c r="H11" i="21" s="1"/>
  <c r="Z59" i="21"/>
  <c r="I41" i="21" s="1"/>
  <c r="Z17" i="21"/>
  <c r="F11" i="21" s="1"/>
  <c r="Z35" i="22"/>
  <c r="G11" i="22" s="1"/>
  <c r="Z23" i="22"/>
  <c r="H11" i="22" s="1"/>
  <c r="Z48" i="22"/>
  <c r="F42" i="22" s="1"/>
  <c r="Z34" i="22"/>
  <c r="G10" i="22" s="1"/>
  <c r="M5" i="22"/>
  <c r="J9" i="22" s="1"/>
  <c r="J9" i="21"/>
  <c r="Z28" i="21"/>
  <c r="I10" i="21" s="1"/>
  <c r="Z58" i="22"/>
  <c r="I40" i="22" s="1"/>
  <c r="Z48" i="21"/>
  <c r="F42" i="21" s="1"/>
  <c r="Z27" i="22"/>
  <c r="I9" i="22" s="1"/>
  <c r="Z53" i="22"/>
  <c r="H41" i="22" s="1"/>
  <c r="Z28" i="22"/>
  <c r="I10" i="22" s="1"/>
  <c r="Z21" i="22"/>
  <c r="H9" i="22" s="1"/>
  <c r="Z65" i="21"/>
  <c r="G41" i="21" s="1"/>
  <c r="Z58" i="21"/>
  <c r="I40" i="21" s="1"/>
  <c r="Z64" i="22"/>
  <c r="G40" i="22" s="1"/>
  <c r="Z54" i="22"/>
  <c r="H42" i="22" s="1"/>
  <c r="Z15" i="22"/>
  <c r="F9" i="22" s="1"/>
  <c r="Z64" i="21"/>
  <c r="G40" i="21" s="1"/>
  <c r="Z47" i="22"/>
  <c r="F41" i="22" s="1"/>
  <c r="Z21" i="21"/>
  <c r="H9" i="21" s="1"/>
  <c r="Z54" i="21"/>
  <c r="H42" i="21" s="1"/>
  <c r="Z46" i="21"/>
  <c r="F40" i="21" s="1"/>
  <c r="Z15" i="21"/>
  <c r="F9" i="21" s="1"/>
  <c r="Z66" i="22"/>
  <c r="G42" i="22" s="1"/>
  <c r="Z59" i="22"/>
  <c r="I41" i="22" s="1"/>
  <c r="Z52" i="22"/>
  <c r="H40" i="22" s="1"/>
  <c r="Z34" i="21"/>
  <c r="G10" i="21" s="1"/>
  <c r="Z27" i="21"/>
  <c r="I9" i="21" s="1"/>
  <c r="Z46" i="22"/>
  <c r="F40" i="22" s="1"/>
  <c r="Z29" i="22"/>
  <c r="I11" i="22" s="1"/>
  <c r="Z22" i="22"/>
  <c r="H10" i="22" s="1"/>
  <c r="Z16" i="22"/>
  <c r="F10" i="22" s="1"/>
  <c r="X40" i="24"/>
  <c r="U41" i="24" s="1"/>
  <c r="J40" i="24" s="1"/>
  <c r="O10" i="24"/>
  <c r="J40" i="21"/>
  <c r="L3" i="24"/>
  <c r="I4" i="24" s="1"/>
  <c r="J9" i="24" s="1"/>
  <c r="O9" i="24"/>
  <c r="J41" i="23"/>
  <c r="J11" i="23"/>
  <c r="J10" i="23"/>
  <c r="J42" i="23"/>
  <c r="J42" i="22" l="1"/>
  <c r="Q41" i="22" s="1"/>
  <c r="J41" i="22"/>
  <c r="Q40" i="22" s="1"/>
  <c r="J10" i="21"/>
  <c r="R9" i="21" s="1"/>
  <c r="J11" i="21"/>
  <c r="C10" i="21" s="1"/>
  <c r="J11" i="22"/>
  <c r="Q10" i="22" s="1"/>
  <c r="J42" i="21"/>
  <c r="C41" i="21" s="1"/>
  <c r="C42" i="21" s="1"/>
  <c r="J10" i="22"/>
  <c r="Q9" i="22" s="1"/>
  <c r="J42" i="24"/>
  <c r="J41" i="24"/>
  <c r="B41" i="24" s="1"/>
  <c r="J41" i="21"/>
  <c r="B41" i="21" s="1"/>
  <c r="AB56" i="21" s="1"/>
  <c r="J11" i="24"/>
  <c r="J10" i="24"/>
  <c r="Q9" i="23"/>
  <c r="C10" i="23"/>
  <c r="C9" i="23" s="1"/>
  <c r="C13" i="23" s="1"/>
  <c r="R10" i="23"/>
  <c r="Q40" i="23"/>
  <c r="Q41" i="23"/>
  <c r="Q10" i="23"/>
  <c r="C41" i="23"/>
  <c r="R41" i="23"/>
  <c r="R9" i="23"/>
  <c r="B10" i="23"/>
  <c r="R40" i="23"/>
  <c r="B41" i="23"/>
  <c r="B40" i="23" s="1"/>
  <c r="B44" i="23" s="1"/>
  <c r="R40" i="22"/>
  <c r="B41" i="22"/>
  <c r="C41" i="22"/>
  <c r="R41" i="22"/>
  <c r="R10" i="22" l="1"/>
  <c r="C10" i="22"/>
  <c r="B10" i="21"/>
  <c r="B9" i="21" s="1"/>
  <c r="B13" i="21" s="1"/>
  <c r="S9" i="21"/>
  <c r="B10" i="22"/>
  <c r="B9" i="22" s="1"/>
  <c r="B13" i="22" s="1"/>
  <c r="AB57" i="21"/>
  <c r="AC57" i="21"/>
  <c r="AD57" i="21"/>
  <c r="C40" i="21"/>
  <c r="C44" i="21" s="1"/>
  <c r="R9" i="22"/>
  <c r="AA20" i="20"/>
  <c r="R10" i="21"/>
  <c r="S10" i="21"/>
  <c r="B42" i="21"/>
  <c r="B40" i="21"/>
  <c r="B44" i="21" s="1"/>
  <c r="AC56" i="21"/>
  <c r="AD56" i="21"/>
  <c r="Q40" i="24"/>
  <c r="R40" i="24"/>
  <c r="C41" i="24"/>
  <c r="AB20" i="20" s="1"/>
  <c r="Q41" i="24"/>
  <c r="R41" i="24"/>
  <c r="B42" i="24"/>
  <c r="B40" i="24"/>
  <c r="B10" i="24"/>
  <c r="W20" i="20" s="1"/>
  <c r="R9" i="24"/>
  <c r="R10" i="24"/>
  <c r="C10" i="24"/>
  <c r="X20" i="20" s="1"/>
  <c r="Q9" i="24"/>
  <c r="Q10" i="24"/>
  <c r="B11" i="23"/>
  <c r="S9" i="23"/>
  <c r="B12" i="23" s="1"/>
  <c r="C42" i="23"/>
  <c r="S41" i="23"/>
  <c r="C43" i="23" s="1"/>
  <c r="B42" i="23"/>
  <c r="S40" i="23"/>
  <c r="B43" i="23" s="1"/>
  <c r="B9" i="23"/>
  <c r="B13" i="23" s="1"/>
  <c r="C11" i="23"/>
  <c r="S10" i="23"/>
  <c r="C12" i="23" s="1"/>
  <c r="C40" i="23"/>
  <c r="C44" i="23" s="1"/>
  <c r="C42" i="22"/>
  <c r="S41" i="22"/>
  <c r="C43" i="22" s="1"/>
  <c r="C40" i="22"/>
  <c r="C44" i="22" s="1"/>
  <c r="S40" i="22"/>
  <c r="B43" i="22" s="1"/>
  <c r="B42" i="22"/>
  <c r="B40" i="22"/>
  <c r="B44" i="22" s="1"/>
  <c r="C11" i="22"/>
  <c r="C9" i="22"/>
  <c r="C13" i="22" s="1"/>
  <c r="C11" i="21"/>
  <c r="C9" i="21"/>
  <c r="C13" i="21" s="1"/>
  <c r="B11" i="21" l="1"/>
  <c r="T9" i="21"/>
  <c r="B12" i="21" s="1"/>
  <c r="S10" i="22"/>
  <c r="C12" i="22" s="1"/>
  <c r="B11" i="22"/>
  <c r="AB39" i="21"/>
  <c r="C43" i="21" s="1"/>
  <c r="S9" i="22"/>
  <c r="B12" i="22" s="1"/>
  <c r="T10" i="21"/>
  <c r="C12" i="21" s="1"/>
  <c r="AA21" i="20"/>
  <c r="AA39" i="21"/>
  <c r="B43" i="21" s="1"/>
  <c r="S40" i="24"/>
  <c r="B43" i="24" s="1"/>
  <c r="AA22" i="20" s="1"/>
  <c r="S41" i="24"/>
  <c r="C43" i="24" s="1"/>
  <c r="AB22" i="20" s="1"/>
  <c r="C40" i="24"/>
  <c r="B44" i="24"/>
  <c r="AA17" i="20"/>
  <c r="AA18" i="20" s="1"/>
  <c r="C42" i="24"/>
  <c r="AB21" i="20" s="1"/>
  <c r="S10" i="24"/>
  <c r="C12" i="24" s="1"/>
  <c r="X22" i="20" s="1"/>
  <c r="C11" i="24"/>
  <c r="X21" i="20" s="1"/>
  <c r="C9" i="24"/>
  <c r="S9" i="24"/>
  <c r="B12" i="24" s="1"/>
  <c r="W22" i="20" s="1"/>
  <c r="B11" i="24"/>
  <c r="W21" i="20" s="1"/>
  <c r="B9" i="24"/>
  <c r="C13" i="24" l="1"/>
  <c r="X17" i="20"/>
  <c r="B13" i="24"/>
  <c r="W17" i="20"/>
  <c r="C44" i="24"/>
  <c r="AB17" i="20"/>
  <c r="AB18" i="20" s="1"/>
  <c r="AA19" i="20"/>
  <c r="F7" i="20"/>
  <c r="AB19" i="20" l="1"/>
  <c r="L14" i="2" l="1"/>
  <c r="L14" i="14"/>
  <c r="J14" i="14"/>
  <c r="H14" i="14"/>
  <c r="L14" i="11"/>
  <c r="J14" i="11"/>
  <c r="H14" i="11"/>
  <c r="H14" i="2"/>
  <c r="J14" i="2"/>
  <c r="H14" i="8"/>
  <c r="L14" i="8"/>
  <c r="J14" i="8"/>
  <c r="O43" i="14" l="1"/>
  <c r="R44" i="14" l="1"/>
  <c r="R45" i="14" s="1"/>
  <c r="R166" i="14"/>
  <c r="R190" i="8" l="1"/>
  <c r="R37" i="8" l="1"/>
  <c r="E228" i="8" l="1"/>
  <c r="O233" i="8" l="1"/>
  <c r="S369" i="8" l="1"/>
  <c r="S367" i="8"/>
  <c r="S366" i="8"/>
  <c r="O5" i="8"/>
  <c r="O3" i="8"/>
  <c r="O2" i="8"/>
  <c r="U377" i="8"/>
  <c r="T377" i="8"/>
  <c r="S377" i="8"/>
  <c r="C373" i="8"/>
  <c r="D372" i="8"/>
  <c r="D371" i="8"/>
  <c r="D373" i="8" l="1"/>
  <c r="C379" i="8"/>
  <c r="D379" i="8" s="1"/>
  <c r="R187" i="8" l="1"/>
  <c r="R173" i="8" l="1"/>
  <c r="R207" i="8" l="1"/>
  <c r="R173" i="14" l="1"/>
  <c r="R207" i="14"/>
  <c r="R194" i="8"/>
  <c r="R214" i="8" l="1"/>
  <c r="R174" i="14" l="1"/>
  <c r="R274" i="14" l="1"/>
  <c r="R130" i="11"/>
  <c r="R87" i="11"/>
  <c r="R254" i="8"/>
  <c r="R166" i="8"/>
  <c r="Q300" i="14" l="1"/>
  <c r="S300" i="14" s="1"/>
  <c r="R294" i="14"/>
  <c r="Q291" i="14"/>
  <c r="S291" i="14" s="1"/>
  <c r="R287" i="14"/>
  <c r="R288" i="14" s="1"/>
  <c r="R289" i="14" s="1"/>
  <c r="R290" i="14" s="1"/>
  <c r="Q280" i="14"/>
  <c r="R275" i="14"/>
  <c r="R276" i="14" s="1"/>
  <c r="R277" i="14" s="1"/>
  <c r="R278" i="14" s="1"/>
  <c r="R279" i="14" s="1"/>
  <c r="Q271" i="14"/>
  <c r="S271" i="14" s="1"/>
  <c r="R267" i="14"/>
  <c r="R268" i="14" s="1"/>
  <c r="R269" i="14" s="1"/>
  <c r="R270" i="14" s="1"/>
  <c r="Q260" i="14"/>
  <c r="R254" i="14"/>
  <c r="R255" i="14" s="1"/>
  <c r="R256" i="14" s="1"/>
  <c r="R257" i="14" s="1"/>
  <c r="R258" i="14" s="1"/>
  <c r="R259" i="14" s="1"/>
  <c r="Q251" i="14"/>
  <c r="S251" i="14" s="1"/>
  <c r="R247" i="14"/>
  <c r="R248" i="14" s="1"/>
  <c r="R249" i="14" s="1"/>
  <c r="R250" i="14" s="1"/>
  <c r="Q240" i="14"/>
  <c r="R234" i="14"/>
  <c r="R235" i="14" s="1"/>
  <c r="R236" i="14" s="1"/>
  <c r="R237" i="14" s="1"/>
  <c r="R238" i="14" s="1"/>
  <c r="R239" i="14" s="1"/>
  <c r="Q231" i="14"/>
  <c r="S231" i="14" s="1"/>
  <c r="R227" i="14"/>
  <c r="R228" i="14" s="1"/>
  <c r="R229" i="14" s="1"/>
  <c r="R230" i="14" s="1"/>
  <c r="Q220" i="14"/>
  <c r="R214" i="14"/>
  <c r="R215" i="14" s="1"/>
  <c r="R216" i="14" s="1"/>
  <c r="R217" i="14" s="1"/>
  <c r="R218" i="14" s="1"/>
  <c r="R219" i="14" s="1"/>
  <c r="Q211" i="14"/>
  <c r="S211" i="14" s="1"/>
  <c r="R208" i="14"/>
  <c r="R209" i="14" s="1"/>
  <c r="R210" i="14" s="1"/>
  <c r="Q200" i="14"/>
  <c r="R194" i="14"/>
  <c r="R195" i="14" s="1"/>
  <c r="R196" i="14" s="1"/>
  <c r="R197" i="14" s="1"/>
  <c r="R198" i="14" s="1"/>
  <c r="R199" i="14" s="1"/>
  <c r="Q191" i="14"/>
  <c r="S191" i="14" s="1"/>
  <c r="R187" i="14"/>
  <c r="R188" i="14" s="1"/>
  <c r="R189" i="14" s="1"/>
  <c r="R190" i="14" s="1"/>
  <c r="Q179" i="14"/>
  <c r="R175" i="14"/>
  <c r="R176" i="14" s="1"/>
  <c r="R177" i="14" s="1"/>
  <c r="R178" i="14" s="1"/>
  <c r="Q170" i="14"/>
  <c r="S170" i="14" s="1"/>
  <c r="R167" i="14"/>
  <c r="R168" i="14" s="1"/>
  <c r="R169" i="14" s="1"/>
  <c r="Q161" i="14"/>
  <c r="R155" i="14"/>
  <c r="R156" i="14" s="1"/>
  <c r="R157" i="14" s="1"/>
  <c r="R158" i="14" s="1"/>
  <c r="R159" i="14" s="1"/>
  <c r="R160" i="14" s="1"/>
  <c r="Q152" i="14"/>
  <c r="S152" i="14" s="1"/>
  <c r="R148" i="14"/>
  <c r="R149" i="14" s="1"/>
  <c r="R150" i="14" s="1"/>
  <c r="R151" i="14" s="1"/>
  <c r="Q143" i="14"/>
  <c r="S141" i="14"/>
  <c r="S142" i="14" s="1"/>
  <c r="Q135" i="14"/>
  <c r="S135" i="14" s="1"/>
  <c r="R130" i="14"/>
  <c r="R131" i="14" s="1"/>
  <c r="R132" i="14" s="1"/>
  <c r="R133" i="14" s="1"/>
  <c r="R134" i="14" s="1"/>
  <c r="R137" i="14" s="1"/>
  <c r="Q127" i="14"/>
  <c r="S127" i="14" s="1"/>
  <c r="R123" i="14"/>
  <c r="R124" i="14" s="1"/>
  <c r="R125" i="14" s="1"/>
  <c r="R126" i="14" s="1"/>
  <c r="Q118" i="14"/>
  <c r="S116" i="14"/>
  <c r="S117" i="14" s="1"/>
  <c r="Q110" i="14"/>
  <c r="S110" i="14" s="1"/>
  <c r="R105" i="14"/>
  <c r="R106" i="14" s="1"/>
  <c r="R107" i="14" s="1"/>
  <c r="R108" i="14" s="1"/>
  <c r="R109" i="14" s="1"/>
  <c r="R112" i="14" s="1"/>
  <c r="Q102" i="14"/>
  <c r="S102" i="14" s="1"/>
  <c r="R98" i="14"/>
  <c r="R99" i="14" s="1"/>
  <c r="R100" i="14" s="1"/>
  <c r="R101" i="14" s="1"/>
  <c r="Q93" i="14"/>
  <c r="R87" i="14"/>
  <c r="R88" i="14" s="1"/>
  <c r="R89" i="14" s="1"/>
  <c r="R90" i="14" s="1"/>
  <c r="R91" i="14" s="1"/>
  <c r="R92" i="14" s="1"/>
  <c r="Q84" i="14"/>
  <c r="S84" i="14" s="1"/>
  <c r="R80" i="14"/>
  <c r="R81" i="14" s="1"/>
  <c r="R82" i="14" s="1"/>
  <c r="R83" i="14" s="1"/>
  <c r="Q75" i="14"/>
  <c r="R69" i="14"/>
  <c r="R70" i="14" s="1"/>
  <c r="R71" i="14" s="1"/>
  <c r="R72" i="14" s="1"/>
  <c r="R73" i="14" s="1"/>
  <c r="R74" i="14" s="1"/>
  <c r="Q66" i="14"/>
  <c r="S66" i="14" s="1"/>
  <c r="R62" i="14"/>
  <c r="R63" i="14" s="1"/>
  <c r="R64" i="14" s="1"/>
  <c r="R65" i="14" s="1"/>
  <c r="Q57" i="14"/>
  <c r="S55" i="14"/>
  <c r="S56" i="14" s="1"/>
  <c r="Q49" i="14"/>
  <c r="S49" i="14" s="1"/>
  <c r="R46" i="14"/>
  <c r="R47" i="14" s="1"/>
  <c r="R48" i="14" s="1"/>
  <c r="R51" i="14" s="1"/>
  <c r="Q41" i="14"/>
  <c r="S41" i="14" s="1"/>
  <c r="R37" i="14"/>
  <c r="R38" i="14" s="1"/>
  <c r="R39" i="14" s="1"/>
  <c r="R40" i="14" s="1"/>
  <c r="Q32" i="14"/>
  <c r="S32" i="14" s="1"/>
  <c r="R26" i="14"/>
  <c r="R27" i="14" s="1"/>
  <c r="R28" i="14" s="1"/>
  <c r="R29" i="14" s="1"/>
  <c r="R30" i="14" s="1"/>
  <c r="R31" i="14" s="1"/>
  <c r="Q23" i="14"/>
  <c r="R19" i="14"/>
  <c r="R20" i="14" s="1"/>
  <c r="R21" i="14" s="1"/>
  <c r="R22" i="14" s="1"/>
  <c r="Q300" i="11"/>
  <c r="S300" i="11" s="1"/>
  <c r="R294" i="11"/>
  <c r="Q291" i="11"/>
  <c r="S291" i="11" s="1"/>
  <c r="R287" i="11"/>
  <c r="R288" i="11" s="1"/>
  <c r="R289" i="11" s="1"/>
  <c r="R290" i="11" s="1"/>
  <c r="Q280" i="11"/>
  <c r="R274" i="11"/>
  <c r="R275" i="11" s="1"/>
  <c r="R276" i="11" s="1"/>
  <c r="R277" i="11" s="1"/>
  <c r="R278" i="11" s="1"/>
  <c r="R279" i="11" s="1"/>
  <c r="Q271" i="11"/>
  <c r="S271" i="11" s="1"/>
  <c r="R267" i="11"/>
  <c r="R268" i="11" s="1"/>
  <c r="R269" i="11" s="1"/>
  <c r="R270" i="11" s="1"/>
  <c r="Q260" i="11"/>
  <c r="R254" i="11"/>
  <c r="R255" i="11" s="1"/>
  <c r="R256" i="11" s="1"/>
  <c r="R257" i="11" s="1"/>
  <c r="R258" i="11" s="1"/>
  <c r="R259" i="11" s="1"/>
  <c r="Q251" i="11"/>
  <c r="S251" i="11" s="1"/>
  <c r="R247" i="11"/>
  <c r="R248" i="11" s="1"/>
  <c r="R249" i="11" s="1"/>
  <c r="R250" i="11" s="1"/>
  <c r="Q240" i="11"/>
  <c r="R234" i="11"/>
  <c r="R235" i="11" s="1"/>
  <c r="R236" i="11" s="1"/>
  <c r="R237" i="11" s="1"/>
  <c r="R238" i="11" s="1"/>
  <c r="R239" i="11" s="1"/>
  <c r="Q231" i="11"/>
  <c r="S231" i="11" s="1"/>
  <c r="R227" i="11"/>
  <c r="R228" i="11" s="1"/>
  <c r="R229" i="11" s="1"/>
  <c r="R230" i="11" s="1"/>
  <c r="Q220" i="11"/>
  <c r="R214" i="11"/>
  <c r="R215" i="11" s="1"/>
  <c r="R216" i="11" s="1"/>
  <c r="R217" i="11" s="1"/>
  <c r="R218" i="11" s="1"/>
  <c r="R219" i="11" s="1"/>
  <c r="Q211" i="11"/>
  <c r="S211" i="11" s="1"/>
  <c r="R207" i="11"/>
  <c r="R208" i="11" s="1"/>
  <c r="R209" i="11" s="1"/>
  <c r="R210" i="11" s="1"/>
  <c r="Q200" i="11"/>
  <c r="R194" i="11"/>
  <c r="R195" i="11" s="1"/>
  <c r="R196" i="11" s="1"/>
  <c r="R197" i="11" s="1"/>
  <c r="R198" i="11" s="1"/>
  <c r="R199" i="11" s="1"/>
  <c r="Q191" i="11"/>
  <c r="S191" i="11" s="1"/>
  <c r="R187" i="11"/>
  <c r="R188" i="11" s="1"/>
  <c r="R189" i="11" s="1"/>
  <c r="R190" i="11" s="1"/>
  <c r="Q179" i="11"/>
  <c r="R173" i="11"/>
  <c r="R174" i="11" s="1"/>
  <c r="R175" i="11" s="1"/>
  <c r="R176" i="11" s="1"/>
  <c r="R177" i="11" s="1"/>
  <c r="R178" i="11" s="1"/>
  <c r="Q170" i="11"/>
  <c r="S170" i="11" s="1"/>
  <c r="R166" i="11"/>
  <c r="R167" i="11" s="1"/>
  <c r="R168" i="11" s="1"/>
  <c r="R169" i="11" s="1"/>
  <c r="Q161" i="11"/>
  <c r="R155" i="11"/>
  <c r="R156" i="11" s="1"/>
  <c r="R157" i="11" s="1"/>
  <c r="R158" i="11" s="1"/>
  <c r="R159" i="11" s="1"/>
  <c r="R160" i="11" s="1"/>
  <c r="Q152" i="11"/>
  <c r="S152" i="11" s="1"/>
  <c r="R148" i="11"/>
  <c r="R149" i="11" s="1"/>
  <c r="R150" i="11" s="1"/>
  <c r="R151" i="11" s="1"/>
  <c r="Q143" i="11"/>
  <c r="S141" i="11"/>
  <c r="S142" i="11" s="1"/>
  <c r="Q135" i="11"/>
  <c r="S135" i="11" s="1"/>
  <c r="R131" i="11"/>
  <c r="R132" i="11" s="1"/>
  <c r="R133" i="11" s="1"/>
  <c r="R134" i="11" s="1"/>
  <c r="R137" i="11" s="1"/>
  <c r="Q127" i="11"/>
  <c r="S127" i="11" s="1"/>
  <c r="R123" i="11"/>
  <c r="R124" i="11" s="1"/>
  <c r="R125" i="11" s="1"/>
  <c r="R126" i="11" s="1"/>
  <c r="Q118" i="11"/>
  <c r="S116" i="11"/>
  <c r="S117" i="11" s="1"/>
  <c r="Q110" i="11"/>
  <c r="S110" i="11" s="1"/>
  <c r="R105" i="11"/>
  <c r="R106" i="11" s="1"/>
  <c r="R107" i="11" s="1"/>
  <c r="R108" i="11" s="1"/>
  <c r="R109" i="11" s="1"/>
  <c r="R112" i="11" s="1"/>
  <c r="Q102" i="11"/>
  <c r="S102" i="11" s="1"/>
  <c r="R98" i="11"/>
  <c r="R99" i="11" s="1"/>
  <c r="R100" i="11" s="1"/>
  <c r="R101" i="11" s="1"/>
  <c r="Q93" i="11"/>
  <c r="R88" i="11"/>
  <c r="R89" i="11" s="1"/>
  <c r="R90" i="11" s="1"/>
  <c r="R91" i="11" s="1"/>
  <c r="R92" i="11" s="1"/>
  <c r="Q84" i="11"/>
  <c r="S84" i="11" s="1"/>
  <c r="R80" i="11"/>
  <c r="R81" i="11" s="1"/>
  <c r="R82" i="11" s="1"/>
  <c r="R83" i="11" s="1"/>
  <c r="Q75" i="11"/>
  <c r="R69" i="11"/>
  <c r="R70" i="11" s="1"/>
  <c r="R71" i="11" s="1"/>
  <c r="R72" i="11" s="1"/>
  <c r="R73" i="11" s="1"/>
  <c r="R74" i="11" s="1"/>
  <c r="Q66" i="11"/>
  <c r="S66" i="11" s="1"/>
  <c r="R62" i="11"/>
  <c r="R63" i="11" s="1"/>
  <c r="R64" i="11" s="1"/>
  <c r="R65" i="11" s="1"/>
  <c r="Q57" i="11"/>
  <c r="S55" i="11"/>
  <c r="S56" i="11" s="1"/>
  <c r="Q49" i="11"/>
  <c r="S49" i="11" s="1"/>
  <c r="R44" i="11"/>
  <c r="R45" i="11" s="1"/>
  <c r="R46" i="11" s="1"/>
  <c r="R47" i="11" s="1"/>
  <c r="R48" i="11" s="1"/>
  <c r="R51" i="11" s="1"/>
  <c r="Q41" i="11"/>
  <c r="S41" i="11" s="1"/>
  <c r="R37" i="11"/>
  <c r="R38" i="11" s="1"/>
  <c r="R39" i="11" s="1"/>
  <c r="R40" i="11" s="1"/>
  <c r="Q32" i="11"/>
  <c r="S32" i="11" s="1"/>
  <c r="R26" i="11"/>
  <c r="R27" i="11" s="1"/>
  <c r="R28" i="11" s="1"/>
  <c r="R29" i="11" s="1"/>
  <c r="R30" i="11" s="1"/>
  <c r="R31" i="11" s="1"/>
  <c r="Q23" i="11"/>
  <c r="R19" i="11"/>
  <c r="R20" i="11" s="1"/>
  <c r="R21" i="11" s="1"/>
  <c r="R22" i="11" s="1"/>
  <c r="Q300" i="8"/>
  <c r="S300" i="8" s="1"/>
  <c r="R294" i="8"/>
  <c r="Q291" i="8"/>
  <c r="S291" i="8" s="1"/>
  <c r="R287" i="8"/>
  <c r="R288" i="8" s="1"/>
  <c r="R289" i="8" s="1"/>
  <c r="R290" i="8" s="1"/>
  <c r="Q280" i="8"/>
  <c r="R274" i="8"/>
  <c r="R275" i="8" s="1"/>
  <c r="R276" i="8" s="1"/>
  <c r="R277" i="8" s="1"/>
  <c r="R278" i="8" s="1"/>
  <c r="R279" i="8" s="1"/>
  <c r="Q271" i="8"/>
  <c r="S271" i="8" s="1"/>
  <c r="R267" i="8"/>
  <c r="R268" i="8" s="1"/>
  <c r="R269" i="8" s="1"/>
  <c r="R270" i="8" s="1"/>
  <c r="Q260" i="8"/>
  <c r="R255" i="8"/>
  <c r="R256" i="8" s="1"/>
  <c r="R257" i="8" s="1"/>
  <c r="R258" i="8" s="1"/>
  <c r="R259" i="8" s="1"/>
  <c r="Q251" i="8"/>
  <c r="S251" i="8" s="1"/>
  <c r="R247" i="8"/>
  <c r="R248" i="8" s="1"/>
  <c r="R249" i="8" s="1"/>
  <c r="R250" i="8" s="1"/>
  <c r="Q240" i="8"/>
  <c r="R234" i="8"/>
  <c r="R235" i="8" s="1"/>
  <c r="R236" i="8" s="1"/>
  <c r="R237" i="8" s="1"/>
  <c r="R238" i="8" s="1"/>
  <c r="R239" i="8" s="1"/>
  <c r="Q231" i="8"/>
  <c r="S231" i="8" s="1"/>
  <c r="R227" i="8"/>
  <c r="R228" i="8" s="1"/>
  <c r="R229" i="8" s="1"/>
  <c r="R230" i="8" s="1"/>
  <c r="Q220" i="8"/>
  <c r="R215" i="8"/>
  <c r="R216" i="8" s="1"/>
  <c r="R217" i="8" s="1"/>
  <c r="R218" i="8" s="1"/>
  <c r="R219" i="8" s="1"/>
  <c r="Q211" i="8"/>
  <c r="S211" i="8" s="1"/>
  <c r="R208" i="8"/>
  <c r="R209" i="8" s="1"/>
  <c r="R210" i="8" s="1"/>
  <c r="Q200" i="8"/>
  <c r="R195" i="8"/>
  <c r="R196" i="8" s="1"/>
  <c r="R197" i="8" s="1"/>
  <c r="R198" i="8" s="1"/>
  <c r="R199" i="8" s="1"/>
  <c r="Q191" i="8"/>
  <c r="S191" i="8" s="1"/>
  <c r="R188" i="8"/>
  <c r="Q179" i="8"/>
  <c r="R174" i="8"/>
  <c r="R175" i="8" s="1"/>
  <c r="R176" i="8" s="1"/>
  <c r="R177" i="8" s="1"/>
  <c r="R178" i="8" s="1"/>
  <c r="Q170" i="8"/>
  <c r="S170" i="8" s="1"/>
  <c r="R167" i="8"/>
  <c r="R168" i="8" s="1"/>
  <c r="R169" i="8" s="1"/>
  <c r="Q161" i="8"/>
  <c r="R155" i="8"/>
  <c r="R156" i="8" s="1"/>
  <c r="R157" i="8" s="1"/>
  <c r="R158" i="8" s="1"/>
  <c r="R159" i="8" s="1"/>
  <c r="R160" i="8" s="1"/>
  <c r="Q152" i="8"/>
  <c r="S152" i="8" s="1"/>
  <c r="R148" i="8"/>
  <c r="R149" i="8" s="1"/>
  <c r="R150" i="8" s="1"/>
  <c r="R151" i="8" s="1"/>
  <c r="Q143" i="8"/>
  <c r="S141" i="8"/>
  <c r="S142" i="8" s="1"/>
  <c r="Q135" i="8"/>
  <c r="S135" i="8" s="1"/>
  <c r="R130" i="8"/>
  <c r="R131" i="8" s="1"/>
  <c r="R132" i="8" s="1"/>
  <c r="R133" i="8" s="1"/>
  <c r="R134" i="8" s="1"/>
  <c r="R137" i="8" s="1"/>
  <c r="Q127" i="8"/>
  <c r="S127" i="8" s="1"/>
  <c r="R123" i="8"/>
  <c r="R124" i="8" s="1"/>
  <c r="R125" i="8" s="1"/>
  <c r="R126" i="8" s="1"/>
  <c r="Q118" i="8"/>
  <c r="S116" i="8"/>
  <c r="S117" i="8" s="1"/>
  <c r="Q110" i="8"/>
  <c r="S110" i="8" s="1"/>
  <c r="R105" i="8"/>
  <c r="R106" i="8" s="1"/>
  <c r="R107" i="8" s="1"/>
  <c r="R108" i="8" s="1"/>
  <c r="R109" i="8" s="1"/>
  <c r="R112" i="8" s="1"/>
  <c r="Q102" i="8"/>
  <c r="S102" i="8" s="1"/>
  <c r="R98" i="8"/>
  <c r="R99" i="8" s="1"/>
  <c r="R100" i="8" s="1"/>
  <c r="R101" i="8" s="1"/>
  <c r="Q93" i="8"/>
  <c r="R87" i="8"/>
  <c r="R88" i="8" s="1"/>
  <c r="R89" i="8" s="1"/>
  <c r="R90" i="8" s="1"/>
  <c r="R91" i="8" s="1"/>
  <c r="R92" i="8" s="1"/>
  <c r="Q84" i="8"/>
  <c r="S84" i="8" s="1"/>
  <c r="R80" i="8"/>
  <c r="R81" i="8" s="1"/>
  <c r="R82" i="8" s="1"/>
  <c r="R83" i="8" s="1"/>
  <c r="Q75" i="8"/>
  <c r="R69" i="8"/>
  <c r="R70" i="8" s="1"/>
  <c r="R71" i="8" s="1"/>
  <c r="R72" i="8" s="1"/>
  <c r="R73" i="8" s="1"/>
  <c r="R74" i="8" s="1"/>
  <c r="Q66" i="8"/>
  <c r="S66" i="8" s="1"/>
  <c r="R62" i="8"/>
  <c r="R63" i="8" s="1"/>
  <c r="R64" i="8" s="1"/>
  <c r="R65" i="8" s="1"/>
  <c r="Q57" i="8"/>
  <c r="S55" i="8"/>
  <c r="S56" i="8" s="1"/>
  <c r="Q49" i="8"/>
  <c r="S49" i="8" s="1"/>
  <c r="R44" i="8"/>
  <c r="R45" i="8" s="1"/>
  <c r="R46" i="8" s="1"/>
  <c r="R47" i="8" s="1"/>
  <c r="R48" i="8" s="1"/>
  <c r="R51" i="8" s="1"/>
  <c r="Q41" i="8"/>
  <c r="S41" i="8" s="1"/>
  <c r="R38" i="8"/>
  <c r="R39" i="8" s="1"/>
  <c r="Q32" i="8"/>
  <c r="S32" i="8" s="1"/>
  <c r="R26" i="8"/>
  <c r="R27" i="8" s="1"/>
  <c r="R28" i="8" s="1"/>
  <c r="R29" i="8" s="1"/>
  <c r="R30" i="8" s="1"/>
  <c r="R31" i="8" s="1"/>
  <c r="Q23" i="8"/>
  <c r="S23" i="8" s="1"/>
  <c r="R19" i="8"/>
  <c r="R20" i="8" s="1"/>
  <c r="R21" i="8" s="1"/>
  <c r="S143" i="11" l="1"/>
  <c r="S57" i="11"/>
  <c r="S118" i="8"/>
  <c r="S57" i="14"/>
  <c r="S143" i="14"/>
  <c r="R93" i="8"/>
  <c r="S143" i="8"/>
  <c r="S57" i="8"/>
  <c r="O57" i="8" s="1"/>
  <c r="R75" i="8"/>
  <c r="R84" i="11"/>
  <c r="R102" i="11"/>
  <c r="R170" i="11"/>
  <c r="R191" i="11"/>
  <c r="R211" i="11"/>
  <c r="R231" i="11"/>
  <c r="R251" i="11"/>
  <c r="R271" i="11"/>
  <c r="R291" i="11"/>
  <c r="R300" i="11"/>
  <c r="R102" i="14"/>
  <c r="R170" i="14"/>
  <c r="R191" i="14"/>
  <c r="R211" i="14"/>
  <c r="R231" i="14"/>
  <c r="R251" i="14"/>
  <c r="R271" i="14"/>
  <c r="R291" i="14"/>
  <c r="R300" i="14"/>
  <c r="R152" i="11"/>
  <c r="R152" i="14"/>
  <c r="S118" i="11"/>
  <c r="S118" i="14"/>
  <c r="R240" i="8"/>
  <c r="R23" i="11"/>
  <c r="R66" i="11"/>
  <c r="R23" i="14"/>
  <c r="R66" i="14"/>
  <c r="R84" i="14"/>
  <c r="R280" i="8"/>
  <c r="R260" i="8"/>
  <c r="I256" i="8" s="1"/>
  <c r="R52" i="14"/>
  <c r="R53" i="14" s="1"/>
  <c r="R54" i="14" s="1"/>
  <c r="R55" i="14" s="1"/>
  <c r="R56" i="14" s="1"/>
  <c r="R113" i="14"/>
  <c r="R114" i="14" s="1"/>
  <c r="R115" i="14" s="1"/>
  <c r="R116" i="14" s="1"/>
  <c r="R117" i="14" s="1"/>
  <c r="R138" i="14"/>
  <c r="R139" i="14" s="1"/>
  <c r="R140" i="14" s="1"/>
  <c r="R141" i="14" s="1"/>
  <c r="R142" i="14" s="1"/>
  <c r="S23" i="14"/>
  <c r="R49" i="14"/>
  <c r="R75" i="14"/>
  <c r="R93" i="14"/>
  <c r="R135" i="14"/>
  <c r="R161" i="14"/>
  <c r="R179" i="14"/>
  <c r="I175" i="14" s="1"/>
  <c r="R200" i="14"/>
  <c r="R220" i="14"/>
  <c r="R240" i="14"/>
  <c r="R260" i="14"/>
  <c r="R280" i="14"/>
  <c r="R32" i="14"/>
  <c r="R41" i="14"/>
  <c r="S75" i="14"/>
  <c r="S93" i="14"/>
  <c r="R110" i="14"/>
  <c r="R127" i="14"/>
  <c r="S161" i="14"/>
  <c r="S179" i="14"/>
  <c r="S200" i="14"/>
  <c r="S220" i="14"/>
  <c r="S240" i="14"/>
  <c r="S260" i="14"/>
  <c r="S280" i="14"/>
  <c r="R52" i="11"/>
  <c r="R53" i="11" s="1"/>
  <c r="R54" i="11" s="1"/>
  <c r="R55" i="11" s="1"/>
  <c r="R56" i="11" s="1"/>
  <c r="R113" i="11"/>
  <c r="R114" i="11" s="1"/>
  <c r="R115" i="11" s="1"/>
  <c r="R116" i="11" s="1"/>
  <c r="R117" i="11" s="1"/>
  <c r="R138" i="11"/>
  <c r="R139" i="11" s="1"/>
  <c r="R140" i="11" s="1"/>
  <c r="R141" i="11" s="1"/>
  <c r="R142" i="11" s="1"/>
  <c r="S23" i="11"/>
  <c r="R49" i="11"/>
  <c r="R75" i="11"/>
  <c r="R93" i="11"/>
  <c r="R135" i="11"/>
  <c r="R161" i="11"/>
  <c r="R179" i="11"/>
  <c r="R200" i="11"/>
  <c r="R220" i="11"/>
  <c r="R240" i="11"/>
  <c r="R260" i="11"/>
  <c r="R280" i="11"/>
  <c r="R32" i="11"/>
  <c r="R41" i="11"/>
  <c r="S75" i="11"/>
  <c r="S93" i="11"/>
  <c r="R110" i="11"/>
  <c r="R127" i="11"/>
  <c r="S161" i="11"/>
  <c r="S179" i="11"/>
  <c r="S200" i="11"/>
  <c r="S220" i="11"/>
  <c r="S240" i="11"/>
  <c r="S260" i="11"/>
  <c r="S280" i="11"/>
  <c r="R40" i="8"/>
  <c r="R41" i="8" s="1"/>
  <c r="R52" i="8"/>
  <c r="R53" i="8" s="1"/>
  <c r="R54" i="8" s="1"/>
  <c r="R55" i="8" s="1"/>
  <c r="R56" i="8" s="1"/>
  <c r="R22" i="8"/>
  <c r="R23" i="8" s="1"/>
  <c r="H27" i="8" s="1"/>
  <c r="R32" i="8"/>
  <c r="R113" i="8"/>
  <c r="R114" i="8" s="1"/>
  <c r="R115" i="8" s="1"/>
  <c r="R116" i="8" s="1"/>
  <c r="R117" i="8" s="1"/>
  <c r="R138" i="8"/>
  <c r="R139" i="8" s="1"/>
  <c r="R140" i="8" s="1"/>
  <c r="R141" i="8" s="1"/>
  <c r="R142" i="8" s="1"/>
  <c r="R161" i="8"/>
  <c r="R179" i="8"/>
  <c r="R200" i="8"/>
  <c r="R220" i="8"/>
  <c r="R49" i="8"/>
  <c r="R66" i="8"/>
  <c r="S75" i="8"/>
  <c r="R84" i="8"/>
  <c r="S93" i="8"/>
  <c r="R102" i="8"/>
  <c r="R110" i="8"/>
  <c r="R127" i="8"/>
  <c r="R135" i="8"/>
  <c r="R152" i="8"/>
  <c r="S161" i="8"/>
  <c r="R170" i="8"/>
  <c r="H175" i="8" s="1"/>
  <c r="S179" i="8"/>
  <c r="R191" i="8"/>
  <c r="S200" i="8"/>
  <c r="R211" i="8"/>
  <c r="S220" i="8"/>
  <c r="R231" i="8"/>
  <c r="S240" i="8"/>
  <c r="R251" i="8"/>
  <c r="S260" i="8"/>
  <c r="R271" i="8"/>
  <c r="S280" i="8"/>
  <c r="R291" i="8"/>
  <c r="R300" i="8"/>
  <c r="R294" i="2"/>
  <c r="R287" i="2"/>
  <c r="R288" i="2" s="1"/>
  <c r="R289" i="2" s="1"/>
  <c r="R290" i="2" s="1"/>
  <c r="R274" i="2"/>
  <c r="R275" i="2" s="1"/>
  <c r="R276" i="2" s="1"/>
  <c r="R277" i="2" s="1"/>
  <c r="R278" i="2" s="1"/>
  <c r="R279" i="2" s="1"/>
  <c r="R267" i="2"/>
  <c r="R268" i="2" s="1"/>
  <c r="R269" i="2" s="1"/>
  <c r="R270" i="2" s="1"/>
  <c r="R254" i="2"/>
  <c r="R255" i="2" s="1"/>
  <c r="R256" i="2" s="1"/>
  <c r="R257" i="2" s="1"/>
  <c r="R258" i="2" s="1"/>
  <c r="R259" i="2" s="1"/>
  <c r="R247" i="2"/>
  <c r="R248" i="2" s="1"/>
  <c r="R249" i="2" s="1"/>
  <c r="R250" i="2" s="1"/>
  <c r="R234" i="2"/>
  <c r="R235" i="2" s="1"/>
  <c r="R236" i="2" s="1"/>
  <c r="R237" i="2" s="1"/>
  <c r="R238" i="2" s="1"/>
  <c r="R239" i="2" s="1"/>
  <c r="R227" i="2"/>
  <c r="R228" i="2" s="1"/>
  <c r="R229" i="2" s="1"/>
  <c r="R230" i="2" s="1"/>
  <c r="R214" i="2"/>
  <c r="R215" i="2" s="1"/>
  <c r="R216" i="2" s="1"/>
  <c r="R217" i="2" s="1"/>
  <c r="R218" i="2" s="1"/>
  <c r="R219" i="2" s="1"/>
  <c r="R207" i="2"/>
  <c r="R208" i="2" s="1"/>
  <c r="R209" i="2" s="1"/>
  <c r="R210" i="2" s="1"/>
  <c r="R194" i="2"/>
  <c r="R195" i="2" s="1"/>
  <c r="R196" i="2" s="1"/>
  <c r="R197" i="2" s="1"/>
  <c r="R198" i="2" s="1"/>
  <c r="R199" i="2" s="1"/>
  <c r="R187" i="2"/>
  <c r="R188" i="2" s="1"/>
  <c r="R189" i="2" s="1"/>
  <c r="R190" i="2" s="1"/>
  <c r="R173" i="2"/>
  <c r="R174" i="2" s="1"/>
  <c r="R175" i="2" s="1"/>
  <c r="R176" i="2" s="1"/>
  <c r="R177" i="2" s="1"/>
  <c r="R178" i="2" s="1"/>
  <c r="R166" i="2"/>
  <c r="R167" i="2" s="1"/>
  <c r="R168" i="2" s="1"/>
  <c r="R169" i="2" s="1"/>
  <c r="R155" i="2"/>
  <c r="R156" i="2" s="1"/>
  <c r="R157" i="2" s="1"/>
  <c r="R158" i="2" s="1"/>
  <c r="R159" i="2" s="1"/>
  <c r="R160" i="2" s="1"/>
  <c r="R148" i="2"/>
  <c r="R149" i="2" s="1"/>
  <c r="R150" i="2" s="1"/>
  <c r="R151" i="2" s="1"/>
  <c r="R130" i="2"/>
  <c r="R131" i="2" s="1"/>
  <c r="R132" i="2" s="1"/>
  <c r="R133" i="2" s="1"/>
  <c r="R134" i="2" s="1"/>
  <c r="R137" i="2" s="1"/>
  <c r="R138" i="2" s="1"/>
  <c r="R139" i="2" s="1"/>
  <c r="R140" i="2" s="1"/>
  <c r="R141" i="2" s="1"/>
  <c r="R142" i="2" s="1"/>
  <c r="R123" i="2"/>
  <c r="R124" i="2" s="1"/>
  <c r="R125" i="2" s="1"/>
  <c r="R126" i="2" s="1"/>
  <c r="R105" i="2"/>
  <c r="R106" i="2" s="1"/>
  <c r="R107" i="2" s="1"/>
  <c r="R108" i="2" s="1"/>
  <c r="R109" i="2" s="1"/>
  <c r="R112" i="2" s="1"/>
  <c r="R113" i="2" s="1"/>
  <c r="R114" i="2" s="1"/>
  <c r="R115" i="2" s="1"/>
  <c r="R116" i="2" s="1"/>
  <c r="R117" i="2" s="1"/>
  <c r="R98" i="2"/>
  <c r="R99" i="2" s="1"/>
  <c r="R100" i="2" s="1"/>
  <c r="R101" i="2" s="1"/>
  <c r="R87" i="2"/>
  <c r="R88" i="2" s="1"/>
  <c r="R89" i="2" s="1"/>
  <c r="R90" i="2" s="1"/>
  <c r="R91" i="2" s="1"/>
  <c r="R92" i="2" s="1"/>
  <c r="R80" i="2"/>
  <c r="R81" i="2" s="1"/>
  <c r="R82" i="2" s="1"/>
  <c r="R83" i="2" s="1"/>
  <c r="R69" i="2"/>
  <c r="R70" i="2" s="1"/>
  <c r="R71" i="2" s="1"/>
  <c r="R72" i="2" s="1"/>
  <c r="R73" i="2" s="1"/>
  <c r="R74" i="2" s="1"/>
  <c r="R62" i="2"/>
  <c r="R63" i="2" s="1"/>
  <c r="R64" i="2" s="1"/>
  <c r="R65" i="2" s="1"/>
  <c r="R44" i="2"/>
  <c r="R45" i="2" s="1"/>
  <c r="R46" i="2" s="1"/>
  <c r="R47" i="2" s="1"/>
  <c r="R48" i="2" s="1"/>
  <c r="R51" i="2" s="1"/>
  <c r="R52" i="2" s="1"/>
  <c r="R53" i="2" s="1"/>
  <c r="R54" i="2" s="1"/>
  <c r="R55" i="2" s="1"/>
  <c r="R56" i="2" s="1"/>
  <c r="R37" i="2"/>
  <c r="R38" i="2" s="1"/>
  <c r="R39" i="2" s="1"/>
  <c r="R40" i="2" s="1"/>
  <c r="R26" i="2"/>
  <c r="R27" i="2" s="1"/>
  <c r="R28" i="2" s="1"/>
  <c r="R29" i="2" s="1"/>
  <c r="R30" i="2" s="1"/>
  <c r="R31" i="2" s="1"/>
  <c r="R19" i="2"/>
  <c r="R20" i="2" s="1"/>
  <c r="R21" i="2" s="1"/>
  <c r="R22" i="2" s="1"/>
  <c r="R143" i="14" l="1"/>
  <c r="R118" i="14"/>
  <c r="R57" i="14"/>
  <c r="R143" i="11"/>
  <c r="R118" i="11"/>
  <c r="R57" i="11"/>
  <c r="R143" i="8"/>
  <c r="R118" i="8"/>
  <c r="R57" i="8"/>
  <c r="N363" i="16" l="1"/>
  <c r="Q363" i="16" s="1"/>
  <c r="E363" i="16"/>
  <c r="F363" i="16" s="1"/>
  <c r="N362" i="16"/>
  <c r="E362" i="16"/>
  <c r="N361" i="16"/>
  <c r="N360" i="16" s="1"/>
  <c r="N359" i="16" s="1"/>
  <c r="N358" i="16" s="1"/>
  <c r="N357" i="16" s="1"/>
  <c r="N356" i="16" s="1"/>
  <c r="N355" i="16" s="1"/>
  <c r="N354" i="16" s="1"/>
  <c r="N353" i="16" s="1"/>
  <c r="N352" i="16" s="1"/>
  <c r="N351" i="16" s="1"/>
  <c r="N350" i="16" s="1"/>
  <c r="N349" i="16" s="1"/>
  <c r="N348" i="16" s="1"/>
  <c r="N347" i="16" s="1"/>
  <c r="N346" i="16" s="1"/>
  <c r="N345" i="16" s="1"/>
  <c r="N344" i="16" s="1"/>
  <c r="N343" i="16" s="1"/>
  <c r="N342" i="16" s="1"/>
  <c r="N341" i="16" s="1"/>
  <c r="N340" i="16" s="1"/>
  <c r="N339" i="16" s="1"/>
  <c r="N338" i="16" s="1"/>
  <c r="N337" i="16" s="1"/>
  <c r="N336" i="16" s="1"/>
  <c r="N335" i="16" s="1"/>
  <c r="N334" i="16" s="1"/>
  <c r="N333" i="16" s="1"/>
  <c r="N332" i="16" s="1"/>
  <c r="N331" i="16" s="1"/>
  <c r="N330" i="16" s="1"/>
  <c r="N329" i="16" s="1"/>
  <c r="N328" i="16" s="1"/>
  <c r="N327" i="16" s="1"/>
  <c r="N326" i="16" s="1"/>
  <c r="N325" i="16" s="1"/>
  <c r="N324" i="16" s="1"/>
  <c r="N323" i="16" s="1"/>
  <c r="N322" i="16" s="1"/>
  <c r="N321" i="16" s="1"/>
  <c r="N320" i="16" s="1"/>
  <c r="N319" i="16" s="1"/>
  <c r="N318" i="16" s="1"/>
  <c r="N317" i="16" s="1"/>
  <c r="N316" i="16" s="1"/>
  <c r="N315" i="16" s="1"/>
  <c r="N314" i="16" s="1"/>
  <c r="N313" i="16" s="1"/>
  <c r="N312" i="16" s="1"/>
  <c r="N311" i="16" s="1"/>
  <c r="N310" i="16" s="1"/>
  <c r="N309" i="16" s="1"/>
  <c r="N308" i="16" s="1"/>
  <c r="N307" i="16" s="1"/>
  <c r="N306" i="16" s="1"/>
  <c r="N305" i="16" s="1"/>
  <c r="N304" i="16" s="1"/>
  <c r="N303" i="16" s="1"/>
  <c r="N302" i="16" s="1"/>
  <c r="N301" i="16" s="1"/>
  <c r="N300" i="16" s="1"/>
  <c r="N299" i="16" s="1"/>
  <c r="N298" i="16" s="1"/>
  <c r="N297" i="16" s="1"/>
  <c r="N296" i="16" s="1"/>
  <c r="N295" i="16" s="1"/>
  <c r="N294" i="16" s="1"/>
  <c r="N293" i="16" s="1"/>
  <c r="N292" i="16" s="1"/>
  <c r="N291" i="16" s="1"/>
  <c r="N290" i="16" s="1"/>
  <c r="N289" i="16" s="1"/>
  <c r="N288" i="16" s="1"/>
  <c r="N287" i="16" s="1"/>
  <c r="N286" i="16" s="1"/>
  <c r="N285" i="16" s="1"/>
  <c r="N284" i="16" s="1"/>
  <c r="N283" i="16" s="1"/>
  <c r="N282" i="16" s="1"/>
  <c r="N281" i="16" s="1"/>
  <c r="N280" i="16" s="1"/>
  <c r="N279" i="16" s="1"/>
  <c r="N278" i="16" s="1"/>
  <c r="N277" i="16" s="1"/>
  <c r="N276" i="16" s="1"/>
  <c r="N275" i="16" s="1"/>
  <c r="N274" i="16" s="1"/>
  <c r="N273" i="16" s="1"/>
  <c r="N272" i="16" s="1"/>
  <c r="N271" i="16" s="1"/>
  <c r="N270" i="16" s="1"/>
  <c r="N269" i="16" s="1"/>
  <c r="N268" i="16" s="1"/>
  <c r="N267" i="16" s="1"/>
  <c r="N266" i="16" s="1"/>
  <c r="N265" i="16" s="1"/>
  <c r="N264" i="16" s="1"/>
  <c r="N263" i="16" s="1"/>
  <c r="N262" i="16" s="1"/>
  <c r="N261" i="16" s="1"/>
  <c r="N260" i="16" s="1"/>
  <c r="N259" i="16" s="1"/>
  <c r="N258" i="16" s="1"/>
  <c r="N257" i="16" s="1"/>
  <c r="N256" i="16" s="1"/>
  <c r="N255" i="16" s="1"/>
  <c r="N254" i="16" s="1"/>
  <c r="N253" i="16" s="1"/>
  <c r="N252" i="16" s="1"/>
  <c r="N251" i="16" s="1"/>
  <c r="N250" i="16" s="1"/>
  <c r="N249" i="16" s="1"/>
  <c r="N248" i="16" s="1"/>
  <c r="N247" i="16" s="1"/>
  <c r="N246" i="16" s="1"/>
  <c r="N245" i="16" s="1"/>
  <c r="N244" i="16" s="1"/>
  <c r="N243" i="16" s="1"/>
  <c r="N242" i="16" s="1"/>
  <c r="N241" i="16" s="1"/>
  <c r="N240" i="16" s="1"/>
  <c r="N239" i="16" s="1"/>
  <c r="N238" i="16" s="1"/>
  <c r="N237" i="16" s="1"/>
  <c r="N236" i="16" s="1"/>
  <c r="N235" i="16" s="1"/>
  <c r="N234" i="16" s="1"/>
  <c r="N233" i="16" s="1"/>
  <c r="N232" i="16" s="1"/>
  <c r="N231" i="16" s="1"/>
  <c r="N230" i="16" s="1"/>
  <c r="N229" i="16" s="1"/>
  <c r="N228" i="16" s="1"/>
  <c r="N227" i="16" s="1"/>
  <c r="N226" i="16" s="1"/>
  <c r="N225" i="16" s="1"/>
  <c r="N224" i="16" s="1"/>
  <c r="N223" i="16" s="1"/>
  <c r="N222" i="16" s="1"/>
  <c r="N221" i="16" s="1"/>
  <c r="N220" i="16" s="1"/>
  <c r="N219" i="16" s="1"/>
  <c r="N218" i="16" s="1"/>
  <c r="N217" i="16" s="1"/>
  <c r="N216" i="16" s="1"/>
  <c r="N215" i="16" s="1"/>
  <c r="N214" i="16" s="1"/>
  <c r="N213" i="16" s="1"/>
  <c r="N212" i="16" s="1"/>
  <c r="N211" i="16" s="1"/>
  <c r="N210" i="16" s="1"/>
  <c r="N209" i="16" s="1"/>
  <c r="N208" i="16" s="1"/>
  <c r="N207" i="16" s="1"/>
  <c r="N206" i="16" s="1"/>
  <c r="N205" i="16" s="1"/>
  <c r="N204" i="16" s="1"/>
  <c r="N203" i="16" s="1"/>
  <c r="N202" i="16" s="1"/>
  <c r="N201" i="16" s="1"/>
  <c r="N200" i="16" s="1"/>
  <c r="N199" i="16" s="1"/>
  <c r="N198" i="16" s="1"/>
  <c r="N197" i="16" s="1"/>
  <c r="N196" i="16" s="1"/>
  <c r="N195" i="16" s="1"/>
  <c r="N194" i="16" s="1"/>
  <c r="N193" i="16" s="1"/>
  <c r="N192" i="16" s="1"/>
  <c r="N191" i="16" s="1"/>
  <c r="N190" i="16" s="1"/>
  <c r="N189" i="16" s="1"/>
  <c r="N188" i="16" s="1"/>
  <c r="N187" i="16" s="1"/>
  <c r="N186" i="16" s="1"/>
  <c r="N185" i="16" s="1"/>
  <c r="N184" i="16" s="1"/>
  <c r="N183" i="16" s="1"/>
  <c r="N182" i="16" s="1"/>
  <c r="N181" i="16" s="1"/>
  <c r="N180" i="16" s="1"/>
  <c r="N179" i="16" s="1"/>
  <c r="N178" i="16" s="1"/>
  <c r="N177" i="16" s="1"/>
  <c r="N176" i="16" s="1"/>
  <c r="N175" i="16" s="1"/>
  <c r="N174" i="16" s="1"/>
  <c r="N173" i="16" s="1"/>
  <c r="N172" i="16" s="1"/>
  <c r="N171" i="16" s="1"/>
  <c r="N170" i="16" s="1"/>
  <c r="N169" i="16" s="1"/>
  <c r="N168" i="16" s="1"/>
  <c r="N167" i="16" s="1"/>
  <c r="N166" i="16" s="1"/>
  <c r="N165" i="16" s="1"/>
  <c r="N164" i="16" s="1"/>
  <c r="N163" i="16" s="1"/>
  <c r="N162" i="16" s="1"/>
  <c r="N161" i="16" s="1"/>
  <c r="N160" i="16" s="1"/>
  <c r="N159" i="16" s="1"/>
  <c r="N158" i="16" s="1"/>
  <c r="N157" i="16" s="1"/>
  <c r="N156" i="16" s="1"/>
  <c r="N155" i="16" s="1"/>
  <c r="N154" i="16" s="1"/>
  <c r="N153" i="16" s="1"/>
  <c r="N152" i="16" s="1"/>
  <c r="N151" i="16" s="1"/>
  <c r="N150" i="16" s="1"/>
  <c r="N149" i="16" s="1"/>
  <c r="N148" i="16" s="1"/>
  <c r="N147" i="16" s="1"/>
  <c r="N146" i="16" s="1"/>
  <c r="N145" i="16" s="1"/>
  <c r="N144" i="16" s="1"/>
  <c r="N143" i="16" s="1"/>
  <c r="N142" i="16" s="1"/>
  <c r="N141" i="16" s="1"/>
  <c r="N140" i="16" s="1"/>
  <c r="N139" i="16" s="1"/>
  <c r="N138" i="16" s="1"/>
  <c r="N137" i="16" s="1"/>
  <c r="N136" i="16" s="1"/>
  <c r="N135" i="16" s="1"/>
  <c r="N134" i="16" s="1"/>
  <c r="N133" i="16" s="1"/>
  <c r="N132" i="16" s="1"/>
  <c r="N131" i="16" s="1"/>
  <c r="N130" i="16" s="1"/>
  <c r="N129" i="16" s="1"/>
  <c r="N128" i="16" s="1"/>
  <c r="N127" i="16" s="1"/>
  <c r="N126" i="16" s="1"/>
  <c r="N125" i="16" s="1"/>
  <c r="N124" i="16" s="1"/>
  <c r="N123" i="16" s="1"/>
  <c r="N122" i="16" s="1"/>
  <c r="N121" i="16" s="1"/>
  <c r="N120" i="16" s="1"/>
  <c r="N119" i="16" s="1"/>
  <c r="N118" i="16" s="1"/>
  <c r="N117" i="16" s="1"/>
  <c r="N116" i="16" s="1"/>
  <c r="N115" i="16" s="1"/>
  <c r="N114" i="16" s="1"/>
  <c r="N113" i="16" s="1"/>
  <c r="N112" i="16" s="1"/>
  <c r="N111" i="16" s="1"/>
  <c r="N110" i="16" s="1"/>
  <c r="N109" i="16" s="1"/>
  <c r="N108" i="16" s="1"/>
  <c r="N107" i="16" s="1"/>
  <c r="N106" i="16" s="1"/>
  <c r="N105" i="16" s="1"/>
  <c r="N104" i="16" s="1"/>
  <c r="N103" i="16" s="1"/>
  <c r="N102" i="16" s="1"/>
  <c r="N101" i="16" s="1"/>
  <c r="N100" i="16" s="1"/>
  <c r="N99" i="16" s="1"/>
  <c r="N98" i="16" s="1"/>
  <c r="N97" i="16" s="1"/>
  <c r="N96" i="16" s="1"/>
  <c r="N95" i="16" s="1"/>
  <c r="N94" i="16" s="1"/>
  <c r="N93" i="16" s="1"/>
  <c r="N92" i="16" s="1"/>
  <c r="N91" i="16" s="1"/>
  <c r="N90" i="16" s="1"/>
  <c r="N89" i="16" s="1"/>
  <c r="N88" i="16" s="1"/>
  <c r="N87" i="16" s="1"/>
  <c r="N86" i="16" s="1"/>
  <c r="N85" i="16" s="1"/>
  <c r="N84" i="16" s="1"/>
  <c r="N83" i="16" s="1"/>
  <c r="N82" i="16" s="1"/>
  <c r="N81" i="16" s="1"/>
  <c r="N80" i="16" s="1"/>
  <c r="N79" i="16" s="1"/>
  <c r="N78" i="16" s="1"/>
  <c r="N77" i="16" s="1"/>
  <c r="N76" i="16" s="1"/>
  <c r="N75" i="16" s="1"/>
  <c r="N74" i="16" s="1"/>
  <c r="N73" i="16" s="1"/>
  <c r="N72" i="16" s="1"/>
  <c r="N71" i="16" s="1"/>
  <c r="N70" i="16" s="1"/>
  <c r="N69" i="16" s="1"/>
  <c r="N68" i="16" s="1"/>
  <c r="N67" i="16" s="1"/>
  <c r="N66" i="16" s="1"/>
  <c r="N65" i="16" s="1"/>
  <c r="N64" i="16" s="1"/>
  <c r="N63" i="16" s="1"/>
  <c r="N62" i="16" s="1"/>
  <c r="N61" i="16" s="1"/>
  <c r="N60" i="16" s="1"/>
  <c r="N59" i="16" s="1"/>
  <c r="N58" i="16" s="1"/>
  <c r="N57" i="16" s="1"/>
  <c r="N56" i="16" s="1"/>
  <c r="N55" i="16" s="1"/>
  <c r="N54" i="16" s="1"/>
  <c r="N53" i="16" s="1"/>
  <c r="N52" i="16" s="1"/>
  <c r="N51" i="16" s="1"/>
  <c r="N50" i="16" s="1"/>
  <c r="N49" i="16" s="1"/>
  <c r="N48" i="16" s="1"/>
  <c r="N47" i="16" s="1"/>
  <c r="N46" i="16" s="1"/>
  <c r="N45" i="16" s="1"/>
  <c r="N44" i="16" s="1"/>
  <c r="N43" i="16" s="1"/>
  <c r="N42" i="16" s="1"/>
  <c r="N41" i="16" s="1"/>
  <c r="N40" i="16" s="1"/>
  <c r="N39" i="16" s="1"/>
  <c r="N38" i="16" s="1"/>
  <c r="N37" i="16" s="1"/>
  <c r="N36" i="16" s="1"/>
  <c r="N35" i="16" s="1"/>
  <c r="N34" i="16" s="1"/>
  <c r="N33" i="16" s="1"/>
  <c r="N32" i="16" s="1"/>
  <c r="N31" i="16" s="1"/>
  <c r="N30" i="16" s="1"/>
  <c r="N29" i="16" s="1"/>
  <c r="N28" i="16" s="1"/>
  <c r="N27" i="16" s="1"/>
  <c r="N26" i="16" s="1"/>
  <c r="N25" i="16" s="1"/>
  <c r="N24" i="16" s="1"/>
  <c r="N23" i="16" s="1"/>
  <c r="N22" i="16" s="1"/>
  <c r="N21" i="16" s="1"/>
  <c r="N20" i="16" s="1"/>
  <c r="N19" i="16" s="1"/>
  <c r="N18" i="16" s="1"/>
  <c r="N17" i="16" s="1"/>
  <c r="N16" i="16" s="1"/>
  <c r="N15" i="16" s="1"/>
  <c r="N14" i="16" s="1"/>
  <c r="N13" i="16" s="1"/>
  <c r="N12" i="16" s="1"/>
  <c r="N11" i="16" s="1"/>
  <c r="N10" i="16" s="1"/>
  <c r="N9" i="16" s="1"/>
  <c r="N8" i="16" s="1"/>
  <c r="N7" i="16" s="1"/>
  <c r="N6" i="16" s="1"/>
  <c r="N5" i="16" s="1"/>
  <c r="N4" i="16" s="1"/>
  <c r="N3" i="16" s="1"/>
  <c r="E361" i="16"/>
  <c r="E360" i="16" s="1"/>
  <c r="E359" i="16" s="1"/>
  <c r="E358" i="16" s="1"/>
  <c r="E357" i="16" s="1"/>
  <c r="E356" i="16" s="1"/>
  <c r="E355" i="16" s="1"/>
  <c r="E354" i="16" s="1"/>
  <c r="E353" i="16" s="1"/>
  <c r="E352" i="16" s="1"/>
  <c r="E351" i="16" s="1"/>
  <c r="E350" i="16" s="1"/>
  <c r="E349" i="16" s="1"/>
  <c r="E348" i="16" s="1"/>
  <c r="E347" i="16" s="1"/>
  <c r="E346" i="16" s="1"/>
  <c r="E345" i="16" s="1"/>
  <c r="E344" i="16" s="1"/>
  <c r="E343" i="16" s="1"/>
  <c r="E342" i="16" s="1"/>
  <c r="E341" i="16" s="1"/>
  <c r="E340" i="16" s="1"/>
  <c r="E339" i="16" s="1"/>
  <c r="E338" i="16" s="1"/>
  <c r="E337" i="16" s="1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J36" i="15"/>
  <c r="F36" i="15"/>
  <c r="B36" i="15"/>
  <c r="J35" i="15"/>
  <c r="F35" i="15"/>
  <c r="B35" i="15"/>
  <c r="J34" i="15"/>
  <c r="F34" i="15"/>
  <c r="B34" i="15"/>
  <c r="J30" i="15"/>
  <c r="F30" i="15"/>
  <c r="B30" i="15"/>
  <c r="J29" i="15"/>
  <c r="F29" i="15"/>
  <c r="B29" i="15"/>
  <c r="J28" i="15"/>
  <c r="F28" i="15"/>
  <c r="B28" i="15"/>
  <c r="N26" i="15"/>
  <c r="N25" i="15"/>
  <c r="N24" i="15"/>
  <c r="J24" i="15"/>
  <c r="F24" i="15"/>
  <c r="B24" i="15"/>
  <c r="J23" i="15"/>
  <c r="F23" i="15"/>
  <c r="B23" i="15"/>
  <c r="J22" i="15"/>
  <c r="F22" i="15"/>
  <c r="B22" i="15"/>
  <c r="N20" i="15"/>
  <c r="N19" i="15"/>
  <c r="N18" i="15"/>
  <c r="J18" i="15"/>
  <c r="F18" i="15"/>
  <c r="B18" i="15"/>
  <c r="J17" i="15"/>
  <c r="F17" i="15"/>
  <c r="B17" i="15"/>
  <c r="J16" i="15"/>
  <c r="F16" i="15"/>
  <c r="B16" i="15"/>
  <c r="J15" i="15"/>
  <c r="F15" i="15"/>
  <c r="B15" i="15"/>
  <c r="N14" i="15"/>
  <c r="J14" i="15"/>
  <c r="F14" i="15"/>
  <c r="B14" i="15"/>
  <c r="N13" i="15"/>
  <c r="N12" i="15"/>
  <c r="J10" i="15"/>
  <c r="F10" i="15"/>
  <c r="B10" i="15"/>
  <c r="J9" i="15"/>
  <c r="F9" i="15"/>
  <c r="B9" i="15"/>
  <c r="N8" i="15"/>
  <c r="J8" i="15"/>
  <c r="F8" i="15"/>
  <c r="B8" i="15"/>
  <c r="N7" i="15"/>
  <c r="J7" i="15"/>
  <c r="F7" i="15"/>
  <c r="B7" i="15"/>
  <c r="N6" i="15"/>
  <c r="J6" i="15"/>
  <c r="F6" i="15"/>
  <c r="B6" i="15"/>
  <c r="N5" i="15"/>
  <c r="J5" i="15"/>
  <c r="F5" i="15"/>
  <c r="B5" i="15"/>
  <c r="N4" i="15"/>
  <c r="J4" i="15"/>
  <c r="F4" i="15"/>
  <c r="B4" i="15"/>
  <c r="N3" i="15"/>
  <c r="J3" i="15"/>
  <c r="F3" i="15"/>
  <c r="B3" i="15"/>
  <c r="Q360" i="14"/>
  <c r="R360" i="14" s="1"/>
  <c r="I356" i="14" s="1"/>
  <c r="Q351" i="14"/>
  <c r="S351" i="14" s="1"/>
  <c r="E350" i="14"/>
  <c r="E349" i="14"/>
  <c r="E348" i="14"/>
  <c r="Q340" i="14"/>
  <c r="R340" i="14" s="1"/>
  <c r="I336" i="14" s="1"/>
  <c r="Q331" i="14"/>
  <c r="S331" i="14" s="1"/>
  <c r="E330" i="14"/>
  <c r="E329" i="14"/>
  <c r="E328" i="14"/>
  <c r="Q320" i="14"/>
  <c r="R320" i="14" s="1"/>
  <c r="I316" i="14" s="1"/>
  <c r="Q311" i="14"/>
  <c r="S311" i="14" s="1"/>
  <c r="E310" i="14"/>
  <c r="E309" i="14"/>
  <c r="E308" i="14"/>
  <c r="E290" i="14"/>
  <c r="E289" i="14"/>
  <c r="E288" i="14"/>
  <c r="E270" i="14"/>
  <c r="E269" i="14"/>
  <c r="E268" i="14"/>
  <c r="E250" i="14"/>
  <c r="E249" i="14"/>
  <c r="E248" i="14"/>
  <c r="I236" i="14"/>
  <c r="E230" i="14"/>
  <c r="E229" i="14"/>
  <c r="E228" i="14"/>
  <c r="E210" i="14"/>
  <c r="E209" i="14"/>
  <c r="E208" i="14"/>
  <c r="E190" i="14"/>
  <c r="E189" i="14"/>
  <c r="E188" i="14"/>
  <c r="E176" i="14"/>
  <c r="E175" i="14"/>
  <c r="E174" i="14"/>
  <c r="E172" i="14"/>
  <c r="E171" i="14"/>
  <c r="E170" i="14"/>
  <c r="E169" i="14"/>
  <c r="E168" i="14"/>
  <c r="E167" i="14"/>
  <c r="E151" i="14"/>
  <c r="E150" i="14"/>
  <c r="E149" i="14"/>
  <c r="E138" i="14"/>
  <c r="E137" i="14"/>
  <c r="E136" i="14"/>
  <c r="E134" i="14"/>
  <c r="E133" i="14"/>
  <c r="E132" i="14"/>
  <c r="E131" i="14"/>
  <c r="E130" i="14"/>
  <c r="E129" i="14"/>
  <c r="E128" i="14"/>
  <c r="E127" i="14"/>
  <c r="E126" i="14"/>
  <c r="E125" i="14"/>
  <c r="B125" i="14"/>
  <c r="B126" i="14" s="1"/>
  <c r="B127" i="14" s="1"/>
  <c r="B128" i="14" s="1"/>
  <c r="B129" i="14" s="1"/>
  <c r="B130" i="14" s="1"/>
  <c r="B131" i="14" s="1"/>
  <c r="B132" i="14" s="1"/>
  <c r="B133" i="14" s="1"/>
  <c r="B134" i="14" s="1"/>
  <c r="E124" i="14"/>
  <c r="E113" i="14"/>
  <c r="E112" i="14"/>
  <c r="E111" i="14"/>
  <c r="E109" i="14"/>
  <c r="E108" i="14"/>
  <c r="E107" i="14"/>
  <c r="E106" i="14"/>
  <c r="E105" i="14"/>
  <c r="E104" i="14"/>
  <c r="E103" i="14"/>
  <c r="E102" i="14"/>
  <c r="E101" i="14"/>
  <c r="E100" i="14"/>
  <c r="B100" i="14"/>
  <c r="B101" i="14" s="1"/>
  <c r="B102" i="14" s="1"/>
  <c r="B103" i="14" s="1"/>
  <c r="B104" i="14" s="1"/>
  <c r="B105" i="14" s="1"/>
  <c r="B106" i="14" s="1"/>
  <c r="B107" i="14" s="1"/>
  <c r="B108" i="14" s="1"/>
  <c r="B109" i="14" s="1"/>
  <c r="E99" i="14"/>
  <c r="I88" i="14"/>
  <c r="E83" i="14"/>
  <c r="E82" i="14"/>
  <c r="E81" i="14"/>
  <c r="E65" i="14"/>
  <c r="E64" i="14"/>
  <c r="E63" i="14"/>
  <c r="E52" i="14"/>
  <c r="E51" i="14"/>
  <c r="E50" i="14"/>
  <c r="E48" i="14"/>
  <c r="E47" i="14"/>
  <c r="E46" i="14"/>
  <c r="E45" i="14"/>
  <c r="E44" i="14"/>
  <c r="E43" i="14"/>
  <c r="E42" i="14"/>
  <c r="E41" i="14"/>
  <c r="E40" i="14"/>
  <c r="E39" i="14"/>
  <c r="B39" i="14"/>
  <c r="B40" i="14" s="1"/>
  <c r="B41" i="14" s="1"/>
  <c r="B42" i="14" s="1"/>
  <c r="B43" i="14" s="1"/>
  <c r="B44" i="14" s="1"/>
  <c r="B45" i="14" s="1"/>
  <c r="B46" i="14" s="1"/>
  <c r="B47" i="14" s="1"/>
  <c r="B48" i="14" s="1"/>
  <c r="E38" i="14"/>
  <c r="E22" i="14"/>
  <c r="E21" i="14"/>
  <c r="E20" i="14"/>
  <c r="O353" i="14"/>
  <c r="O86" i="14"/>
  <c r="O5" i="14"/>
  <c r="O3" i="14"/>
  <c r="O2" i="14"/>
  <c r="N363" i="13"/>
  <c r="Q363" i="13" s="1"/>
  <c r="E363" i="13"/>
  <c r="F363" i="13" s="1"/>
  <c r="D4" i="13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J36" i="12"/>
  <c r="F36" i="12"/>
  <c r="B36" i="12"/>
  <c r="J35" i="12"/>
  <c r="F35" i="12"/>
  <c r="B35" i="12"/>
  <c r="J34" i="12"/>
  <c r="F34" i="12"/>
  <c r="B34" i="12"/>
  <c r="J30" i="12"/>
  <c r="F30" i="12"/>
  <c r="B30" i="12"/>
  <c r="J29" i="12"/>
  <c r="F29" i="12"/>
  <c r="B29" i="12"/>
  <c r="J28" i="12"/>
  <c r="F28" i="12"/>
  <c r="B28" i="12"/>
  <c r="N26" i="12"/>
  <c r="N25" i="12"/>
  <c r="N24" i="12"/>
  <c r="J24" i="12"/>
  <c r="F24" i="12"/>
  <c r="B24" i="12"/>
  <c r="J23" i="12"/>
  <c r="F23" i="12"/>
  <c r="B23" i="12"/>
  <c r="J22" i="12"/>
  <c r="F22" i="12"/>
  <c r="B22" i="12"/>
  <c r="N20" i="12"/>
  <c r="N19" i="12"/>
  <c r="N18" i="12"/>
  <c r="J18" i="12"/>
  <c r="F18" i="12"/>
  <c r="B18" i="12"/>
  <c r="J17" i="12"/>
  <c r="F17" i="12"/>
  <c r="B17" i="12"/>
  <c r="J16" i="12"/>
  <c r="F16" i="12"/>
  <c r="B16" i="12"/>
  <c r="J15" i="12"/>
  <c r="F15" i="12"/>
  <c r="B15" i="12"/>
  <c r="N14" i="12"/>
  <c r="J14" i="12"/>
  <c r="F14" i="12"/>
  <c r="B14" i="12"/>
  <c r="N13" i="12"/>
  <c r="N12" i="12"/>
  <c r="J10" i="12"/>
  <c r="F10" i="12"/>
  <c r="B10" i="12"/>
  <c r="J9" i="12"/>
  <c r="F9" i="12"/>
  <c r="B9" i="12"/>
  <c r="N8" i="12"/>
  <c r="J8" i="12"/>
  <c r="F8" i="12"/>
  <c r="B8" i="12"/>
  <c r="N7" i="12"/>
  <c r="J7" i="12"/>
  <c r="F7" i="12"/>
  <c r="B7" i="12"/>
  <c r="N6" i="12"/>
  <c r="J6" i="12"/>
  <c r="F6" i="12"/>
  <c r="B6" i="12"/>
  <c r="N5" i="12"/>
  <c r="J5" i="12"/>
  <c r="F5" i="12"/>
  <c r="B5" i="12"/>
  <c r="N4" i="12"/>
  <c r="J4" i="12"/>
  <c r="F4" i="12"/>
  <c r="B4" i="12"/>
  <c r="N3" i="12"/>
  <c r="J3" i="12"/>
  <c r="F3" i="12"/>
  <c r="B3" i="12"/>
  <c r="Q360" i="11"/>
  <c r="S360" i="11" s="1"/>
  <c r="Q351" i="11"/>
  <c r="R351" i="11" s="1"/>
  <c r="H356" i="11" s="1"/>
  <c r="E350" i="11"/>
  <c r="E349" i="11"/>
  <c r="E348" i="11"/>
  <c r="Q340" i="11"/>
  <c r="S340" i="11" s="1"/>
  <c r="Q331" i="11"/>
  <c r="R331" i="11" s="1"/>
  <c r="H336" i="11" s="1"/>
  <c r="E330" i="11"/>
  <c r="E329" i="11"/>
  <c r="E328" i="11"/>
  <c r="Q320" i="11"/>
  <c r="S320" i="11" s="1"/>
  <c r="Q311" i="11"/>
  <c r="R311" i="11" s="1"/>
  <c r="H316" i="11" s="1"/>
  <c r="E310" i="11"/>
  <c r="E309" i="11"/>
  <c r="E308" i="11"/>
  <c r="H296" i="11"/>
  <c r="E290" i="11"/>
  <c r="E289" i="11"/>
  <c r="E288" i="11"/>
  <c r="E270" i="11"/>
  <c r="E269" i="11"/>
  <c r="E268" i="11"/>
  <c r="H256" i="11"/>
  <c r="E250" i="11"/>
  <c r="E249" i="11"/>
  <c r="E248" i="11"/>
  <c r="E230" i="11"/>
  <c r="E229" i="11"/>
  <c r="E228" i="11"/>
  <c r="E210" i="11"/>
  <c r="E209" i="11"/>
  <c r="E208" i="11"/>
  <c r="E190" i="11"/>
  <c r="E189" i="11"/>
  <c r="E188" i="11"/>
  <c r="I175" i="11"/>
  <c r="E176" i="11"/>
  <c r="E175" i="11"/>
  <c r="E174" i="11"/>
  <c r="E172" i="11"/>
  <c r="E171" i="11"/>
  <c r="E170" i="11"/>
  <c r="E169" i="11"/>
  <c r="E168" i="11"/>
  <c r="E167" i="11"/>
  <c r="E151" i="11"/>
  <c r="E150" i="11"/>
  <c r="E149" i="11"/>
  <c r="E138" i="11"/>
  <c r="E137" i="11"/>
  <c r="E136" i="11"/>
  <c r="E134" i="11"/>
  <c r="E133" i="11"/>
  <c r="E132" i="11"/>
  <c r="E131" i="11"/>
  <c r="E130" i="11"/>
  <c r="E129" i="11"/>
  <c r="E128" i="11"/>
  <c r="E127" i="11"/>
  <c r="E126" i="11"/>
  <c r="E125" i="11"/>
  <c r="B125" i="11"/>
  <c r="B126" i="11" s="1"/>
  <c r="B127" i="11" s="1"/>
  <c r="B128" i="11" s="1"/>
  <c r="B129" i="11" s="1"/>
  <c r="B130" i="11" s="1"/>
  <c r="B131" i="11" s="1"/>
  <c r="B132" i="11" s="1"/>
  <c r="B133" i="11" s="1"/>
  <c r="B134" i="11" s="1"/>
  <c r="E124" i="11"/>
  <c r="E113" i="11"/>
  <c r="E112" i="11"/>
  <c r="E111" i="11"/>
  <c r="E109" i="11"/>
  <c r="E108" i="11"/>
  <c r="E107" i="11"/>
  <c r="E106" i="11"/>
  <c r="E105" i="11"/>
  <c r="E104" i="11"/>
  <c r="E103" i="11"/>
  <c r="E102" i="11"/>
  <c r="E101" i="11"/>
  <c r="E100" i="11"/>
  <c r="B100" i="11"/>
  <c r="B101" i="11" s="1"/>
  <c r="B102" i="11" s="1"/>
  <c r="B103" i="11" s="1"/>
  <c r="B104" i="11" s="1"/>
  <c r="B105" i="11" s="1"/>
  <c r="B106" i="11" s="1"/>
  <c r="B107" i="11" s="1"/>
  <c r="B108" i="11" s="1"/>
  <c r="B109" i="11" s="1"/>
  <c r="E99" i="11"/>
  <c r="E83" i="11"/>
  <c r="E82" i="11"/>
  <c r="E81" i="11"/>
  <c r="I70" i="11"/>
  <c r="H70" i="11"/>
  <c r="E65" i="11"/>
  <c r="E64" i="11"/>
  <c r="E63" i="11"/>
  <c r="E52" i="11"/>
  <c r="E51" i="11"/>
  <c r="E50" i="11"/>
  <c r="E48" i="11"/>
  <c r="E47" i="11"/>
  <c r="E46" i="11"/>
  <c r="E45" i="11"/>
  <c r="E44" i="11"/>
  <c r="E43" i="11"/>
  <c r="E42" i="11"/>
  <c r="E41" i="11"/>
  <c r="E40" i="11"/>
  <c r="E39" i="11"/>
  <c r="B39" i="11"/>
  <c r="B40" i="11" s="1"/>
  <c r="B41" i="11" s="1"/>
  <c r="B42" i="11" s="1"/>
  <c r="B43" i="11" s="1"/>
  <c r="B44" i="11" s="1"/>
  <c r="B45" i="11" s="1"/>
  <c r="B46" i="11" s="1"/>
  <c r="B47" i="11" s="1"/>
  <c r="B48" i="11" s="1"/>
  <c r="E38" i="11"/>
  <c r="E22" i="11"/>
  <c r="E21" i="11"/>
  <c r="E20" i="11"/>
  <c r="O172" i="11"/>
  <c r="O25" i="11"/>
  <c r="O5" i="11"/>
  <c r="O3" i="11"/>
  <c r="O2" i="11"/>
  <c r="N363" i="10"/>
  <c r="Q363" i="10" s="1"/>
  <c r="E363" i="10"/>
  <c r="F363" i="10" s="1"/>
  <c r="D4" i="10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J36" i="9"/>
  <c r="F36" i="9"/>
  <c r="B36" i="9"/>
  <c r="J35" i="9"/>
  <c r="F35" i="9"/>
  <c r="B35" i="9"/>
  <c r="J34" i="9"/>
  <c r="F34" i="9"/>
  <c r="B34" i="9"/>
  <c r="J30" i="9"/>
  <c r="F30" i="9"/>
  <c r="B30" i="9"/>
  <c r="J29" i="9"/>
  <c r="F29" i="9"/>
  <c r="B29" i="9"/>
  <c r="J28" i="9"/>
  <c r="F28" i="9"/>
  <c r="B28" i="9"/>
  <c r="N26" i="9"/>
  <c r="N25" i="9"/>
  <c r="N24" i="9"/>
  <c r="J24" i="9"/>
  <c r="F24" i="9"/>
  <c r="B24" i="9"/>
  <c r="J23" i="9"/>
  <c r="F23" i="9"/>
  <c r="B23" i="9"/>
  <c r="J22" i="9"/>
  <c r="F22" i="9"/>
  <c r="B22" i="9"/>
  <c r="N20" i="9"/>
  <c r="N19" i="9"/>
  <c r="N18" i="9"/>
  <c r="J18" i="9"/>
  <c r="F18" i="9"/>
  <c r="B18" i="9"/>
  <c r="J17" i="9"/>
  <c r="F17" i="9"/>
  <c r="B17" i="9"/>
  <c r="J16" i="9"/>
  <c r="F16" i="9"/>
  <c r="B16" i="9"/>
  <c r="J15" i="9"/>
  <c r="F15" i="9"/>
  <c r="B15" i="9"/>
  <c r="N14" i="9"/>
  <c r="J14" i="9"/>
  <c r="F14" i="9"/>
  <c r="B14" i="9"/>
  <c r="N13" i="9"/>
  <c r="N12" i="9"/>
  <c r="J10" i="9"/>
  <c r="F10" i="9"/>
  <c r="B10" i="9"/>
  <c r="J9" i="9"/>
  <c r="F9" i="9"/>
  <c r="B9" i="9"/>
  <c r="N8" i="9"/>
  <c r="J8" i="9"/>
  <c r="F8" i="9"/>
  <c r="B8" i="9"/>
  <c r="N7" i="9"/>
  <c r="J7" i="9"/>
  <c r="F7" i="9"/>
  <c r="B7" i="9"/>
  <c r="N6" i="9"/>
  <c r="J6" i="9"/>
  <c r="F6" i="9"/>
  <c r="B6" i="9"/>
  <c r="N5" i="9"/>
  <c r="J5" i="9"/>
  <c r="F5" i="9"/>
  <c r="B5" i="9"/>
  <c r="N4" i="9"/>
  <c r="J4" i="9"/>
  <c r="F4" i="9"/>
  <c r="B4" i="9"/>
  <c r="N3" i="9"/>
  <c r="J3" i="9"/>
  <c r="F3" i="9"/>
  <c r="B3" i="9"/>
  <c r="Q360" i="8"/>
  <c r="R360" i="8" s="1"/>
  <c r="I356" i="8" s="1"/>
  <c r="Q351" i="8"/>
  <c r="S351" i="8" s="1"/>
  <c r="E350" i="8"/>
  <c r="E349" i="8"/>
  <c r="E348" i="8"/>
  <c r="Q340" i="8"/>
  <c r="S340" i="8" s="1"/>
  <c r="Q331" i="8"/>
  <c r="S331" i="8" s="1"/>
  <c r="E330" i="8"/>
  <c r="E329" i="8"/>
  <c r="E328" i="8"/>
  <c r="Q320" i="8"/>
  <c r="S320" i="8" s="1"/>
  <c r="Q311" i="8"/>
  <c r="S311" i="8" s="1"/>
  <c r="E310" i="8"/>
  <c r="E309" i="8"/>
  <c r="E308" i="8"/>
  <c r="E290" i="8"/>
  <c r="E289" i="8"/>
  <c r="E288" i="8"/>
  <c r="E270" i="8"/>
  <c r="E269" i="8"/>
  <c r="E268" i="8"/>
  <c r="E250" i="8"/>
  <c r="E249" i="8"/>
  <c r="E248" i="8"/>
  <c r="E230" i="8"/>
  <c r="E229" i="8"/>
  <c r="E210" i="8"/>
  <c r="E209" i="8"/>
  <c r="E208" i="8"/>
  <c r="E190" i="8"/>
  <c r="E189" i="8"/>
  <c r="E188" i="8"/>
  <c r="E176" i="8"/>
  <c r="E175" i="8"/>
  <c r="E174" i="8"/>
  <c r="E172" i="8"/>
  <c r="E171" i="8"/>
  <c r="E170" i="8"/>
  <c r="E169" i="8"/>
  <c r="E168" i="8"/>
  <c r="E167" i="8"/>
  <c r="E151" i="8"/>
  <c r="E150" i="8"/>
  <c r="E149" i="8"/>
  <c r="E138" i="8"/>
  <c r="E137" i="8"/>
  <c r="E136" i="8"/>
  <c r="E134" i="8"/>
  <c r="E133" i="8"/>
  <c r="E132" i="8"/>
  <c r="E131" i="8"/>
  <c r="E130" i="8"/>
  <c r="E129" i="8"/>
  <c r="E128" i="8"/>
  <c r="E127" i="8"/>
  <c r="E126" i="8"/>
  <c r="E125" i="8"/>
  <c r="B125" i="8"/>
  <c r="B126" i="8" s="1"/>
  <c r="B127" i="8" s="1"/>
  <c r="B128" i="8" s="1"/>
  <c r="B129" i="8" s="1"/>
  <c r="B130" i="8" s="1"/>
  <c r="B131" i="8" s="1"/>
  <c r="B132" i="8" s="1"/>
  <c r="B133" i="8" s="1"/>
  <c r="B134" i="8" s="1"/>
  <c r="E124" i="8"/>
  <c r="E113" i="8"/>
  <c r="E112" i="8"/>
  <c r="E111" i="8"/>
  <c r="E109" i="8"/>
  <c r="E108" i="8"/>
  <c r="E107" i="8"/>
  <c r="E106" i="8"/>
  <c r="E105" i="8"/>
  <c r="E104" i="8"/>
  <c r="E103" i="8"/>
  <c r="E102" i="8"/>
  <c r="E101" i="8"/>
  <c r="E100" i="8"/>
  <c r="B100" i="8"/>
  <c r="B101" i="8" s="1"/>
  <c r="B102" i="8" s="1"/>
  <c r="B103" i="8" s="1"/>
  <c r="B104" i="8" s="1"/>
  <c r="B105" i="8" s="1"/>
  <c r="B106" i="8" s="1"/>
  <c r="B107" i="8" s="1"/>
  <c r="B108" i="8" s="1"/>
  <c r="B109" i="8" s="1"/>
  <c r="E99" i="8"/>
  <c r="E83" i="8"/>
  <c r="E82" i="8"/>
  <c r="E81" i="8"/>
  <c r="H70" i="8"/>
  <c r="E65" i="8"/>
  <c r="E64" i="8"/>
  <c r="E63" i="8"/>
  <c r="E52" i="8"/>
  <c r="E51" i="8"/>
  <c r="E50" i="8"/>
  <c r="E48" i="8"/>
  <c r="E47" i="8"/>
  <c r="E46" i="8"/>
  <c r="E45" i="8"/>
  <c r="E44" i="8"/>
  <c r="E43" i="8"/>
  <c r="E42" i="8"/>
  <c r="E41" i="8"/>
  <c r="E40" i="8"/>
  <c r="E39" i="8"/>
  <c r="B39" i="8"/>
  <c r="B40" i="8" s="1"/>
  <c r="B41" i="8" s="1"/>
  <c r="B42" i="8" s="1"/>
  <c r="B43" i="8" s="1"/>
  <c r="B44" i="8" s="1"/>
  <c r="B45" i="8" s="1"/>
  <c r="B46" i="8" s="1"/>
  <c r="B47" i="8" s="1"/>
  <c r="B48" i="8" s="1"/>
  <c r="E38" i="8"/>
  <c r="I27" i="8"/>
  <c r="E22" i="8"/>
  <c r="E21" i="8"/>
  <c r="E20" i="8"/>
  <c r="N371" i="8"/>
  <c r="O86" i="8"/>
  <c r="E362" i="13" l="1"/>
  <c r="E361" i="13" s="1"/>
  <c r="E360" i="13" s="1"/>
  <c r="E359" i="13" s="1"/>
  <c r="E358" i="13" s="1"/>
  <c r="E357" i="13" s="1"/>
  <c r="E356" i="13" s="1"/>
  <c r="E355" i="13" s="1"/>
  <c r="E354" i="13" s="1"/>
  <c r="E353" i="13" s="1"/>
  <c r="E352" i="13" s="1"/>
  <c r="E351" i="13" s="1"/>
  <c r="E350" i="13" s="1"/>
  <c r="E349" i="13" s="1"/>
  <c r="E348" i="13" s="1"/>
  <c r="E347" i="13" s="1"/>
  <c r="E346" i="13" s="1"/>
  <c r="E345" i="13" s="1"/>
  <c r="E344" i="13" s="1"/>
  <c r="E343" i="13" s="1"/>
  <c r="E342" i="13" s="1"/>
  <c r="E341" i="13" s="1"/>
  <c r="E340" i="13" s="1"/>
  <c r="E339" i="13" s="1"/>
  <c r="E338" i="13" s="1"/>
  <c r="E337" i="13" s="1"/>
  <c r="E336" i="13" s="1"/>
  <c r="E335" i="13" s="1"/>
  <c r="E334" i="13" s="1"/>
  <c r="E333" i="13" s="1"/>
  <c r="E332" i="13" s="1"/>
  <c r="E331" i="13" s="1"/>
  <c r="E330" i="13" s="1"/>
  <c r="E329" i="13" s="1"/>
  <c r="E328" i="13" s="1"/>
  <c r="E327" i="13" s="1"/>
  <c r="E326" i="13" s="1"/>
  <c r="E325" i="13" s="1"/>
  <c r="E324" i="13" s="1"/>
  <c r="E323" i="13" s="1"/>
  <c r="E322" i="13" s="1"/>
  <c r="E321" i="13" s="1"/>
  <c r="E320" i="13" s="1"/>
  <c r="E319" i="13" s="1"/>
  <c r="E318" i="13" s="1"/>
  <c r="E317" i="13" s="1"/>
  <c r="E316" i="13" s="1"/>
  <c r="E315" i="13" s="1"/>
  <c r="E314" i="13" s="1"/>
  <c r="E313" i="13" s="1"/>
  <c r="E312" i="13" s="1"/>
  <c r="E311" i="13" s="1"/>
  <c r="E310" i="13" s="1"/>
  <c r="E309" i="13" s="1"/>
  <c r="E308" i="13" s="1"/>
  <c r="E307" i="13" s="1"/>
  <c r="E306" i="13" s="1"/>
  <c r="E305" i="13" s="1"/>
  <c r="E304" i="13" s="1"/>
  <c r="E303" i="13" s="1"/>
  <c r="E302" i="13" s="1"/>
  <c r="E301" i="13" s="1"/>
  <c r="E300" i="13" s="1"/>
  <c r="E299" i="13" s="1"/>
  <c r="E298" i="13" s="1"/>
  <c r="E297" i="13" s="1"/>
  <c r="E296" i="13" s="1"/>
  <c r="E295" i="13" s="1"/>
  <c r="E294" i="13" s="1"/>
  <c r="E293" i="13" s="1"/>
  <c r="E292" i="13" s="1"/>
  <c r="E291" i="13" s="1"/>
  <c r="E290" i="13" s="1"/>
  <c r="E289" i="13" s="1"/>
  <c r="E288" i="13" s="1"/>
  <c r="E287" i="13" s="1"/>
  <c r="E286" i="13" s="1"/>
  <c r="E285" i="13" s="1"/>
  <c r="E284" i="13" s="1"/>
  <c r="E283" i="13" s="1"/>
  <c r="E282" i="13" s="1"/>
  <c r="E281" i="13" s="1"/>
  <c r="E280" i="13" s="1"/>
  <c r="E279" i="13" s="1"/>
  <c r="E278" i="13" s="1"/>
  <c r="E277" i="13" s="1"/>
  <c r="E276" i="13" s="1"/>
  <c r="E275" i="13" s="1"/>
  <c r="E274" i="13" s="1"/>
  <c r="E273" i="13" s="1"/>
  <c r="E272" i="13" s="1"/>
  <c r="E271" i="13" s="1"/>
  <c r="E270" i="13" s="1"/>
  <c r="E269" i="13" s="1"/>
  <c r="E268" i="13" s="1"/>
  <c r="E267" i="13" s="1"/>
  <c r="E266" i="13" s="1"/>
  <c r="E265" i="13" s="1"/>
  <c r="E264" i="13" s="1"/>
  <c r="E263" i="13" s="1"/>
  <c r="E262" i="13" s="1"/>
  <c r="E261" i="13" s="1"/>
  <c r="E260" i="13" s="1"/>
  <c r="E259" i="13" s="1"/>
  <c r="E258" i="13" s="1"/>
  <c r="E257" i="13" s="1"/>
  <c r="E256" i="13" s="1"/>
  <c r="E255" i="13" s="1"/>
  <c r="E254" i="13" s="1"/>
  <c r="E253" i="13" s="1"/>
  <c r="E252" i="13" s="1"/>
  <c r="E251" i="13" s="1"/>
  <c r="E250" i="13" s="1"/>
  <c r="E249" i="13" s="1"/>
  <c r="E248" i="13" s="1"/>
  <c r="E247" i="13" s="1"/>
  <c r="E246" i="13" s="1"/>
  <c r="E245" i="13" s="1"/>
  <c r="E244" i="13" s="1"/>
  <c r="E243" i="13" s="1"/>
  <c r="E242" i="13" s="1"/>
  <c r="E241" i="13" s="1"/>
  <c r="E240" i="13" s="1"/>
  <c r="E239" i="13" s="1"/>
  <c r="E238" i="13" s="1"/>
  <c r="E237" i="13" s="1"/>
  <c r="E236" i="13" s="1"/>
  <c r="E235" i="13" s="1"/>
  <c r="E234" i="13" s="1"/>
  <c r="E233" i="13" s="1"/>
  <c r="E232" i="13" s="1"/>
  <c r="E231" i="13" s="1"/>
  <c r="E230" i="13" s="1"/>
  <c r="E229" i="13" s="1"/>
  <c r="E228" i="13" s="1"/>
  <c r="E227" i="13" s="1"/>
  <c r="E226" i="13" s="1"/>
  <c r="E225" i="13" s="1"/>
  <c r="E224" i="13" s="1"/>
  <c r="E223" i="13" s="1"/>
  <c r="E222" i="13" s="1"/>
  <c r="E221" i="13" s="1"/>
  <c r="E220" i="13" s="1"/>
  <c r="E219" i="13" s="1"/>
  <c r="E218" i="13" s="1"/>
  <c r="E217" i="13" s="1"/>
  <c r="E216" i="13" s="1"/>
  <c r="E215" i="13" s="1"/>
  <c r="E214" i="13" s="1"/>
  <c r="E213" i="13" s="1"/>
  <c r="E212" i="13" s="1"/>
  <c r="E211" i="13" s="1"/>
  <c r="E210" i="13" s="1"/>
  <c r="E209" i="13" s="1"/>
  <c r="E208" i="13" s="1"/>
  <c r="E207" i="13" s="1"/>
  <c r="E206" i="13" s="1"/>
  <c r="E205" i="13" s="1"/>
  <c r="E204" i="13" s="1"/>
  <c r="E203" i="13" s="1"/>
  <c r="E202" i="13" s="1"/>
  <c r="E201" i="13" s="1"/>
  <c r="E200" i="13" s="1"/>
  <c r="E199" i="13" s="1"/>
  <c r="E198" i="13" s="1"/>
  <c r="E197" i="13" s="1"/>
  <c r="E196" i="13" s="1"/>
  <c r="E195" i="13" s="1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E182" i="13" s="1"/>
  <c r="E181" i="13" s="1"/>
  <c r="E180" i="13" s="1"/>
  <c r="E179" i="13" s="1"/>
  <c r="E178" i="13" s="1"/>
  <c r="E177" i="13" s="1"/>
  <c r="E176" i="13" s="1"/>
  <c r="E175" i="13" s="1"/>
  <c r="E174" i="13" s="1"/>
  <c r="E173" i="13" s="1"/>
  <c r="E172" i="13" s="1"/>
  <c r="E171" i="13" s="1"/>
  <c r="E170" i="13" s="1"/>
  <c r="E169" i="13" s="1"/>
  <c r="E168" i="13" s="1"/>
  <c r="E167" i="13" s="1"/>
  <c r="E166" i="13" s="1"/>
  <c r="E165" i="13" s="1"/>
  <c r="E164" i="13" s="1"/>
  <c r="E163" i="13" s="1"/>
  <c r="E162" i="13" s="1"/>
  <c r="E161" i="13" s="1"/>
  <c r="E160" i="13" s="1"/>
  <c r="E159" i="13" s="1"/>
  <c r="E158" i="13" s="1"/>
  <c r="E157" i="13" s="1"/>
  <c r="E156" i="13" s="1"/>
  <c r="E155" i="13" s="1"/>
  <c r="E154" i="13" s="1"/>
  <c r="E153" i="13" s="1"/>
  <c r="E152" i="13" s="1"/>
  <c r="E151" i="13" s="1"/>
  <c r="E150" i="13" s="1"/>
  <c r="E149" i="13" s="1"/>
  <c r="E148" i="13" s="1"/>
  <c r="E147" i="13" s="1"/>
  <c r="E146" i="13" s="1"/>
  <c r="E145" i="13" s="1"/>
  <c r="E144" i="13" s="1"/>
  <c r="E143" i="13" s="1"/>
  <c r="E142" i="13" s="1"/>
  <c r="E141" i="13" s="1"/>
  <c r="E140" i="13" s="1"/>
  <c r="E139" i="13" s="1"/>
  <c r="E138" i="13" s="1"/>
  <c r="E137" i="13" s="1"/>
  <c r="E136" i="13" s="1"/>
  <c r="E135" i="13" s="1"/>
  <c r="E134" i="13" s="1"/>
  <c r="E133" i="13" s="1"/>
  <c r="E132" i="13" s="1"/>
  <c r="E131" i="13" s="1"/>
  <c r="E130" i="13" s="1"/>
  <c r="E129" i="13" s="1"/>
  <c r="E128" i="13" s="1"/>
  <c r="E127" i="13" s="1"/>
  <c r="E126" i="13" s="1"/>
  <c r="E125" i="13" s="1"/>
  <c r="E124" i="13" s="1"/>
  <c r="E123" i="13" s="1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E105" i="13" s="1"/>
  <c r="E104" i="13" s="1"/>
  <c r="E103" i="13" s="1"/>
  <c r="E102" i="13" s="1"/>
  <c r="E101" i="13" s="1"/>
  <c r="E100" i="13" s="1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E83" i="13" s="1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E51" i="13" s="1"/>
  <c r="E50" i="13" s="1"/>
  <c r="E49" i="13" s="1"/>
  <c r="E48" i="13" s="1"/>
  <c r="E47" i="13" s="1"/>
  <c r="E46" i="13" s="1"/>
  <c r="E45" i="13" s="1"/>
  <c r="E44" i="13" s="1"/>
  <c r="E43" i="13" s="1"/>
  <c r="E42" i="13" s="1"/>
  <c r="E41" i="13" s="1"/>
  <c r="E40" i="13" s="1"/>
  <c r="E39" i="13" s="1"/>
  <c r="E38" i="13" s="1"/>
  <c r="E37" i="13" s="1"/>
  <c r="E36" i="13" s="1"/>
  <c r="E35" i="13" s="1"/>
  <c r="E34" i="13" s="1"/>
  <c r="E33" i="13" s="1"/>
  <c r="E32" i="13" s="1"/>
  <c r="E31" i="13" s="1"/>
  <c r="E30" i="13" s="1"/>
  <c r="E29" i="13" s="1"/>
  <c r="E28" i="13" s="1"/>
  <c r="E27" i="13" s="1"/>
  <c r="E26" i="13" s="1"/>
  <c r="E25" i="13" s="1"/>
  <c r="E24" i="13" s="1"/>
  <c r="E23" i="13" s="1"/>
  <c r="E22" i="13" s="1"/>
  <c r="E21" i="13" s="1"/>
  <c r="E20" i="13" s="1"/>
  <c r="E19" i="13" s="1"/>
  <c r="E18" i="13" s="1"/>
  <c r="E17" i="13" s="1"/>
  <c r="E16" i="13" s="1"/>
  <c r="E15" i="13" s="1"/>
  <c r="E14" i="13" s="1"/>
  <c r="E13" i="13" s="1"/>
  <c r="E12" i="13" s="1"/>
  <c r="E11" i="13" s="1"/>
  <c r="E10" i="13" s="1"/>
  <c r="E9" i="13" s="1"/>
  <c r="E8" i="13" s="1"/>
  <c r="E7" i="13" s="1"/>
  <c r="E6" i="13" s="1"/>
  <c r="E5" i="13" s="1"/>
  <c r="E4" i="13" s="1"/>
  <c r="E3" i="13" s="1"/>
  <c r="E336" i="16"/>
  <c r="E335" i="16" s="1"/>
  <c r="E334" i="16" s="1"/>
  <c r="E333" i="16" s="1"/>
  <c r="E332" i="16" s="1"/>
  <c r="E331" i="16" s="1"/>
  <c r="E330" i="16" s="1"/>
  <c r="E329" i="16" s="1"/>
  <c r="E328" i="16" s="1"/>
  <c r="E327" i="16" s="1"/>
  <c r="E326" i="16" s="1"/>
  <c r="E325" i="16" s="1"/>
  <c r="E324" i="16" s="1"/>
  <c r="E323" i="16" s="1"/>
  <c r="E322" i="16" s="1"/>
  <c r="E321" i="16" s="1"/>
  <c r="E320" i="16" s="1"/>
  <c r="E319" i="16" s="1"/>
  <c r="E318" i="16" s="1"/>
  <c r="E317" i="16" s="1"/>
  <c r="E316" i="16" s="1"/>
  <c r="E315" i="16" s="1"/>
  <c r="E314" i="16" s="1"/>
  <c r="E313" i="16" s="1"/>
  <c r="E312" i="16" s="1"/>
  <c r="E311" i="16" s="1"/>
  <c r="E310" i="16" s="1"/>
  <c r="E309" i="16" s="1"/>
  <c r="E308" i="16" s="1"/>
  <c r="E307" i="16" s="1"/>
  <c r="E306" i="16" s="1"/>
  <c r="E305" i="16" s="1"/>
  <c r="E304" i="16" s="1"/>
  <c r="E303" i="16" s="1"/>
  <c r="E302" i="16" s="1"/>
  <c r="E301" i="16" s="1"/>
  <c r="E300" i="16" s="1"/>
  <c r="E299" i="16" s="1"/>
  <c r="E298" i="16" s="1"/>
  <c r="E297" i="16" s="1"/>
  <c r="E296" i="16" s="1"/>
  <c r="E295" i="16" s="1"/>
  <c r="E294" i="16" s="1"/>
  <c r="E293" i="16" s="1"/>
  <c r="E292" i="16" s="1"/>
  <c r="E291" i="16" s="1"/>
  <c r="E290" i="16" s="1"/>
  <c r="E289" i="16" s="1"/>
  <c r="E288" i="16" s="1"/>
  <c r="E287" i="16" s="1"/>
  <c r="E286" i="16" s="1"/>
  <c r="E285" i="16" s="1"/>
  <c r="E284" i="16" s="1"/>
  <c r="E283" i="16" s="1"/>
  <c r="E282" i="16" s="1"/>
  <c r="E281" i="16" s="1"/>
  <c r="E280" i="16" s="1"/>
  <c r="E279" i="16" s="1"/>
  <c r="E278" i="16" s="1"/>
  <c r="E277" i="16" s="1"/>
  <c r="E276" i="16" s="1"/>
  <c r="E275" i="16" s="1"/>
  <c r="E274" i="16" s="1"/>
  <c r="E273" i="16" s="1"/>
  <c r="E272" i="16" s="1"/>
  <c r="E271" i="16" s="1"/>
  <c r="E270" i="16" s="1"/>
  <c r="E269" i="16" s="1"/>
  <c r="E268" i="16" s="1"/>
  <c r="E267" i="16" s="1"/>
  <c r="E266" i="16" s="1"/>
  <c r="E265" i="16" s="1"/>
  <c r="E264" i="16" s="1"/>
  <c r="E263" i="16" s="1"/>
  <c r="E262" i="16" s="1"/>
  <c r="E261" i="16" s="1"/>
  <c r="E260" i="16" s="1"/>
  <c r="E259" i="16" s="1"/>
  <c r="E258" i="16" s="1"/>
  <c r="E257" i="16" s="1"/>
  <c r="E256" i="16" s="1"/>
  <c r="E255" i="16" s="1"/>
  <c r="E254" i="16" s="1"/>
  <c r="E253" i="16" s="1"/>
  <c r="E252" i="16" s="1"/>
  <c r="E251" i="16" s="1"/>
  <c r="E250" i="16" s="1"/>
  <c r="E249" i="16" s="1"/>
  <c r="E248" i="16" s="1"/>
  <c r="E247" i="16" s="1"/>
  <c r="E246" i="16" s="1"/>
  <c r="E245" i="16" s="1"/>
  <c r="E244" i="16" s="1"/>
  <c r="E243" i="16" s="1"/>
  <c r="E242" i="16" s="1"/>
  <c r="E241" i="16" s="1"/>
  <c r="E240" i="16" s="1"/>
  <c r="E239" i="16" s="1"/>
  <c r="E238" i="16" s="1"/>
  <c r="E237" i="16" s="1"/>
  <c r="E236" i="16" s="1"/>
  <c r="E235" i="16" s="1"/>
  <c r="E234" i="16" s="1"/>
  <c r="E233" i="16" s="1"/>
  <c r="E232" i="16" s="1"/>
  <c r="E231" i="16" s="1"/>
  <c r="E230" i="16" s="1"/>
  <c r="E229" i="16" s="1"/>
  <c r="E228" i="16" s="1"/>
  <c r="E227" i="16" s="1"/>
  <c r="E226" i="16" s="1"/>
  <c r="E225" i="16" s="1"/>
  <c r="E224" i="16" s="1"/>
  <c r="E223" i="16" s="1"/>
  <c r="E222" i="16" s="1"/>
  <c r="E221" i="16" s="1"/>
  <c r="E220" i="16" s="1"/>
  <c r="E219" i="16" s="1"/>
  <c r="E218" i="16" s="1"/>
  <c r="E217" i="16" s="1"/>
  <c r="E216" i="16" s="1"/>
  <c r="E215" i="16" s="1"/>
  <c r="E214" i="16" s="1"/>
  <c r="E213" i="16" s="1"/>
  <c r="E212" i="16" s="1"/>
  <c r="E211" i="16" s="1"/>
  <c r="E210" i="16" s="1"/>
  <c r="E209" i="16" s="1"/>
  <c r="E208" i="16" s="1"/>
  <c r="E207" i="16" s="1"/>
  <c r="E206" i="16" s="1"/>
  <c r="E205" i="16" s="1"/>
  <c r="E204" i="16" s="1"/>
  <c r="E203" i="16" s="1"/>
  <c r="E202" i="16" s="1"/>
  <c r="E201" i="16" s="1"/>
  <c r="E200" i="16" s="1"/>
  <c r="E199" i="16" s="1"/>
  <c r="E198" i="16" s="1"/>
  <c r="E197" i="16" s="1"/>
  <c r="E196" i="16" s="1"/>
  <c r="E195" i="16" s="1"/>
  <c r="E194" i="16" s="1"/>
  <c r="E193" i="16" s="1"/>
  <c r="E192" i="16" s="1"/>
  <c r="E191" i="16" s="1"/>
  <c r="E190" i="16" s="1"/>
  <c r="E189" i="16" s="1"/>
  <c r="E188" i="16" s="1"/>
  <c r="E187" i="16" s="1"/>
  <c r="E186" i="16" s="1"/>
  <c r="E185" i="16" s="1"/>
  <c r="E184" i="16" s="1"/>
  <c r="E183" i="16" s="1"/>
  <c r="E182" i="16" s="1"/>
  <c r="E181" i="16" s="1"/>
  <c r="E180" i="16" s="1"/>
  <c r="E179" i="16" s="1"/>
  <c r="E178" i="16" s="1"/>
  <c r="E177" i="16" s="1"/>
  <c r="E176" i="16" s="1"/>
  <c r="E175" i="16" s="1"/>
  <c r="E174" i="16" s="1"/>
  <c r="E173" i="16" s="1"/>
  <c r="E172" i="16" s="1"/>
  <c r="E171" i="16" s="1"/>
  <c r="E170" i="16" s="1"/>
  <c r="E169" i="16" s="1"/>
  <c r="E168" i="16" s="1"/>
  <c r="E167" i="16" s="1"/>
  <c r="E166" i="16" s="1"/>
  <c r="E165" i="16" s="1"/>
  <c r="E164" i="16" s="1"/>
  <c r="E163" i="16" s="1"/>
  <c r="E162" i="16" s="1"/>
  <c r="E161" i="16" s="1"/>
  <c r="E160" i="16" s="1"/>
  <c r="E159" i="16" s="1"/>
  <c r="E158" i="16" s="1"/>
  <c r="E157" i="16" s="1"/>
  <c r="E156" i="16" s="1"/>
  <c r="E155" i="16" s="1"/>
  <c r="E154" i="16" s="1"/>
  <c r="E153" i="16" s="1"/>
  <c r="E152" i="16" s="1"/>
  <c r="E151" i="16" s="1"/>
  <c r="E150" i="16" s="1"/>
  <c r="E149" i="16" s="1"/>
  <c r="E148" i="16" s="1"/>
  <c r="E147" i="16" s="1"/>
  <c r="E146" i="16" s="1"/>
  <c r="E145" i="16" s="1"/>
  <c r="E144" i="16" s="1"/>
  <c r="E143" i="16" s="1"/>
  <c r="E142" i="16" s="1"/>
  <c r="E141" i="16" s="1"/>
  <c r="E140" i="16" s="1"/>
  <c r="E139" i="16" s="1"/>
  <c r="E138" i="16" s="1"/>
  <c r="E137" i="16" s="1"/>
  <c r="E136" i="16" s="1"/>
  <c r="E135" i="16" s="1"/>
  <c r="E134" i="16" s="1"/>
  <c r="E133" i="16" s="1"/>
  <c r="E132" i="16" s="1"/>
  <c r="E131" i="16" s="1"/>
  <c r="E130" i="16" s="1"/>
  <c r="E129" i="16" s="1"/>
  <c r="E128" i="16" s="1"/>
  <c r="E127" i="16" s="1"/>
  <c r="E126" i="16" s="1"/>
  <c r="E125" i="16" s="1"/>
  <c r="E124" i="16" s="1"/>
  <c r="E123" i="16" s="1"/>
  <c r="E122" i="16" s="1"/>
  <c r="E121" i="16" s="1"/>
  <c r="E120" i="16" s="1"/>
  <c r="E119" i="16" s="1"/>
  <c r="E118" i="16" s="1"/>
  <c r="E117" i="16" s="1"/>
  <c r="E116" i="16" s="1"/>
  <c r="E115" i="16" s="1"/>
  <c r="E114" i="16" s="1"/>
  <c r="E113" i="16" s="1"/>
  <c r="E112" i="16" s="1"/>
  <c r="E111" i="16" s="1"/>
  <c r="E110" i="16" s="1"/>
  <c r="E109" i="16" s="1"/>
  <c r="E108" i="16" s="1"/>
  <c r="E107" i="16" s="1"/>
  <c r="E106" i="16" s="1"/>
  <c r="E105" i="16" s="1"/>
  <c r="E104" i="16" s="1"/>
  <c r="E103" i="16" s="1"/>
  <c r="E102" i="16" s="1"/>
  <c r="E101" i="16" s="1"/>
  <c r="E100" i="16" s="1"/>
  <c r="E99" i="16" s="1"/>
  <c r="E98" i="16" s="1"/>
  <c r="E97" i="16" s="1"/>
  <c r="E96" i="16" s="1"/>
  <c r="E95" i="16" s="1"/>
  <c r="E94" i="16" s="1"/>
  <c r="E93" i="16" s="1"/>
  <c r="E92" i="16" s="1"/>
  <c r="E91" i="16" s="1"/>
  <c r="E90" i="16" s="1"/>
  <c r="E89" i="16" s="1"/>
  <c r="E88" i="16" s="1"/>
  <c r="E87" i="16" s="1"/>
  <c r="E86" i="16" s="1"/>
  <c r="E85" i="16" s="1"/>
  <c r="E84" i="16" s="1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E67" i="16" s="1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E45" i="16" s="1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O148" i="11"/>
  <c r="O147" i="11" s="1"/>
  <c r="E362" i="10"/>
  <c r="E361" i="10" s="1"/>
  <c r="E360" i="10" s="1"/>
  <c r="E359" i="10" s="1"/>
  <c r="E358" i="10" s="1"/>
  <c r="E357" i="10" s="1"/>
  <c r="E356" i="10" s="1"/>
  <c r="E355" i="10" s="1"/>
  <c r="E354" i="10" s="1"/>
  <c r="E353" i="10" s="1"/>
  <c r="E352" i="10" s="1"/>
  <c r="E351" i="10" s="1"/>
  <c r="E350" i="10" s="1"/>
  <c r="E349" i="10" s="1"/>
  <c r="E348" i="10" s="1"/>
  <c r="E347" i="10" s="1"/>
  <c r="E346" i="10" s="1"/>
  <c r="E345" i="10" s="1"/>
  <c r="E344" i="10" s="1"/>
  <c r="E343" i="10" s="1"/>
  <c r="E342" i="10" s="1"/>
  <c r="E341" i="10" s="1"/>
  <c r="E340" i="10" s="1"/>
  <c r="E339" i="10" s="1"/>
  <c r="E338" i="10" s="1"/>
  <c r="E337" i="10" s="1"/>
  <c r="E336" i="10" s="1"/>
  <c r="E335" i="10" s="1"/>
  <c r="E334" i="10" s="1"/>
  <c r="E333" i="10" s="1"/>
  <c r="E332" i="10" s="1"/>
  <c r="E331" i="10" s="1"/>
  <c r="E330" i="10" s="1"/>
  <c r="E329" i="10" s="1"/>
  <c r="E328" i="10" s="1"/>
  <c r="E327" i="10" s="1"/>
  <c r="E326" i="10" s="1"/>
  <c r="E325" i="10" s="1"/>
  <c r="E324" i="10" s="1"/>
  <c r="E323" i="10" s="1"/>
  <c r="E322" i="10" s="1"/>
  <c r="E321" i="10" s="1"/>
  <c r="E320" i="10" s="1"/>
  <c r="E319" i="10" s="1"/>
  <c r="E318" i="10" s="1"/>
  <c r="E317" i="10" s="1"/>
  <c r="E316" i="10" s="1"/>
  <c r="E315" i="10" s="1"/>
  <c r="E314" i="10" s="1"/>
  <c r="E313" i="10" s="1"/>
  <c r="E312" i="10" s="1"/>
  <c r="E311" i="10" s="1"/>
  <c r="E310" i="10" s="1"/>
  <c r="E309" i="10" s="1"/>
  <c r="E308" i="10" s="1"/>
  <c r="E307" i="10" s="1"/>
  <c r="E306" i="10" s="1"/>
  <c r="E305" i="10" s="1"/>
  <c r="E304" i="10" s="1"/>
  <c r="E303" i="10" s="1"/>
  <c r="E302" i="10" s="1"/>
  <c r="E301" i="10" s="1"/>
  <c r="E300" i="10" s="1"/>
  <c r="E299" i="10" s="1"/>
  <c r="E298" i="10" s="1"/>
  <c r="E297" i="10" s="1"/>
  <c r="E296" i="10" s="1"/>
  <c r="E295" i="10" s="1"/>
  <c r="E294" i="10" s="1"/>
  <c r="E293" i="10" s="1"/>
  <c r="E292" i="10" s="1"/>
  <c r="E291" i="10" s="1"/>
  <c r="E290" i="10" s="1"/>
  <c r="E289" i="10" s="1"/>
  <c r="E288" i="10" s="1"/>
  <c r="E287" i="10" s="1"/>
  <c r="E286" i="10" s="1"/>
  <c r="E285" i="10" s="1"/>
  <c r="E284" i="10" s="1"/>
  <c r="E283" i="10" s="1"/>
  <c r="E282" i="10" s="1"/>
  <c r="E281" i="10" s="1"/>
  <c r="E280" i="10" s="1"/>
  <c r="E279" i="10" s="1"/>
  <c r="E278" i="10" s="1"/>
  <c r="E277" i="10" s="1"/>
  <c r="E276" i="10" s="1"/>
  <c r="E275" i="10" s="1"/>
  <c r="E274" i="10" s="1"/>
  <c r="E273" i="10" s="1"/>
  <c r="E272" i="10" s="1"/>
  <c r="E271" i="10" s="1"/>
  <c r="E270" i="10" s="1"/>
  <c r="E269" i="10" s="1"/>
  <c r="E268" i="10" s="1"/>
  <c r="E267" i="10" s="1"/>
  <c r="E266" i="10" s="1"/>
  <c r="E265" i="10" s="1"/>
  <c r="E264" i="10" s="1"/>
  <c r="E263" i="10" s="1"/>
  <c r="E262" i="10" s="1"/>
  <c r="E261" i="10" s="1"/>
  <c r="E260" i="10" s="1"/>
  <c r="E259" i="10" s="1"/>
  <c r="E258" i="10" s="1"/>
  <c r="E257" i="10" s="1"/>
  <c r="E256" i="10" s="1"/>
  <c r="E255" i="10" s="1"/>
  <c r="E254" i="10" s="1"/>
  <c r="E253" i="10" s="1"/>
  <c r="E252" i="10" s="1"/>
  <c r="E251" i="10" s="1"/>
  <c r="E250" i="10" s="1"/>
  <c r="E249" i="10" s="1"/>
  <c r="E248" i="10" s="1"/>
  <c r="E247" i="10" s="1"/>
  <c r="E246" i="10" s="1"/>
  <c r="E245" i="10" s="1"/>
  <c r="E244" i="10" s="1"/>
  <c r="E243" i="10" s="1"/>
  <c r="E242" i="10" s="1"/>
  <c r="E241" i="10" s="1"/>
  <c r="E240" i="10" s="1"/>
  <c r="E239" i="10" s="1"/>
  <c r="E238" i="10" s="1"/>
  <c r="E237" i="10" s="1"/>
  <c r="E236" i="10" s="1"/>
  <c r="E235" i="10" s="1"/>
  <c r="E234" i="10" s="1"/>
  <c r="E233" i="10" s="1"/>
  <c r="E232" i="10" s="1"/>
  <c r="E231" i="10" s="1"/>
  <c r="E230" i="10" s="1"/>
  <c r="E229" i="10" s="1"/>
  <c r="E228" i="10" s="1"/>
  <c r="E227" i="10" s="1"/>
  <c r="E226" i="10" s="1"/>
  <c r="E225" i="10" s="1"/>
  <c r="E224" i="10" s="1"/>
  <c r="E223" i="10" s="1"/>
  <c r="E222" i="10" s="1"/>
  <c r="E221" i="10" s="1"/>
  <c r="E220" i="10" s="1"/>
  <c r="E219" i="10" s="1"/>
  <c r="E218" i="10" s="1"/>
  <c r="E217" i="10" s="1"/>
  <c r="E216" i="10" s="1"/>
  <c r="E215" i="10" s="1"/>
  <c r="E214" i="10" s="1"/>
  <c r="E213" i="10" s="1"/>
  <c r="E212" i="10" s="1"/>
  <c r="E211" i="10" s="1"/>
  <c r="E210" i="10" s="1"/>
  <c r="E209" i="10" s="1"/>
  <c r="E208" i="10" s="1"/>
  <c r="E207" i="10" s="1"/>
  <c r="E206" i="10" s="1"/>
  <c r="E205" i="10" s="1"/>
  <c r="E204" i="10" s="1"/>
  <c r="E203" i="10" s="1"/>
  <c r="E202" i="10" s="1"/>
  <c r="E201" i="10" s="1"/>
  <c r="E200" i="10" s="1"/>
  <c r="E199" i="10" s="1"/>
  <c r="E198" i="10" s="1"/>
  <c r="E197" i="10" s="1"/>
  <c r="E196" i="10" s="1"/>
  <c r="E195" i="10" s="1"/>
  <c r="E194" i="10" s="1"/>
  <c r="E193" i="10" s="1"/>
  <c r="E192" i="10" s="1"/>
  <c r="E191" i="10" s="1"/>
  <c r="E190" i="10" s="1"/>
  <c r="E189" i="10" s="1"/>
  <c r="E188" i="10" s="1"/>
  <c r="E187" i="10" s="1"/>
  <c r="E186" i="10" s="1"/>
  <c r="E185" i="10" s="1"/>
  <c r="E184" i="10" s="1"/>
  <c r="E183" i="10" s="1"/>
  <c r="E182" i="10" s="1"/>
  <c r="E181" i="10" s="1"/>
  <c r="E180" i="10" s="1"/>
  <c r="E179" i="10" s="1"/>
  <c r="E178" i="10" s="1"/>
  <c r="E177" i="10" s="1"/>
  <c r="E176" i="10" s="1"/>
  <c r="E175" i="10" s="1"/>
  <c r="E174" i="10" s="1"/>
  <c r="E173" i="10" s="1"/>
  <c r="E172" i="10" s="1"/>
  <c r="E171" i="10" s="1"/>
  <c r="E170" i="10" s="1"/>
  <c r="E169" i="10" s="1"/>
  <c r="E168" i="10" s="1"/>
  <c r="E167" i="10" s="1"/>
  <c r="E166" i="10" s="1"/>
  <c r="E165" i="10" s="1"/>
  <c r="E164" i="10" s="1"/>
  <c r="E163" i="10" s="1"/>
  <c r="E162" i="10" s="1"/>
  <c r="E161" i="10" s="1"/>
  <c r="E160" i="10" s="1"/>
  <c r="E159" i="10" s="1"/>
  <c r="E158" i="10" s="1"/>
  <c r="E157" i="10" s="1"/>
  <c r="E156" i="10" s="1"/>
  <c r="E155" i="10" s="1"/>
  <c r="E154" i="10" s="1"/>
  <c r="E153" i="10" s="1"/>
  <c r="E152" i="10" s="1"/>
  <c r="E151" i="10" s="1"/>
  <c r="E150" i="10" s="1"/>
  <c r="E149" i="10" s="1"/>
  <c r="E148" i="10" s="1"/>
  <c r="E147" i="10" s="1"/>
  <c r="E146" i="10" s="1"/>
  <c r="E145" i="10" s="1"/>
  <c r="E144" i="10" s="1"/>
  <c r="E143" i="10" s="1"/>
  <c r="E142" i="10" s="1"/>
  <c r="E141" i="10" s="1"/>
  <c r="E140" i="10" s="1"/>
  <c r="E139" i="10" s="1"/>
  <c r="E138" i="10" s="1"/>
  <c r="E137" i="10" s="1"/>
  <c r="E136" i="10" s="1"/>
  <c r="E135" i="10" s="1"/>
  <c r="E134" i="10" s="1"/>
  <c r="E133" i="10" s="1"/>
  <c r="E132" i="10" s="1"/>
  <c r="E131" i="10" s="1"/>
  <c r="E130" i="10" s="1"/>
  <c r="E129" i="10" s="1"/>
  <c r="E128" i="10" s="1"/>
  <c r="E127" i="10" s="1"/>
  <c r="E126" i="10" s="1"/>
  <c r="E125" i="10" s="1"/>
  <c r="E124" i="10" s="1"/>
  <c r="E123" i="10" s="1"/>
  <c r="E122" i="10" s="1"/>
  <c r="E121" i="10" s="1"/>
  <c r="E120" i="10" s="1"/>
  <c r="E119" i="10" s="1"/>
  <c r="E118" i="10" s="1"/>
  <c r="E117" i="10" s="1"/>
  <c r="E116" i="10" s="1"/>
  <c r="E115" i="10" s="1"/>
  <c r="E114" i="10" s="1"/>
  <c r="E113" i="10" s="1"/>
  <c r="E112" i="10" s="1"/>
  <c r="E111" i="10" s="1"/>
  <c r="E110" i="10" s="1"/>
  <c r="E109" i="10" s="1"/>
  <c r="E108" i="10" s="1"/>
  <c r="E107" i="10" s="1"/>
  <c r="E106" i="10" s="1"/>
  <c r="E105" i="10" s="1"/>
  <c r="E104" i="10" s="1"/>
  <c r="E103" i="10" s="1"/>
  <c r="E102" i="10" s="1"/>
  <c r="E101" i="10" s="1"/>
  <c r="E100" i="10" s="1"/>
  <c r="E99" i="10" s="1"/>
  <c r="E98" i="10" s="1"/>
  <c r="E97" i="10" s="1"/>
  <c r="E96" i="10" s="1"/>
  <c r="E95" i="10" s="1"/>
  <c r="E94" i="10" s="1"/>
  <c r="E93" i="10" s="1"/>
  <c r="E92" i="10" s="1"/>
  <c r="E91" i="10" s="1"/>
  <c r="E90" i="10" s="1"/>
  <c r="E89" i="10" s="1"/>
  <c r="E88" i="10" s="1"/>
  <c r="E87" i="10" s="1"/>
  <c r="E86" i="10" s="1"/>
  <c r="E85" i="10" s="1"/>
  <c r="E84" i="10" s="1"/>
  <c r="E83" i="10" s="1"/>
  <c r="E82" i="10" s="1"/>
  <c r="E81" i="10" s="1"/>
  <c r="E80" i="10" s="1"/>
  <c r="E79" i="10" s="1"/>
  <c r="E78" i="10" s="1"/>
  <c r="E77" i="10" s="1"/>
  <c r="E76" i="10" s="1"/>
  <c r="E75" i="10" s="1"/>
  <c r="E74" i="10" s="1"/>
  <c r="E73" i="10" s="1"/>
  <c r="E72" i="10" s="1"/>
  <c r="E71" i="10" s="1"/>
  <c r="E70" i="10" s="1"/>
  <c r="E69" i="10" s="1"/>
  <c r="E68" i="10" s="1"/>
  <c r="E67" i="10" s="1"/>
  <c r="E66" i="10" s="1"/>
  <c r="E65" i="10" s="1"/>
  <c r="E64" i="10" s="1"/>
  <c r="E63" i="10" s="1"/>
  <c r="E62" i="10" s="1"/>
  <c r="E61" i="10" s="1"/>
  <c r="E60" i="10" s="1"/>
  <c r="E59" i="10" s="1"/>
  <c r="E58" i="10" s="1"/>
  <c r="E57" i="10" s="1"/>
  <c r="E56" i="10" s="1"/>
  <c r="E55" i="10" s="1"/>
  <c r="E54" i="10" s="1"/>
  <c r="E53" i="10" s="1"/>
  <c r="E52" i="10" s="1"/>
  <c r="E51" i="10" s="1"/>
  <c r="E50" i="10" s="1"/>
  <c r="E49" i="10" s="1"/>
  <c r="E48" i="10" s="1"/>
  <c r="E47" i="10" s="1"/>
  <c r="E46" i="10" s="1"/>
  <c r="E45" i="10" s="1"/>
  <c r="E44" i="10" s="1"/>
  <c r="E43" i="10" s="1"/>
  <c r="E42" i="10" s="1"/>
  <c r="E41" i="10" s="1"/>
  <c r="E40" i="10" s="1"/>
  <c r="E39" i="10" s="1"/>
  <c r="E38" i="10" s="1"/>
  <c r="E37" i="10" s="1"/>
  <c r="E36" i="10" s="1"/>
  <c r="E35" i="10" s="1"/>
  <c r="E34" i="10" s="1"/>
  <c r="E33" i="10" s="1"/>
  <c r="E32" i="10" s="1"/>
  <c r="E31" i="10" s="1"/>
  <c r="E30" i="10" s="1"/>
  <c r="E29" i="10" s="1"/>
  <c r="E28" i="10" s="1"/>
  <c r="E27" i="10" s="1"/>
  <c r="E26" i="10" s="1"/>
  <c r="E25" i="10" s="1"/>
  <c r="E24" i="10" s="1"/>
  <c r="E23" i="10" s="1"/>
  <c r="E22" i="10" s="1"/>
  <c r="E21" i="10" s="1"/>
  <c r="E20" i="10" s="1"/>
  <c r="E19" i="10" s="1"/>
  <c r="E18" i="10" s="1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N362" i="10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N6" i="10" s="1"/>
  <c r="N5" i="10" s="1"/>
  <c r="N4" i="10" s="1"/>
  <c r="N3" i="10" s="1"/>
  <c r="H363" i="10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K23" i="10" s="1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N362" i="13"/>
  <c r="N361" i="13" s="1"/>
  <c r="N360" i="13" s="1"/>
  <c r="N359" i="13" s="1"/>
  <c r="N358" i="13" s="1"/>
  <c r="N357" i="13" s="1"/>
  <c r="N356" i="13" s="1"/>
  <c r="N355" i="13" s="1"/>
  <c r="N354" i="13" s="1"/>
  <c r="N353" i="13" s="1"/>
  <c r="N352" i="13" s="1"/>
  <c r="N351" i="13" s="1"/>
  <c r="N350" i="13" s="1"/>
  <c r="N349" i="13" s="1"/>
  <c r="N348" i="13" s="1"/>
  <c r="N347" i="13" s="1"/>
  <c r="N346" i="13" s="1"/>
  <c r="N345" i="13" s="1"/>
  <c r="N344" i="13" s="1"/>
  <c r="N343" i="13" s="1"/>
  <c r="N342" i="13" s="1"/>
  <c r="N341" i="13" s="1"/>
  <c r="N340" i="13" s="1"/>
  <c r="N339" i="13" s="1"/>
  <c r="N338" i="13" s="1"/>
  <c r="N337" i="13" s="1"/>
  <c r="N336" i="13" s="1"/>
  <c r="N335" i="13" s="1"/>
  <c r="N334" i="13" s="1"/>
  <c r="N333" i="13" s="1"/>
  <c r="N332" i="13" s="1"/>
  <c r="N331" i="13" s="1"/>
  <c r="N330" i="13" s="1"/>
  <c r="N329" i="13" s="1"/>
  <c r="N328" i="13" s="1"/>
  <c r="N327" i="13" s="1"/>
  <c r="N326" i="13" s="1"/>
  <c r="N325" i="13" s="1"/>
  <c r="N324" i="13" s="1"/>
  <c r="N323" i="13" s="1"/>
  <c r="N322" i="13" s="1"/>
  <c r="N321" i="13" s="1"/>
  <c r="N320" i="13" s="1"/>
  <c r="N319" i="13" s="1"/>
  <c r="N318" i="13" s="1"/>
  <c r="N317" i="13" s="1"/>
  <c r="N316" i="13" s="1"/>
  <c r="N315" i="13" s="1"/>
  <c r="N314" i="13" s="1"/>
  <c r="N313" i="13" s="1"/>
  <c r="N312" i="13" s="1"/>
  <c r="N311" i="13" s="1"/>
  <c r="N310" i="13" s="1"/>
  <c r="N309" i="13" s="1"/>
  <c r="N308" i="13" s="1"/>
  <c r="N307" i="13" s="1"/>
  <c r="N306" i="13" s="1"/>
  <c r="N305" i="13" s="1"/>
  <c r="N304" i="13" s="1"/>
  <c r="N303" i="13" s="1"/>
  <c r="N302" i="13" s="1"/>
  <c r="N301" i="13" s="1"/>
  <c r="N300" i="13" s="1"/>
  <c r="N299" i="13" s="1"/>
  <c r="N298" i="13" s="1"/>
  <c r="N297" i="13" s="1"/>
  <c r="N296" i="13" s="1"/>
  <c r="N295" i="13" s="1"/>
  <c r="N294" i="13" s="1"/>
  <c r="N293" i="13" s="1"/>
  <c r="N292" i="13" s="1"/>
  <c r="N291" i="13" s="1"/>
  <c r="N290" i="13" s="1"/>
  <c r="N289" i="13" s="1"/>
  <c r="N288" i="13" s="1"/>
  <c r="N287" i="13" s="1"/>
  <c r="N286" i="13" s="1"/>
  <c r="N285" i="13" s="1"/>
  <c r="N284" i="13" s="1"/>
  <c r="N283" i="13" s="1"/>
  <c r="N282" i="13" s="1"/>
  <c r="N281" i="13" s="1"/>
  <c r="N280" i="13" s="1"/>
  <c r="N279" i="13" s="1"/>
  <c r="N278" i="13" s="1"/>
  <c r="N277" i="13" s="1"/>
  <c r="N276" i="13" s="1"/>
  <c r="N275" i="13" s="1"/>
  <c r="N274" i="13" s="1"/>
  <c r="N273" i="13" s="1"/>
  <c r="N272" i="13" s="1"/>
  <c r="N271" i="13" s="1"/>
  <c r="N270" i="13" s="1"/>
  <c r="N269" i="13" s="1"/>
  <c r="N268" i="13" s="1"/>
  <c r="N267" i="13" s="1"/>
  <c r="N266" i="13" s="1"/>
  <c r="N265" i="13" s="1"/>
  <c r="N264" i="13" s="1"/>
  <c r="N263" i="13" s="1"/>
  <c r="N262" i="13" s="1"/>
  <c r="N261" i="13" s="1"/>
  <c r="N260" i="13" s="1"/>
  <c r="N259" i="13" s="1"/>
  <c r="N258" i="13" s="1"/>
  <c r="N257" i="13" s="1"/>
  <c r="N256" i="13" s="1"/>
  <c r="N255" i="13" s="1"/>
  <c r="N254" i="13" s="1"/>
  <c r="N253" i="13" s="1"/>
  <c r="N252" i="13" s="1"/>
  <c r="N251" i="13" s="1"/>
  <c r="N250" i="13" s="1"/>
  <c r="N249" i="13" s="1"/>
  <c r="N248" i="13" s="1"/>
  <c r="N247" i="13" s="1"/>
  <c r="N246" i="13" s="1"/>
  <c r="N245" i="13" s="1"/>
  <c r="N244" i="13" s="1"/>
  <c r="N243" i="13" s="1"/>
  <c r="N242" i="13" s="1"/>
  <c r="N241" i="13" s="1"/>
  <c r="N240" i="13" s="1"/>
  <c r="N239" i="13" s="1"/>
  <c r="N238" i="13" s="1"/>
  <c r="N237" i="13" s="1"/>
  <c r="N236" i="13" s="1"/>
  <c r="N235" i="13" s="1"/>
  <c r="N234" i="13" s="1"/>
  <c r="N233" i="13" s="1"/>
  <c r="N232" i="13" s="1"/>
  <c r="N231" i="13" s="1"/>
  <c r="N230" i="13" s="1"/>
  <c r="N229" i="13" s="1"/>
  <c r="N228" i="13" s="1"/>
  <c r="N227" i="13" s="1"/>
  <c r="N226" i="13" s="1"/>
  <c r="N225" i="13" s="1"/>
  <c r="N224" i="13" s="1"/>
  <c r="N223" i="13" s="1"/>
  <c r="N222" i="13" s="1"/>
  <c r="N221" i="13" s="1"/>
  <c r="N220" i="13" s="1"/>
  <c r="N219" i="13" s="1"/>
  <c r="N218" i="13" s="1"/>
  <c r="N217" i="13" s="1"/>
  <c r="N216" i="13" s="1"/>
  <c r="N215" i="13" s="1"/>
  <c r="N214" i="13" s="1"/>
  <c r="N213" i="13" s="1"/>
  <c r="N212" i="13" s="1"/>
  <c r="N211" i="13" s="1"/>
  <c r="N210" i="13" s="1"/>
  <c r="N209" i="13" s="1"/>
  <c r="N208" i="13" s="1"/>
  <c r="N207" i="13" s="1"/>
  <c r="N206" i="13" s="1"/>
  <c r="N205" i="13" s="1"/>
  <c r="N204" i="13" s="1"/>
  <c r="N203" i="13" s="1"/>
  <c r="N202" i="13" s="1"/>
  <c r="N201" i="13" s="1"/>
  <c r="N200" i="13" s="1"/>
  <c r="N199" i="13" s="1"/>
  <c r="N198" i="13" s="1"/>
  <c r="N197" i="13" s="1"/>
  <c r="N196" i="13" s="1"/>
  <c r="N195" i="13" s="1"/>
  <c r="N194" i="13" s="1"/>
  <c r="N193" i="13" s="1"/>
  <c r="N192" i="13" s="1"/>
  <c r="N191" i="13" s="1"/>
  <c r="N190" i="13" s="1"/>
  <c r="N189" i="13" s="1"/>
  <c r="N188" i="13" s="1"/>
  <c r="N187" i="13" s="1"/>
  <c r="N186" i="13" s="1"/>
  <c r="N185" i="13" s="1"/>
  <c r="N184" i="13" s="1"/>
  <c r="N183" i="13" s="1"/>
  <c r="N182" i="13" s="1"/>
  <c r="N181" i="13" s="1"/>
  <c r="N180" i="13" s="1"/>
  <c r="N179" i="13" s="1"/>
  <c r="N178" i="13" s="1"/>
  <c r="N177" i="13" s="1"/>
  <c r="N176" i="13" s="1"/>
  <c r="N175" i="13" s="1"/>
  <c r="N174" i="13" s="1"/>
  <c r="N173" i="13" s="1"/>
  <c r="N172" i="13" s="1"/>
  <c r="N171" i="13" s="1"/>
  <c r="N170" i="13" s="1"/>
  <c r="N169" i="13" s="1"/>
  <c r="N168" i="13" s="1"/>
  <c r="N167" i="13" s="1"/>
  <c r="N166" i="13" s="1"/>
  <c r="N165" i="13" s="1"/>
  <c r="N164" i="13" s="1"/>
  <c r="N163" i="13" s="1"/>
  <c r="N162" i="13" s="1"/>
  <c r="N161" i="13" s="1"/>
  <c r="N160" i="13" s="1"/>
  <c r="N159" i="13" s="1"/>
  <c r="N158" i="13" s="1"/>
  <c r="N157" i="13" s="1"/>
  <c r="N156" i="13" s="1"/>
  <c r="N155" i="13" s="1"/>
  <c r="N154" i="13" s="1"/>
  <c r="N153" i="13" s="1"/>
  <c r="N152" i="13" s="1"/>
  <c r="N151" i="13" s="1"/>
  <c r="N150" i="13" s="1"/>
  <c r="N149" i="13" s="1"/>
  <c r="N148" i="13" s="1"/>
  <c r="N147" i="13" s="1"/>
  <c r="N146" i="13" s="1"/>
  <c r="N145" i="13" s="1"/>
  <c r="N144" i="13" s="1"/>
  <c r="N143" i="13" s="1"/>
  <c r="N142" i="13" s="1"/>
  <c r="N141" i="13" s="1"/>
  <c r="N140" i="13" s="1"/>
  <c r="N139" i="13" s="1"/>
  <c r="N138" i="13" s="1"/>
  <c r="N137" i="13" s="1"/>
  <c r="N136" i="13" s="1"/>
  <c r="N135" i="13" s="1"/>
  <c r="N134" i="13" s="1"/>
  <c r="N133" i="13" s="1"/>
  <c r="N132" i="13" s="1"/>
  <c r="N131" i="13" s="1"/>
  <c r="N130" i="13" s="1"/>
  <c r="N129" i="13" s="1"/>
  <c r="N128" i="13" s="1"/>
  <c r="N127" i="13" s="1"/>
  <c r="N126" i="13" s="1"/>
  <c r="N125" i="13" s="1"/>
  <c r="N124" i="13" s="1"/>
  <c r="N123" i="13" s="1"/>
  <c r="N122" i="13" s="1"/>
  <c r="N121" i="13" s="1"/>
  <c r="N120" i="13" s="1"/>
  <c r="N119" i="13" s="1"/>
  <c r="N118" i="13" s="1"/>
  <c r="N117" i="13" s="1"/>
  <c r="N116" i="13" s="1"/>
  <c r="N115" i="13" s="1"/>
  <c r="N114" i="13" s="1"/>
  <c r="N113" i="13" s="1"/>
  <c r="N112" i="13" s="1"/>
  <c r="N111" i="13" s="1"/>
  <c r="N110" i="13" s="1"/>
  <c r="N109" i="13" s="1"/>
  <c r="N108" i="13" s="1"/>
  <c r="N107" i="13" s="1"/>
  <c r="N106" i="13" s="1"/>
  <c r="N105" i="13" s="1"/>
  <c r="N104" i="13" s="1"/>
  <c r="N103" i="13" s="1"/>
  <c r="N102" i="13" s="1"/>
  <c r="N101" i="13" s="1"/>
  <c r="N100" i="13" s="1"/>
  <c r="N99" i="13" s="1"/>
  <c r="N98" i="13" s="1"/>
  <c r="N97" i="13" s="1"/>
  <c r="N96" i="13" s="1"/>
  <c r="N95" i="13" s="1"/>
  <c r="N94" i="13" s="1"/>
  <c r="N93" i="13" s="1"/>
  <c r="N92" i="13" s="1"/>
  <c r="N91" i="13" s="1"/>
  <c r="N90" i="13" s="1"/>
  <c r="N89" i="13" s="1"/>
  <c r="N88" i="13" s="1"/>
  <c r="N87" i="13" s="1"/>
  <c r="N86" i="13" s="1"/>
  <c r="N85" i="13" s="1"/>
  <c r="N84" i="13" s="1"/>
  <c r="N83" i="13" s="1"/>
  <c r="N82" i="13" s="1"/>
  <c r="N81" i="13" s="1"/>
  <c r="N80" i="13" s="1"/>
  <c r="N79" i="13" s="1"/>
  <c r="N78" i="13" s="1"/>
  <c r="N77" i="13" s="1"/>
  <c r="N76" i="13" s="1"/>
  <c r="N75" i="13" s="1"/>
  <c r="N74" i="13" s="1"/>
  <c r="N73" i="13" s="1"/>
  <c r="N72" i="13" s="1"/>
  <c r="N71" i="13" s="1"/>
  <c r="N70" i="13" s="1"/>
  <c r="N69" i="13" s="1"/>
  <c r="N68" i="13" s="1"/>
  <c r="N67" i="13" s="1"/>
  <c r="N66" i="13" s="1"/>
  <c r="N65" i="13" s="1"/>
  <c r="N64" i="13" s="1"/>
  <c r="N63" i="13" s="1"/>
  <c r="N62" i="13" s="1"/>
  <c r="N61" i="13" s="1"/>
  <c r="N60" i="13" s="1"/>
  <c r="N59" i="13" s="1"/>
  <c r="N58" i="13" s="1"/>
  <c r="N57" i="13" s="1"/>
  <c r="N56" i="13" s="1"/>
  <c r="N55" i="13" s="1"/>
  <c r="N54" i="13" s="1"/>
  <c r="N53" i="13" s="1"/>
  <c r="N52" i="13" s="1"/>
  <c r="N51" i="13" s="1"/>
  <c r="N50" i="13" s="1"/>
  <c r="N49" i="13" s="1"/>
  <c r="N48" i="13" s="1"/>
  <c r="N47" i="13" s="1"/>
  <c r="N46" i="13" s="1"/>
  <c r="N45" i="13" s="1"/>
  <c r="N44" i="13" s="1"/>
  <c r="N43" i="13" s="1"/>
  <c r="N42" i="13" s="1"/>
  <c r="N41" i="13" s="1"/>
  <c r="N40" i="13" s="1"/>
  <c r="N39" i="13" s="1"/>
  <c r="N38" i="13" s="1"/>
  <c r="N37" i="13" s="1"/>
  <c r="N36" i="13" s="1"/>
  <c r="N35" i="13" s="1"/>
  <c r="N34" i="13" s="1"/>
  <c r="N33" i="13" s="1"/>
  <c r="N32" i="13" s="1"/>
  <c r="N31" i="13" s="1"/>
  <c r="N30" i="13" s="1"/>
  <c r="N29" i="13" s="1"/>
  <c r="N28" i="13" s="1"/>
  <c r="N27" i="13" s="1"/>
  <c r="N26" i="13" s="1"/>
  <c r="N25" i="13" s="1"/>
  <c r="N24" i="13" s="1"/>
  <c r="N23" i="13" s="1"/>
  <c r="N22" i="13" s="1"/>
  <c r="N21" i="13" s="1"/>
  <c r="N20" i="13" s="1"/>
  <c r="N19" i="13" s="1"/>
  <c r="N18" i="13" s="1"/>
  <c r="N17" i="13" s="1"/>
  <c r="N16" i="13" s="1"/>
  <c r="N15" i="13" s="1"/>
  <c r="N14" i="13" s="1"/>
  <c r="N13" i="13" s="1"/>
  <c r="N12" i="13" s="1"/>
  <c r="N11" i="13" s="1"/>
  <c r="N10" i="13" s="1"/>
  <c r="N9" i="13" s="1"/>
  <c r="N8" i="13" s="1"/>
  <c r="N7" i="13" s="1"/>
  <c r="N6" i="13" s="1"/>
  <c r="N5" i="13" s="1"/>
  <c r="N4" i="13" s="1"/>
  <c r="N3" i="13" s="1"/>
  <c r="N366" i="8"/>
  <c r="N365" i="8"/>
  <c r="N370" i="8" s="1"/>
  <c r="N367" i="8"/>
  <c r="O353" i="8"/>
  <c r="O347" i="8" s="1"/>
  <c r="O148" i="8"/>
  <c r="O153" i="8" s="1"/>
  <c r="H181" i="11"/>
  <c r="H180" i="11"/>
  <c r="H179" i="11"/>
  <c r="H178" i="11"/>
  <c r="H177" i="11"/>
  <c r="I181" i="11"/>
  <c r="I180" i="11"/>
  <c r="I179" i="11"/>
  <c r="I178" i="11"/>
  <c r="I177" i="11"/>
  <c r="O150" i="14"/>
  <c r="I196" i="14"/>
  <c r="H196" i="14"/>
  <c r="H216" i="14"/>
  <c r="H236" i="14"/>
  <c r="H256" i="14"/>
  <c r="H132" i="14"/>
  <c r="H175" i="14"/>
  <c r="H46" i="14"/>
  <c r="I216" i="14"/>
  <c r="I256" i="14"/>
  <c r="I132" i="14"/>
  <c r="I46" i="14"/>
  <c r="I70" i="14"/>
  <c r="I296" i="14"/>
  <c r="I276" i="14"/>
  <c r="H276" i="14"/>
  <c r="H296" i="14"/>
  <c r="H27" i="14"/>
  <c r="H88" i="14"/>
  <c r="H70" i="14"/>
  <c r="O148" i="14"/>
  <c r="O153" i="14" s="1"/>
  <c r="H216" i="11"/>
  <c r="I132" i="11"/>
  <c r="H88" i="11"/>
  <c r="O118" i="8"/>
  <c r="H46" i="8"/>
  <c r="R331" i="14"/>
  <c r="H336" i="14" s="1"/>
  <c r="R351" i="14"/>
  <c r="H356" i="14" s="1"/>
  <c r="H107" i="14"/>
  <c r="I70" i="8"/>
  <c r="I88" i="8"/>
  <c r="R320" i="8"/>
  <c r="I316" i="8" s="1"/>
  <c r="R340" i="8"/>
  <c r="I336" i="8" s="1"/>
  <c r="S331" i="11"/>
  <c r="I27" i="14"/>
  <c r="O150" i="8"/>
  <c r="I175" i="8"/>
  <c r="H196" i="8"/>
  <c r="I216" i="8"/>
  <c r="I236" i="8"/>
  <c r="I276" i="8"/>
  <c r="I296" i="8"/>
  <c r="H27" i="11"/>
  <c r="I27" i="11"/>
  <c r="H46" i="11"/>
  <c r="H107" i="11"/>
  <c r="H196" i="11"/>
  <c r="H236" i="11"/>
  <c r="H276" i="11"/>
  <c r="R320" i="11"/>
  <c r="I316" i="11" s="1"/>
  <c r="R340" i="11"/>
  <c r="I336" i="11" s="1"/>
  <c r="R360" i="11"/>
  <c r="I356" i="11" s="1"/>
  <c r="O149" i="14"/>
  <c r="R311" i="14"/>
  <c r="H316" i="14" s="1"/>
  <c r="H132" i="8"/>
  <c r="O143" i="8"/>
  <c r="I132" i="8"/>
  <c r="O149" i="8"/>
  <c r="I196" i="8"/>
  <c r="H216" i="8"/>
  <c r="H236" i="8"/>
  <c r="H256" i="8"/>
  <c r="H276" i="8"/>
  <c r="H296" i="8"/>
  <c r="I46" i="11"/>
  <c r="I88" i="11"/>
  <c r="O118" i="11"/>
  <c r="I107" i="11"/>
  <c r="H132" i="11"/>
  <c r="O149" i="11"/>
  <c r="O150" i="11"/>
  <c r="H175" i="11"/>
  <c r="I196" i="11"/>
  <c r="I216" i="11"/>
  <c r="I236" i="11"/>
  <c r="I256" i="11"/>
  <c r="I276" i="11"/>
  <c r="I296" i="11"/>
  <c r="O25" i="14"/>
  <c r="O19" i="14" s="1"/>
  <c r="O19" i="11"/>
  <c r="O18" i="11" s="1"/>
  <c r="O86" i="11"/>
  <c r="H89" i="11" s="1"/>
  <c r="O104" i="11"/>
  <c r="L116" i="11" s="1"/>
  <c r="O193" i="11"/>
  <c r="O187" i="11" s="1"/>
  <c r="O186" i="11" s="1"/>
  <c r="O213" i="11"/>
  <c r="O233" i="11"/>
  <c r="O227" i="11" s="1"/>
  <c r="O226" i="11" s="1"/>
  <c r="O253" i="11"/>
  <c r="O247" i="11" s="1"/>
  <c r="L254" i="11" s="1"/>
  <c r="O273" i="11"/>
  <c r="O267" i="11" s="1"/>
  <c r="O266" i="11" s="1"/>
  <c r="O293" i="11"/>
  <c r="O287" i="11" s="1"/>
  <c r="L294" i="11" s="1"/>
  <c r="O313" i="11"/>
  <c r="O307" i="11" s="1"/>
  <c r="O306" i="11" s="1"/>
  <c r="O333" i="11"/>
  <c r="O327" i="11" s="1"/>
  <c r="L334" i="11" s="1"/>
  <c r="O353" i="11"/>
  <c r="O347" i="11" s="1"/>
  <c r="O346" i="11" s="1"/>
  <c r="I363" i="16"/>
  <c r="I362" i="16" s="1"/>
  <c r="I361" i="16" s="1"/>
  <c r="I360" i="16" s="1"/>
  <c r="I359" i="16" s="1"/>
  <c r="I358" i="16" s="1"/>
  <c r="I357" i="16" s="1"/>
  <c r="I356" i="16" s="1"/>
  <c r="I355" i="16" s="1"/>
  <c r="I354" i="16" s="1"/>
  <c r="I353" i="16" s="1"/>
  <c r="I352" i="16" s="1"/>
  <c r="I351" i="16" s="1"/>
  <c r="I350" i="16" s="1"/>
  <c r="I349" i="16" s="1"/>
  <c r="I348" i="16" s="1"/>
  <c r="I347" i="16" s="1"/>
  <c r="I346" i="16" s="1"/>
  <c r="I345" i="16" s="1"/>
  <c r="I344" i="16" s="1"/>
  <c r="I343" i="16" s="1"/>
  <c r="I342" i="16" s="1"/>
  <c r="I341" i="16" s="1"/>
  <c r="I340" i="16" s="1"/>
  <c r="I339" i="16" s="1"/>
  <c r="I338" i="16" s="1"/>
  <c r="I337" i="16" s="1"/>
  <c r="I336" i="16" s="1"/>
  <c r="I335" i="16" s="1"/>
  <c r="I334" i="16" s="1"/>
  <c r="I333" i="16" s="1"/>
  <c r="I332" i="16" s="1"/>
  <c r="I331" i="16" s="1"/>
  <c r="I330" i="16" s="1"/>
  <c r="I329" i="16" s="1"/>
  <c r="I328" i="16" s="1"/>
  <c r="I327" i="16" s="1"/>
  <c r="I326" i="16" s="1"/>
  <c r="I325" i="16" s="1"/>
  <c r="I324" i="16" s="1"/>
  <c r="I323" i="16" s="1"/>
  <c r="I322" i="16" s="1"/>
  <c r="I321" i="16" s="1"/>
  <c r="I320" i="16" s="1"/>
  <c r="I319" i="16" s="1"/>
  <c r="I318" i="16" s="1"/>
  <c r="I317" i="16" s="1"/>
  <c r="I316" i="16" s="1"/>
  <c r="I315" i="16" s="1"/>
  <c r="I314" i="16" s="1"/>
  <c r="I313" i="16" s="1"/>
  <c r="I312" i="16" s="1"/>
  <c r="I311" i="16" s="1"/>
  <c r="I310" i="16" s="1"/>
  <c r="I309" i="16" s="1"/>
  <c r="I308" i="16" s="1"/>
  <c r="I307" i="16" s="1"/>
  <c r="I306" i="16" s="1"/>
  <c r="I305" i="16" s="1"/>
  <c r="I304" i="16" s="1"/>
  <c r="I303" i="16" s="1"/>
  <c r="I302" i="16" s="1"/>
  <c r="I301" i="16" s="1"/>
  <c r="I300" i="16" s="1"/>
  <c r="I299" i="16" s="1"/>
  <c r="I298" i="16" s="1"/>
  <c r="I297" i="16" s="1"/>
  <c r="I296" i="16" s="1"/>
  <c r="I295" i="16" s="1"/>
  <c r="I294" i="16" s="1"/>
  <c r="I293" i="16" s="1"/>
  <c r="I292" i="16" s="1"/>
  <c r="I291" i="16" s="1"/>
  <c r="I290" i="16" s="1"/>
  <c r="I289" i="16" s="1"/>
  <c r="I288" i="16" s="1"/>
  <c r="I287" i="16" s="1"/>
  <c r="I286" i="16" s="1"/>
  <c r="I285" i="16" s="1"/>
  <c r="I284" i="16" s="1"/>
  <c r="I283" i="16" s="1"/>
  <c r="I282" i="16" s="1"/>
  <c r="I281" i="16" s="1"/>
  <c r="I280" i="16" s="1"/>
  <c r="I279" i="16" s="1"/>
  <c r="I278" i="16" s="1"/>
  <c r="I277" i="16" s="1"/>
  <c r="I276" i="16" s="1"/>
  <c r="I275" i="16" s="1"/>
  <c r="I274" i="16" s="1"/>
  <c r="I273" i="16" s="1"/>
  <c r="I272" i="16" s="1"/>
  <c r="I271" i="16" s="1"/>
  <c r="I270" i="16" s="1"/>
  <c r="I269" i="16" s="1"/>
  <c r="I268" i="16" s="1"/>
  <c r="I267" i="16" s="1"/>
  <c r="I266" i="16" s="1"/>
  <c r="I265" i="16" s="1"/>
  <c r="I264" i="16" s="1"/>
  <c r="I263" i="16" s="1"/>
  <c r="I262" i="16" s="1"/>
  <c r="I261" i="16" s="1"/>
  <c r="I260" i="16" s="1"/>
  <c r="I259" i="16" s="1"/>
  <c r="I258" i="16" s="1"/>
  <c r="I257" i="16" s="1"/>
  <c r="I256" i="16" s="1"/>
  <c r="I255" i="16" s="1"/>
  <c r="I254" i="16" s="1"/>
  <c r="I253" i="16" s="1"/>
  <c r="I252" i="16" s="1"/>
  <c r="I251" i="16" s="1"/>
  <c r="I250" i="16" s="1"/>
  <c r="I249" i="16" s="1"/>
  <c r="I248" i="16" s="1"/>
  <c r="I247" i="16" s="1"/>
  <c r="I246" i="16" s="1"/>
  <c r="I245" i="16" s="1"/>
  <c r="I244" i="16" s="1"/>
  <c r="I243" i="16" s="1"/>
  <c r="I242" i="16" s="1"/>
  <c r="I241" i="16" s="1"/>
  <c r="I240" i="16" s="1"/>
  <c r="I239" i="16" s="1"/>
  <c r="I238" i="16" s="1"/>
  <c r="I237" i="16" s="1"/>
  <c r="I236" i="16" s="1"/>
  <c r="I235" i="16" s="1"/>
  <c r="I234" i="16" s="1"/>
  <c r="I233" i="16" s="1"/>
  <c r="I232" i="16" s="1"/>
  <c r="I231" i="16" s="1"/>
  <c r="I230" i="16" s="1"/>
  <c r="I229" i="16" s="1"/>
  <c r="I228" i="16" s="1"/>
  <c r="I227" i="16" s="1"/>
  <c r="I226" i="16" s="1"/>
  <c r="I225" i="16" s="1"/>
  <c r="I224" i="16" s="1"/>
  <c r="I223" i="16" s="1"/>
  <c r="I222" i="16" s="1"/>
  <c r="I221" i="16" s="1"/>
  <c r="I220" i="16" s="1"/>
  <c r="I219" i="16" s="1"/>
  <c r="I218" i="16" s="1"/>
  <c r="I217" i="16" s="1"/>
  <c r="I216" i="16" s="1"/>
  <c r="I215" i="16" s="1"/>
  <c r="I214" i="16" s="1"/>
  <c r="I213" i="16" s="1"/>
  <c r="I212" i="16" s="1"/>
  <c r="I211" i="16" s="1"/>
  <c r="I210" i="16" s="1"/>
  <c r="I209" i="16" s="1"/>
  <c r="I208" i="16" s="1"/>
  <c r="I207" i="16" s="1"/>
  <c r="I206" i="16" s="1"/>
  <c r="I205" i="16" s="1"/>
  <c r="I204" i="16" s="1"/>
  <c r="I203" i="16" s="1"/>
  <c r="I202" i="16" s="1"/>
  <c r="I201" i="16" s="1"/>
  <c r="I200" i="16" s="1"/>
  <c r="I199" i="16" s="1"/>
  <c r="I198" i="16" s="1"/>
  <c r="I197" i="16" s="1"/>
  <c r="I196" i="16" s="1"/>
  <c r="I195" i="16" s="1"/>
  <c r="I194" i="16" s="1"/>
  <c r="I193" i="16" s="1"/>
  <c r="I192" i="16" s="1"/>
  <c r="I191" i="16" s="1"/>
  <c r="I190" i="16" s="1"/>
  <c r="I189" i="16" s="1"/>
  <c r="I188" i="16" s="1"/>
  <c r="I187" i="16" s="1"/>
  <c r="I186" i="16" s="1"/>
  <c r="I185" i="16" s="1"/>
  <c r="I184" i="16" s="1"/>
  <c r="I183" i="16" s="1"/>
  <c r="I182" i="16" s="1"/>
  <c r="I181" i="16" s="1"/>
  <c r="I180" i="16" s="1"/>
  <c r="I179" i="16" s="1"/>
  <c r="I178" i="16" s="1"/>
  <c r="I177" i="16" s="1"/>
  <c r="I176" i="16" s="1"/>
  <c r="I175" i="16" s="1"/>
  <c r="I174" i="16" s="1"/>
  <c r="I173" i="16" s="1"/>
  <c r="I172" i="16" s="1"/>
  <c r="I171" i="16" s="1"/>
  <c r="I170" i="16" s="1"/>
  <c r="I169" i="16" s="1"/>
  <c r="I168" i="16" s="1"/>
  <c r="I167" i="16" s="1"/>
  <c r="I166" i="16" s="1"/>
  <c r="I165" i="16" s="1"/>
  <c r="I164" i="16" s="1"/>
  <c r="I163" i="16" s="1"/>
  <c r="I162" i="16" s="1"/>
  <c r="I161" i="16" s="1"/>
  <c r="I160" i="16" s="1"/>
  <c r="I159" i="16" s="1"/>
  <c r="I158" i="16" s="1"/>
  <c r="I157" i="16" s="1"/>
  <c r="I156" i="16" s="1"/>
  <c r="I155" i="16" s="1"/>
  <c r="I154" i="16" s="1"/>
  <c r="I153" i="16" s="1"/>
  <c r="I152" i="16" s="1"/>
  <c r="I151" i="16" s="1"/>
  <c r="I150" i="16" s="1"/>
  <c r="I149" i="16" s="1"/>
  <c r="I148" i="16" s="1"/>
  <c r="I147" i="16" s="1"/>
  <c r="I146" i="16" s="1"/>
  <c r="I145" i="16" s="1"/>
  <c r="I144" i="16" s="1"/>
  <c r="I143" i="16" s="1"/>
  <c r="I142" i="16" s="1"/>
  <c r="I141" i="16" s="1"/>
  <c r="I140" i="16" s="1"/>
  <c r="I139" i="16" s="1"/>
  <c r="I138" i="16" s="1"/>
  <c r="I137" i="16" s="1"/>
  <c r="I136" i="16" s="1"/>
  <c r="I135" i="16" s="1"/>
  <c r="I134" i="16" s="1"/>
  <c r="I133" i="16" s="1"/>
  <c r="I132" i="16" s="1"/>
  <c r="I131" i="16" s="1"/>
  <c r="I130" i="16" s="1"/>
  <c r="I129" i="16" s="1"/>
  <c r="I128" i="16" s="1"/>
  <c r="I127" i="16" s="1"/>
  <c r="I126" i="16" s="1"/>
  <c r="I125" i="16" s="1"/>
  <c r="I124" i="16" s="1"/>
  <c r="I123" i="16" s="1"/>
  <c r="I122" i="16" s="1"/>
  <c r="I121" i="16" s="1"/>
  <c r="I120" i="16" s="1"/>
  <c r="I119" i="16" s="1"/>
  <c r="I118" i="16" s="1"/>
  <c r="I117" i="16" s="1"/>
  <c r="I116" i="16" s="1"/>
  <c r="I115" i="16" s="1"/>
  <c r="I114" i="16" s="1"/>
  <c r="I113" i="16" s="1"/>
  <c r="I112" i="16" s="1"/>
  <c r="I111" i="16" s="1"/>
  <c r="I110" i="16" s="1"/>
  <c r="I109" i="16" s="1"/>
  <c r="I108" i="16" s="1"/>
  <c r="I107" i="16" s="1"/>
  <c r="I106" i="16" s="1"/>
  <c r="I105" i="16" s="1"/>
  <c r="I104" i="16" s="1"/>
  <c r="I103" i="16" s="1"/>
  <c r="I102" i="16" s="1"/>
  <c r="I101" i="16" s="1"/>
  <c r="I100" i="16" s="1"/>
  <c r="I99" i="16" s="1"/>
  <c r="I98" i="16" s="1"/>
  <c r="I97" i="16" s="1"/>
  <c r="I96" i="16" s="1"/>
  <c r="I95" i="16" s="1"/>
  <c r="I94" i="16" s="1"/>
  <c r="I93" i="16" s="1"/>
  <c r="I92" i="16" s="1"/>
  <c r="I91" i="16" s="1"/>
  <c r="I90" i="16" s="1"/>
  <c r="I89" i="16" s="1"/>
  <c r="I88" i="16" s="1"/>
  <c r="I87" i="16" s="1"/>
  <c r="I86" i="16" s="1"/>
  <c r="I85" i="16" s="1"/>
  <c r="I84" i="16" s="1"/>
  <c r="I83" i="16" s="1"/>
  <c r="I82" i="16" s="1"/>
  <c r="I81" i="16" s="1"/>
  <c r="I80" i="16" s="1"/>
  <c r="I79" i="16" s="1"/>
  <c r="I78" i="16" s="1"/>
  <c r="I77" i="16" s="1"/>
  <c r="I76" i="16" s="1"/>
  <c r="I75" i="16" s="1"/>
  <c r="I74" i="16" s="1"/>
  <c r="I73" i="16" s="1"/>
  <c r="I72" i="16" s="1"/>
  <c r="I71" i="16" s="1"/>
  <c r="I70" i="16" s="1"/>
  <c r="I69" i="16" s="1"/>
  <c r="I68" i="16" s="1"/>
  <c r="I67" i="16" s="1"/>
  <c r="I66" i="16" s="1"/>
  <c r="I65" i="16" s="1"/>
  <c r="I64" i="16" s="1"/>
  <c r="I63" i="16" s="1"/>
  <c r="I62" i="16" s="1"/>
  <c r="I61" i="16" s="1"/>
  <c r="I60" i="16" s="1"/>
  <c r="I59" i="16" s="1"/>
  <c r="I58" i="16" s="1"/>
  <c r="I57" i="16" s="1"/>
  <c r="I56" i="16" s="1"/>
  <c r="I55" i="16" s="1"/>
  <c r="I54" i="16" s="1"/>
  <c r="I53" i="16" s="1"/>
  <c r="I52" i="16" s="1"/>
  <c r="I51" i="16" s="1"/>
  <c r="I50" i="16" s="1"/>
  <c r="I49" i="16" s="1"/>
  <c r="I48" i="16" s="1"/>
  <c r="I47" i="16" s="1"/>
  <c r="I46" i="16" s="1"/>
  <c r="I45" i="16" s="1"/>
  <c r="I44" i="16" s="1"/>
  <c r="I43" i="16" s="1"/>
  <c r="I42" i="16" s="1"/>
  <c r="I41" i="16" s="1"/>
  <c r="I40" i="16" s="1"/>
  <c r="I39" i="16" s="1"/>
  <c r="I38" i="16" s="1"/>
  <c r="I37" i="16" s="1"/>
  <c r="I36" i="16" s="1"/>
  <c r="I35" i="16" s="1"/>
  <c r="I34" i="16" s="1"/>
  <c r="I33" i="16" s="1"/>
  <c r="I32" i="16" s="1"/>
  <c r="I31" i="16" s="1"/>
  <c r="I30" i="16" s="1"/>
  <c r="I29" i="16" s="1"/>
  <c r="I28" i="16" s="1"/>
  <c r="I27" i="16" s="1"/>
  <c r="I26" i="16" s="1"/>
  <c r="I25" i="16" s="1"/>
  <c r="I24" i="16" s="1"/>
  <c r="I23" i="16" s="1"/>
  <c r="I22" i="16" s="1"/>
  <c r="I21" i="16" s="1"/>
  <c r="I20" i="16" s="1"/>
  <c r="I19" i="16" s="1"/>
  <c r="I18" i="16" s="1"/>
  <c r="I17" i="16" s="1"/>
  <c r="I16" i="16" s="1"/>
  <c r="I15" i="16" s="1"/>
  <c r="I14" i="16" s="1"/>
  <c r="I13" i="16" s="1"/>
  <c r="I12" i="16" s="1"/>
  <c r="I11" i="16" s="1"/>
  <c r="I10" i="16" s="1"/>
  <c r="I9" i="16" s="1"/>
  <c r="I8" i="16" s="1"/>
  <c r="I7" i="16" s="1"/>
  <c r="I6" i="16" s="1"/>
  <c r="I5" i="16" s="1"/>
  <c r="I4" i="16" s="1"/>
  <c r="I3" i="16" s="1"/>
  <c r="F362" i="16"/>
  <c r="F361" i="16" s="1"/>
  <c r="F360" i="16" s="1"/>
  <c r="F359" i="16" s="1"/>
  <c r="F358" i="16" s="1"/>
  <c r="F357" i="16" s="1"/>
  <c r="F356" i="16" s="1"/>
  <c r="F355" i="16" s="1"/>
  <c r="F354" i="16" s="1"/>
  <c r="F353" i="16" s="1"/>
  <c r="F352" i="16" s="1"/>
  <c r="F351" i="16" s="1"/>
  <c r="F350" i="16" s="1"/>
  <c r="F349" i="16" s="1"/>
  <c r="F348" i="16" s="1"/>
  <c r="F347" i="16" s="1"/>
  <c r="F346" i="16" s="1"/>
  <c r="F345" i="16" s="1"/>
  <c r="F344" i="16" s="1"/>
  <c r="F343" i="16" s="1"/>
  <c r="F342" i="16" s="1"/>
  <c r="F341" i="16" s="1"/>
  <c r="F340" i="16" s="1"/>
  <c r="F339" i="16" s="1"/>
  <c r="F338" i="16" s="1"/>
  <c r="F337" i="16" s="1"/>
  <c r="F336" i="16" s="1"/>
  <c r="F335" i="16" s="1"/>
  <c r="F334" i="16" s="1"/>
  <c r="F333" i="16" s="1"/>
  <c r="F332" i="16" s="1"/>
  <c r="F331" i="16" s="1"/>
  <c r="F330" i="16" s="1"/>
  <c r="F329" i="16" s="1"/>
  <c r="F328" i="16" s="1"/>
  <c r="F327" i="16" s="1"/>
  <c r="F326" i="16" s="1"/>
  <c r="F325" i="16" s="1"/>
  <c r="F324" i="16" s="1"/>
  <c r="F323" i="16" s="1"/>
  <c r="F322" i="16" s="1"/>
  <c r="F321" i="16" s="1"/>
  <c r="F320" i="16" s="1"/>
  <c r="F319" i="16" s="1"/>
  <c r="F318" i="16" s="1"/>
  <c r="F317" i="16" s="1"/>
  <c r="F316" i="16" s="1"/>
  <c r="F315" i="16" s="1"/>
  <c r="F314" i="16" s="1"/>
  <c r="F313" i="16" s="1"/>
  <c r="F312" i="16" s="1"/>
  <c r="F311" i="16" s="1"/>
  <c r="F310" i="16" s="1"/>
  <c r="F309" i="16" s="1"/>
  <c r="F308" i="16" s="1"/>
  <c r="F307" i="16" s="1"/>
  <c r="F306" i="16" s="1"/>
  <c r="F305" i="16" s="1"/>
  <c r="F304" i="16" s="1"/>
  <c r="F303" i="16" s="1"/>
  <c r="F302" i="16" s="1"/>
  <c r="F301" i="16" s="1"/>
  <c r="F300" i="16" s="1"/>
  <c r="F299" i="16" s="1"/>
  <c r="F298" i="16" s="1"/>
  <c r="F297" i="16" s="1"/>
  <c r="F296" i="16" s="1"/>
  <c r="F295" i="16" s="1"/>
  <c r="F294" i="16" s="1"/>
  <c r="F293" i="16" s="1"/>
  <c r="F292" i="16" s="1"/>
  <c r="F291" i="16" s="1"/>
  <c r="F290" i="16" s="1"/>
  <c r="F289" i="16" s="1"/>
  <c r="F288" i="16" s="1"/>
  <c r="F287" i="16" s="1"/>
  <c r="F286" i="16" s="1"/>
  <c r="F285" i="16" s="1"/>
  <c r="F284" i="16" s="1"/>
  <c r="F283" i="16" s="1"/>
  <c r="F282" i="16" s="1"/>
  <c r="F281" i="16" s="1"/>
  <c r="F280" i="16" s="1"/>
  <c r="F279" i="16" s="1"/>
  <c r="F278" i="16" s="1"/>
  <c r="F277" i="16" s="1"/>
  <c r="F276" i="16" s="1"/>
  <c r="F275" i="16" s="1"/>
  <c r="F274" i="16" s="1"/>
  <c r="F273" i="16" s="1"/>
  <c r="F272" i="16" s="1"/>
  <c r="F271" i="16" s="1"/>
  <c r="F270" i="16" s="1"/>
  <c r="F269" i="16" s="1"/>
  <c r="F268" i="16" s="1"/>
  <c r="F267" i="16" s="1"/>
  <c r="F266" i="16" s="1"/>
  <c r="F265" i="16" s="1"/>
  <c r="F264" i="16" s="1"/>
  <c r="F263" i="16" s="1"/>
  <c r="F262" i="16" s="1"/>
  <c r="F261" i="16" s="1"/>
  <c r="F260" i="16" s="1"/>
  <c r="F259" i="16" s="1"/>
  <c r="F258" i="16" s="1"/>
  <c r="F257" i="16" s="1"/>
  <c r="F256" i="16" s="1"/>
  <c r="F255" i="16" s="1"/>
  <c r="F254" i="16" s="1"/>
  <c r="F253" i="16" s="1"/>
  <c r="F252" i="16" s="1"/>
  <c r="F251" i="16" s="1"/>
  <c r="F250" i="16" s="1"/>
  <c r="F249" i="16" s="1"/>
  <c r="F248" i="16" s="1"/>
  <c r="F247" i="16" s="1"/>
  <c r="F246" i="16" s="1"/>
  <c r="F245" i="16" s="1"/>
  <c r="F244" i="16" s="1"/>
  <c r="F243" i="16" s="1"/>
  <c r="F242" i="16" s="1"/>
  <c r="F241" i="16" s="1"/>
  <c r="F240" i="16" s="1"/>
  <c r="F239" i="16" s="1"/>
  <c r="F238" i="16" s="1"/>
  <c r="F237" i="16" s="1"/>
  <c r="F236" i="16" s="1"/>
  <c r="F235" i="16" s="1"/>
  <c r="F234" i="16" s="1"/>
  <c r="F233" i="16" s="1"/>
  <c r="F232" i="16" s="1"/>
  <c r="F231" i="16" s="1"/>
  <c r="F230" i="16" s="1"/>
  <c r="F229" i="16" s="1"/>
  <c r="F228" i="16" s="1"/>
  <c r="F227" i="16" s="1"/>
  <c r="F226" i="16" s="1"/>
  <c r="F225" i="16" s="1"/>
  <c r="F224" i="16" s="1"/>
  <c r="F223" i="16" s="1"/>
  <c r="F222" i="16" s="1"/>
  <c r="F221" i="16" s="1"/>
  <c r="F220" i="16" s="1"/>
  <c r="F219" i="16" s="1"/>
  <c r="F218" i="16" s="1"/>
  <c r="F217" i="16" s="1"/>
  <c r="F216" i="16" s="1"/>
  <c r="F215" i="16" s="1"/>
  <c r="F214" i="16" s="1"/>
  <c r="F213" i="16" s="1"/>
  <c r="F212" i="16" s="1"/>
  <c r="F211" i="16" s="1"/>
  <c r="F210" i="16" s="1"/>
  <c r="F209" i="16" s="1"/>
  <c r="F208" i="16" s="1"/>
  <c r="F207" i="16" s="1"/>
  <c r="F206" i="16" s="1"/>
  <c r="F205" i="16" s="1"/>
  <c r="F204" i="16" s="1"/>
  <c r="F203" i="16" s="1"/>
  <c r="F202" i="16" s="1"/>
  <c r="F201" i="16" s="1"/>
  <c r="F200" i="16" s="1"/>
  <c r="F199" i="16" s="1"/>
  <c r="F198" i="16" s="1"/>
  <c r="F197" i="16" s="1"/>
  <c r="F196" i="16" s="1"/>
  <c r="F195" i="16" s="1"/>
  <c r="F194" i="16" s="1"/>
  <c r="F193" i="16" s="1"/>
  <c r="F192" i="16" s="1"/>
  <c r="F191" i="16" s="1"/>
  <c r="F190" i="16" s="1"/>
  <c r="F189" i="16" s="1"/>
  <c r="F188" i="16" s="1"/>
  <c r="F187" i="16" s="1"/>
  <c r="F186" i="16" s="1"/>
  <c r="F185" i="16" s="1"/>
  <c r="F184" i="16" s="1"/>
  <c r="F183" i="16" s="1"/>
  <c r="F182" i="16" s="1"/>
  <c r="F181" i="16" s="1"/>
  <c r="F180" i="16" s="1"/>
  <c r="F179" i="16" s="1"/>
  <c r="F178" i="16" s="1"/>
  <c r="F177" i="16" s="1"/>
  <c r="F176" i="16" s="1"/>
  <c r="F175" i="16" s="1"/>
  <c r="F174" i="16" s="1"/>
  <c r="F173" i="16" s="1"/>
  <c r="F172" i="16" s="1"/>
  <c r="F171" i="16" s="1"/>
  <c r="F170" i="16" s="1"/>
  <c r="F169" i="16" s="1"/>
  <c r="F168" i="16" s="1"/>
  <c r="F167" i="16" s="1"/>
  <c r="F166" i="16" s="1"/>
  <c r="F165" i="16" s="1"/>
  <c r="F164" i="16" s="1"/>
  <c r="F163" i="16" s="1"/>
  <c r="F162" i="16" s="1"/>
  <c r="F161" i="16" s="1"/>
  <c r="F160" i="16" s="1"/>
  <c r="F159" i="16" s="1"/>
  <c r="F158" i="16" s="1"/>
  <c r="F157" i="16" s="1"/>
  <c r="F156" i="16" s="1"/>
  <c r="F155" i="16" s="1"/>
  <c r="F154" i="16" s="1"/>
  <c r="F153" i="16" s="1"/>
  <c r="F152" i="16" s="1"/>
  <c r="F151" i="16" s="1"/>
  <c r="F150" i="16" s="1"/>
  <c r="F149" i="16" s="1"/>
  <c r="F148" i="16" s="1"/>
  <c r="F147" i="16" s="1"/>
  <c r="F146" i="16" s="1"/>
  <c r="F145" i="16" s="1"/>
  <c r="F144" i="16" s="1"/>
  <c r="F143" i="16" s="1"/>
  <c r="F142" i="16" s="1"/>
  <c r="F141" i="16" s="1"/>
  <c r="F140" i="16" s="1"/>
  <c r="F139" i="16" s="1"/>
  <c r="F138" i="16" s="1"/>
  <c r="F137" i="16" s="1"/>
  <c r="F136" i="16" s="1"/>
  <c r="F135" i="16" s="1"/>
  <c r="F134" i="16" s="1"/>
  <c r="F133" i="16" s="1"/>
  <c r="F132" i="16" s="1"/>
  <c r="F131" i="16" s="1"/>
  <c r="F130" i="16" s="1"/>
  <c r="F129" i="16" s="1"/>
  <c r="F128" i="16" s="1"/>
  <c r="F127" i="16" s="1"/>
  <c r="F126" i="16" s="1"/>
  <c r="F125" i="16" s="1"/>
  <c r="F124" i="16" s="1"/>
  <c r="F123" i="16" s="1"/>
  <c r="F122" i="16" s="1"/>
  <c r="F121" i="16" s="1"/>
  <c r="F120" i="16" s="1"/>
  <c r="F119" i="16" s="1"/>
  <c r="F118" i="16" s="1"/>
  <c r="F117" i="16" s="1"/>
  <c r="F116" i="16" s="1"/>
  <c r="F115" i="16" s="1"/>
  <c r="F114" i="16" s="1"/>
  <c r="F113" i="16" s="1"/>
  <c r="F112" i="16" s="1"/>
  <c r="F111" i="16" s="1"/>
  <c r="F110" i="16" s="1"/>
  <c r="F109" i="16" s="1"/>
  <c r="F108" i="16" s="1"/>
  <c r="F107" i="16" s="1"/>
  <c r="F106" i="16" s="1"/>
  <c r="F105" i="16" s="1"/>
  <c r="F104" i="16" s="1"/>
  <c r="F103" i="16" s="1"/>
  <c r="F102" i="16" s="1"/>
  <c r="F101" i="16" s="1"/>
  <c r="F100" i="16" s="1"/>
  <c r="F99" i="16" s="1"/>
  <c r="F98" i="16" s="1"/>
  <c r="F97" i="16" s="1"/>
  <c r="F96" i="16" s="1"/>
  <c r="F95" i="16" s="1"/>
  <c r="F94" i="16" s="1"/>
  <c r="F93" i="16" s="1"/>
  <c r="F92" i="16" s="1"/>
  <c r="F91" i="16" s="1"/>
  <c r="F90" i="16" s="1"/>
  <c r="F89" i="16" s="1"/>
  <c r="F88" i="16" s="1"/>
  <c r="F87" i="16" s="1"/>
  <c r="F86" i="16" s="1"/>
  <c r="F85" i="16" s="1"/>
  <c r="F84" i="16" s="1"/>
  <c r="F83" i="16" s="1"/>
  <c r="F82" i="16" s="1"/>
  <c r="F81" i="16" s="1"/>
  <c r="F80" i="16" s="1"/>
  <c r="F79" i="16" s="1"/>
  <c r="F78" i="16" s="1"/>
  <c r="F77" i="16" s="1"/>
  <c r="F76" i="16" s="1"/>
  <c r="F75" i="16" s="1"/>
  <c r="F74" i="16" s="1"/>
  <c r="F73" i="16" s="1"/>
  <c r="F72" i="16" s="1"/>
  <c r="F71" i="16" s="1"/>
  <c r="F70" i="16" s="1"/>
  <c r="F69" i="16" s="1"/>
  <c r="F68" i="16" s="1"/>
  <c r="F67" i="16" s="1"/>
  <c r="F66" i="16" s="1"/>
  <c r="F65" i="16" s="1"/>
  <c r="F64" i="16" s="1"/>
  <c r="F63" i="16" s="1"/>
  <c r="F62" i="16" s="1"/>
  <c r="F61" i="16" s="1"/>
  <c r="F60" i="16" s="1"/>
  <c r="F59" i="16" s="1"/>
  <c r="F58" i="16" s="1"/>
  <c r="F57" i="16" s="1"/>
  <c r="F56" i="16" s="1"/>
  <c r="F55" i="16" s="1"/>
  <c r="F54" i="16" s="1"/>
  <c r="F53" i="16" s="1"/>
  <c r="F52" i="16" s="1"/>
  <c r="F51" i="16" s="1"/>
  <c r="F50" i="16" s="1"/>
  <c r="F49" i="16" s="1"/>
  <c r="F48" i="16" s="1"/>
  <c r="F47" i="16" s="1"/>
  <c r="F46" i="16" s="1"/>
  <c r="F45" i="16" s="1"/>
  <c r="F44" i="16" s="1"/>
  <c r="F43" i="16" s="1"/>
  <c r="F42" i="16" s="1"/>
  <c r="F41" i="16" s="1"/>
  <c r="F40" i="16" s="1"/>
  <c r="F39" i="16" s="1"/>
  <c r="F38" i="16" s="1"/>
  <c r="F37" i="16" s="1"/>
  <c r="F36" i="16" s="1"/>
  <c r="F35" i="16" s="1"/>
  <c r="F34" i="16" s="1"/>
  <c r="F33" i="16" s="1"/>
  <c r="F32" i="16" s="1"/>
  <c r="F31" i="16" s="1"/>
  <c r="F30" i="16" s="1"/>
  <c r="F29" i="16" s="1"/>
  <c r="F28" i="16" s="1"/>
  <c r="F27" i="16" s="1"/>
  <c r="F26" i="16" s="1"/>
  <c r="F25" i="16" s="1"/>
  <c r="F24" i="16" s="1"/>
  <c r="F23" i="16" s="1"/>
  <c r="F22" i="16" s="1"/>
  <c r="F21" i="16" s="1"/>
  <c r="F20" i="16" s="1"/>
  <c r="F19" i="16" s="1"/>
  <c r="F18" i="16" s="1"/>
  <c r="F17" i="16" s="1"/>
  <c r="F16" i="16" s="1"/>
  <c r="F15" i="16" s="1"/>
  <c r="F14" i="16" s="1"/>
  <c r="F13" i="16" s="1"/>
  <c r="F12" i="16" s="1"/>
  <c r="F11" i="16" s="1"/>
  <c r="F10" i="16" s="1"/>
  <c r="F9" i="16" s="1"/>
  <c r="F8" i="16" s="1"/>
  <c r="F7" i="16" s="1"/>
  <c r="F6" i="16" s="1"/>
  <c r="F5" i="16" s="1"/>
  <c r="F4" i="16" s="1"/>
  <c r="F3" i="16" s="1"/>
  <c r="H363" i="16"/>
  <c r="H89" i="14"/>
  <c r="H87" i="14" s="1"/>
  <c r="I89" i="14"/>
  <c r="O80" i="14"/>
  <c r="O85" i="14" s="1"/>
  <c r="I357" i="14"/>
  <c r="H357" i="14"/>
  <c r="H355" i="14" s="1"/>
  <c r="O347" i="14"/>
  <c r="O45" i="14"/>
  <c r="O118" i="14"/>
  <c r="O129" i="14"/>
  <c r="O134" i="14" s="1"/>
  <c r="O172" i="14"/>
  <c r="S320" i="14"/>
  <c r="S340" i="14"/>
  <c r="S360" i="14"/>
  <c r="O68" i="14"/>
  <c r="O104" i="14"/>
  <c r="O193" i="14"/>
  <c r="O213" i="14"/>
  <c r="O207" i="14" s="1"/>
  <c r="O233" i="14"/>
  <c r="O253" i="14"/>
  <c r="O247" i="14" s="1"/>
  <c r="O273" i="14"/>
  <c r="O293" i="14"/>
  <c r="O287" i="14" s="1"/>
  <c r="O313" i="14"/>
  <c r="O333" i="14"/>
  <c r="O327" i="14" s="1"/>
  <c r="Q362" i="16"/>
  <c r="Q361" i="16" s="1"/>
  <c r="Q360" i="16" s="1"/>
  <c r="Q359" i="16" s="1"/>
  <c r="Q358" i="16" s="1"/>
  <c r="Q357" i="16" s="1"/>
  <c r="Q356" i="16" s="1"/>
  <c r="Q355" i="16" s="1"/>
  <c r="Q354" i="16" s="1"/>
  <c r="Q353" i="16" s="1"/>
  <c r="Q352" i="16" s="1"/>
  <c r="Q351" i="16" s="1"/>
  <c r="Q350" i="16" s="1"/>
  <c r="Q349" i="16" s="1"/>
  <c r="Q348" i="16" s="1"/>
  <c r="Q347" i="16" s="1"/>
  <c r="Q346" i="16" s="1"/>
  <c r="Q345" i="16" s="1"/>
  <c r="Q344" i="16" s="1"/>
  <c r="Q343" i="16" s="1"/>
  <c r="Q342" i="16" s="1"/>
  <c r="Q341" i="16" s="1"/>
  <c r="Q340" i="16" s="1"/>
  <c r="Q339" i="16" s="1"/>
  <c r="Q338" i="16" s="1"/>
  <c r="Q337" i="16" s="1"/>
  <c r="Q336" i="16" s="1"/>
  <c r="Q335" i="16" s="1"/>
  <c r="Q334" i="16" s="1"/>
  <c r="Q333" i="16" s="1"/>
  <c r="Q332" i="16" s="1"/>
  <c r="Q331" i="16" s="1"/>
  <c r="Q330" i="16" s="1"/>
  <c r="Q329" i="16" s="1"/>
  <c r="Q328" i="16" s="1"/>
  <c r="Q327" i="16" s="1"/>
  <c r="Q326" i="16" s="1"/>
  <c r="Q325" i="16" s="1"/>
  <c r="Q324" i="16" s="1"/>
  <c r="Q323" i="16" s="1"/>
  <c r="Q322" i="16" s="1"/>
  <c r="Q321" i="16" s="1"/>
  <c r="Q320" i="16" s="1"/>
  <c r="Q319" i="16" s="1"/>
  <c r="Q318" i="16" s="1"/>
  <c r="Q317" i="16" s="1"/>
  <c r="Q316" i="16" s="1"/>
  <c r="Q315" i="16" s="1"/>
  <c r="Q314" i="16" s="1"/>
  <c r="Q313" i="16" s="1"/>
  <c r="Q312" i="16" s="1"/>
  <c r="Q311" i="16" s="1"/>
  <c r="Q310" i="16" s="1"/>
  <c r="Q309" i="16" s="1"/>
  <c r="Q308" i="16" s="1"/>
  <c r="Q307" i="16" s="1"/>
  <c r="Q306" i="16" s="1"/>
  <c r="Q305" i="16" s="1"/>
  <c r="Q304" i="16" s="1"/>
  <c r="Q303" i="16" s="1"/>
  <c r="Q302" i="16" s="1"/>
  <c r="Q301" i="16" s="1"/>
  <c r="Q300" i="16" s="1"/>
  <c r="Q299" i="16" s="1"/>
  <c r="Q298" i="16" s="1"/>
  <c r="Q297" i="16" s="1"/>
  <c r="Q296" i="16" s="1"/>
  <c r="Q295" i="16" s="1"/>
  <c r="Q294" i="16" s="1"/>
  <c r="Q293" i="16" s="1"/>
  <c r="Q292" i="16" s="1"/>
  <c r="Q291" i="16" s="1"/>
  <c r="Q290" i="16" s="1"/>
  <c r="Q289" i="16" s="1"/>
  <c r="Q288" i="16" s="1"/>
  <c r="Q287" i="16" s="1"/>
  <c r="Q286" i="16" s="1"/>
  <c r="Q285" i="16" s="1"/>
  <c r="Q284" i="16" s="1"/>
  <c r="Q283" i="16" s="1"/>
  <c r="Q282" i="16" s="1"/>
  <c r="Q281" i="16" s="1"/>
  <c r="Q280" i="16" s="1"/>
  <c r="Q279" i="16" s="1"/>
  <c r="Q278" i="16" s="1"/>
  <c r="Q277" i="16" s="1"/>
  <c r="Q276" i="16" s="1"/>
  <c r="Q275" i="16" s="1"/>
  <c r="Q274" i="16" s="1"/>
  <c r="Q273" i="16" s="1"/>
  <c r="Q272" i="16" s="1"/>
  <c r="Q271" i="16" s="1"/>
  <c r="Q270" i="16" s="1"/>
  <c r="Q269" i="16" s="1"/>
  <c r="Q268" i="16" s="1"/>
  <c r="Q267" i="16" s="1"/>
  <c r="Q266" i="16" s="1"/>
  <c r="Q265" i="16" s="1"/>
  <c r="Q264" i="16" s="1"/>
  <c r="Q263" i="16" s="1"/>
  <c r="Q262" i="16" s="1"/>
  <c r="Q261" i="16" s="1"/>
  <c r="Q260" i="16" s="1"/>
  <c r="Q259" i="16" s="1"/>
  <c r="Q258" i="16" s="1"/>
  <c r="Q257" i="16" s="1"/>
  <c r="Q256" i="16" s="1"/>
  <c r="Q255" i="16" s="1"/>
  <c r="Q254" i="16" s="1"/>
  <c r="Q253" i="16" s="1"/>
  <c r="Q252" i="16" s="1"/>
  <c r="Q251" i="16" s="1"/>
  <c r="Q250" i="16" s="1"/>
  <c r="Q249" i="16" s="1"/>
  <c r="Q248" i="16" s="1"/>
  <c r="Q247" i="16" s="1"/>
  <c r="Q246" i="16" s="1"/>
  <c r="Q245" i="16" s="1"/>
  <c r="Q244" i="16" s="1"/>
  <c r="Q243" i="16" s="1"/>
  <c r="Q242" i="16" s="1"/>
  <c r="Q241" i="16" s="1"/>
  <c r="Q240" i="16" s="1"/>
  <c r="Q239" i="16" s="1"/>
  <c r="Q238" i="16" s="1"/>
  <c r="Q237" i="16" s="1"/>
  <c r="Q236" i="16" s="1"/>
  <c r="Q235" i="16" s="1"/>
  <c r="Q234" i="16" s="1"/>
  <c r="Q233" i="16" s="1"/>
  <c r="Q232" i="16" s="1"/>
  <c r="Q231" i="16" s="1"/>
  <c r="Q230" i="16" s="1"/>
  <c r="Q229" i="16" s="1"/>
  <c r="Q228" i="16" s="1"/>
  <c r="Q227" i="16" s="1"/>
  <c r="Q226" i="16" s="1"/>
  <c r="Q225" i="16" s="1"/>
  <c r="Q224" i="16" s="1"/>
  <c r="Q223" i="16" s="1"/>
  <c r="Q222" i="16" s="1"/>
  <c r="Q221" i="16" s="1"/>
  <c r="Q220" i="16" s="1"/>
  <c r="Q219" i="16" s="1"/>
  <c r="Q218" i="16" s="1"/>
  <c r="Q217" i="16" s="1"/>
  <c r="Q216" i="16" s="1"/>
  <c r="Q215" i="16" s="1"/>
  <c r="Q214" i="16" s="1"/>
  <c r="Q213" i="16" s="1"/>
  <c r="Q212" i="16" s="1"/>
  <c r="Q211" i="16" s="1"/>
  <c r="Q210" i="16" s="1"/>
  <c r="Q209" i="16" s="1"/>
  <c r="Q208" i="16" s="1"/>
  <c r="Q207" i="16" s="1"/>
  <c r="Q206" i="16" s="1"/>
  <c r="Q205" i="16" s="1"/>
  <c r="Q204" i="16" s="1"/>
  <c r="Q203" i="16" s="1"/>
  <c r="Q202" i="16" s="1"/>
  <c r="Q201" i="16" s="1"/>
  <c r="Q200" i="16" s="1"/>
  <c r="Q199" i="16" s="1"/>
  <c r="Q198" i="16" s="1"/>
  <c r="Q197" i="16" s="1"/>
  <c r="Q196" i="16" s="1"/>
  <c r="Q195" i="16" s="1"/>
  <c r="Q194" i="16" s="1"/>
  <c r="Q193" i="16" s="1"/>
  <c r="Q192" i="16" s="1"/>
  <c r="Q191" i="16" s="1"/>
  <c r="Q190" i="16" s="1"/>
  <c r="Q189" i="16" s="1"/>
  <c r="Q188" i="16" s="1"/>
  <c r="Q187" i="16" s="1"/>
  <c r="Q186" i="16" s="1"/>
  <c r="Q185" i="16" s="1"/>
  <c r="Q184" i="16" s="1"/>
  <c r="Q183" i="16" s="1"/>
  <c r="Q182" i="16" s="1"/>
  <c r="Q181" i="16" s="1"/>
  <c r="Q180" i="16" s="1"/>
  <c r="Q179" i="16" s="1"/>
  <c r="Q178" i="16" s="1"/>
  <c r="Q177" i="16" s="1"/>
  <c r="Q176" i="16" s="1"/>
  <c r="Q175" i="16" s="1"/>
  <c r="Q174" i="16" s="1"/>
  <c r="Q173" i="16" s="1"/>
  <c r="Q172" i="16" s="1"/>
  <c r="Q171" i="16" s="1"/>
  <c r="Q170" i="16" s="1"/>
  <c r="Q169" i="16" s="1"/>
  <c r="Q168" i="16" s="1"/>
  <c r="Q167" i="16" s="1"/>
  <c r="Q166" i="16" s="1"/>
  <c r="Q165" i="16" s="1"/>
  <c r="Q164" i="16" s="1"/>
  <c r="Q163" i="16" s="1"/>
  <c r="Q162" i="16" s="1"/>
  <c r="Q161" i="16" s="1"/>
  <c r="Q160" i="16" s="1"/>
  <c r="Q159" i="16" s="1"/>
  <c r="Q158" i="16" s="1"/>
  <c r="Q157" i="16" s="1"/>
  <c r="Q156" i="16" s="1"/>
  <c r="Q155" i="16" s="1"/>
  <c r="Q154" i="16" s="1"/>
  <c r="Q153" i="16" s="1"/>
  <c r="Q152" i="16" s="1"/>
  <c r="Q151" i="16" s="1"/>
  <c r="Q150" i="16" s="1"/>
  <c r="Q149" i="16" s="1"/>
  <c r="Q148" i="16" s="1"/>
  <c r="Q147" i="16" s="1"/>
  <c r="Q146" i="16" s="1"/>
  <c r="Q145" i="16" s="1"/>
  <c r="Q144" i="16" s="1"/>
  <c r="Q143" i="16" s="1"/>
  <c r="Q142" i="16" s="1"/>
  <c r="Q141" i="16" s="1"/>
  <c r="Q140" i="16" s="1"/>
  <c r="Q139" i="16" s="1"/>
  <c r="Q138" i="16" s="1"/>
  <c r="Q137" i="16" s="1"/>
  <c r="Q136" i="16" s="1"/>
  <c r="Q135" i="16" s="1"/>
  <c r="Q134" i="16" s="1"/>
  <c r="Q133" i="16" s="1"/>
  <c r="Q132" i="16" s="1"/>
  <c r="Q131" i="16" s="1"/>
  <c r="Q130" i="16" s="1"/>
  <c r="Q129" i="16" s="1"/>
  <c r="Q128" i="16" s="1"/>
  <c r="Q127" i="16" s="1"/>
  <c r="Q126" i="16" s="1"/>
  <c r="Q125" i="16" s="1"/>
  <c r="Q124" i="16" s="1"/>
  <c r="Q123" i="16" s="1"/>
  <c r="Q122" i="16" s="1"/>
  <c r="Q121" i="16" s="1"/>
  <c r="Q120" i="16" s="1"/>
  <c r="Q119" i="16" s="1"/>
  <c r="Q118" i="16" s="1"/>
  <c r="Q117" i="16" s="1"/>
  <c r="Q116" i="16" s="1"/>
  <c r="Q115" i="16" s="1"/>
  <c r="Q114" i="16" s="1"/>
  <c r="Q113" i="16" s="1"/>
  <c r="Q112" i="16" s="1"/>
  <c r="Q111" i="16" s="1"/>
  <c r="Q110" i="16" s="1"/>
  <c r="Q109" i="16" s="1"/>
  <c r="Q108" i="16" s="1"/>
  <c r="Q107" i="16" s="1"/>
  <c r="Q106" i="16" s="1"/>
  <c r="Q105" i="16" s="1"/>
  <c r="Q104" i="16" s="1"/>
  <c r="Q103" i="16" s="1"/>
  <c r="Q102" i="16" s="1"/>
  <c r="Q101" i="16" s="1"/>
  <c r="Q100" i="16" s="1"/>
  <c r="Q99" i="16" s="1"/>
  <c r="Q98" i="16" s="1"/>
  <c r="Q97" i="16" s="1"/>
  <c r="Q96" i="16" s="1"/>
  <c r="Q95" i="16" s="1"/>
  <c r="Q94" i="16" s="1"/>
  <c r="Q93" i="16" s="1"/>
  <c r="Q92" i="16" s="1"/>
  <c r="Q91" i="16" s="1"/>
  <c r="Q90" i="16" s="1"/>
  <c r="Q89" i="16" s="1"/>
  <c r="Q88" i="16" s="1"/>
  <c r="Q87" i="16" s="1"/>
  <c r="Q86" i="16" s="1"/>
  <c r="Q85" i="16" s="1"/>
  <c r="Q84" i="16" s="1"/>
  <c r="Q83" i="16" s="1"/>
  <c r="Q82" i="16" s="1"/>
  <c r="Q81" i="16" s="1"/>
  <c r="Q80" i="16" s="1"/>
  <c r="Q79" i="16" s="1"/>
  <c r="Q78" i="16" s="1"/>
  <c r="Q77" i="16" s="1"/>
  <c r="Q76" i="16" s="1"/>
  <c r="Q75" i="16" s="1"/>
  <c r="Q74" i="16" s="1"/>
  <c r="Q73" i="16" s="1"/>
  <c r="Q72" i="16" s="1"/>
  <c r="Q71" i="16" s="1"/>
  <c r="Q70" i="16" s="1"/>
  <c r="Q69" i="16" s="1"/>
  <c r="Q68" i="16" s="1"/>
  <c r="Q67" i="16" s="1"/>
  <c r="Q66" i="16" s="1"/>
  <c r="Q65" i="16" s="1"/>
  <c r="Q64" i="16" s="1"/>
  <c r="Q63" i="16" s="1"/>
  <c r="Q62" i="16" s="1"/>
  <c r="Q61" i="16" s="1"/>
  <c r="Q60" i="16" s="1"/>
  <c r="Q59" i="16" s="1"/>
  <c r="Q58" i="16" s="1"/>
  <c r="Q57" i="16" s="1"/>
  <c r="Q56" i="16" s="1"/>
  <c r="Q55" i="16" s="1"/>
  <c r="Q54" i="16" s="1"/>
  <c r="Q53" i="16" s="1"/>
  <c r="Q52" i="16" s="1"/>
  <c r="Q51" i="16" s="1"/>
  <c r="Q50" i="16" s="1"/>
  <c r="Q49" i="16" s="1"/>
  <c r="Q48" i="16" s="1"/>
  <c r="Q47" i="16" s="1"/>
  <c r="Q46" i="16" s="1"/>
  <c r="Q45" i="16" s="1"/>
  <c r="Q44" i="16" s="1"/>
  <c r="Q43" i="16" s="1"/>
  <c r="Q42" i="16" s="1"/>
  <c r="Q41" i="16" s="1"/>
  <c r="Q40" i="16" s="1"/>
  <c r="Q39" i="16" s="1"/>
  <c r="Q38" i="16" s="1"/>
  <c r="Q37" i="16" s="1"/>
  <c r="Q36" i="16" s="1"/>
  <c r="Q35" i="16" s="1"/>
  <c r="Q34" i="16" s="1"/>
  <c r="Q33" i="16" s="1"/>
  <c r="Q32" i="16" s="1"/>
  <c r="Q31" i="16" s="1"/>
  <c r="Q30" i="16" s="1"/>
  <c r="Q29" i="16" s="1"/>
  <c r="Q28" i="16" s="1"/>
  <c r="Q27" i="16" s="1"/>
  <c r="Q26" i="16" s="1"/>
  <c r="Q25" i="16" s="1"/>
  <c r="Q24" i="16" s="1"/>
  <c r="Q23" i="16" s="1"/>
  <c r="Q22" i="16" s="1"/>
  <c r="Q21" i="16" s="1"/>
  <c r="Q20" i="16" s="1"/>
  <c r="Q19" i="16" s="1"/>
  <c r="Q18" i="16" s="1"/>
  <c r="Q17" i="16" s="1"/>
  <c r="Q16" i="16" s="1"/>
  <c r="Q15" i="16" s="1"/>
  <c r="Q14" i="16" s="1"/>
  <c r="Q13" i="16" s="1"/>
  <c r="Q12" i="16" s="1"/>
  <c r="Q11" i="16" s="1"/>
  <c r="Q10" i="16" s="1"/>
  <c r="Q9" i="16" s="1"/>
  <c r="Q8" i="16" s="1"/>
  <c r="Q7" i="16" s="1"/>
  <c r="Q6" i="16" s="1"/>
  <c r="Q5" i="16" s="1"/>
  <c r="Q4" i="16" s="1"/>
  <c r="Q3" i="16" s="1"/>
  <c r="T363" i="16"/>
  <c r="G363" i="16"/>
  <c r="O363" i="16"/>
  <c r="H362" i="10"/>
  <c r="H361" i="10" s="1"/>
  <c r="H360" i="10" s="1"/>
  <c r="H359" i="10" s="1"/>
  <c r="H358" i="10" s="1"/>
  <c r="H357" i="10" s="1"/>
  <c r="H356" i="10" s="1"/>
  <c r="H355" i="10" s="1"/>
  <c r="H354" i="10" s="1"/>
  <c r="H353" i="10" s="1"/>
  <c r="H352" i="10" s="1"/>
  <c r="H351" i="10" s="1"/>
  <c r="H350" i="10" s="1"/>
  <c r="H349" i="10" s="1"/>
  <c r="H348" i="10" s="1"/>
  <c r="H347" i="10" s="1"/>
  <c r="H346" i="10" s="1"/>
  <c r="H345" i="10" s="1"/>
  <c r="H344" i="10" s="1"/>
  <c r="H343" i="10" s="1"/>
  <c r="H342" i="10" s="1"/>
  <c r="H341" i="10" s="1"/>
  <c r="H340" i="10" s="1"/>
  <c r="H339" i="10" s="1"/>
  <c r="H338" i="10" s="1"/>
  <c r="H337" i="10" s="1"/>
  <c r="H336" i="10" s="1"/>
  <c r="H335" i="10" s="1"/>
  <c r="H334" i="10" s="1"/>
  <c r="H333" i="10" s="1"/>
  <c r="H332" i="10" s="1"/>
  <c r="H331" i="10" s="1"/>
  <c r="H330" i="10" s="1"/>
  <c r="H329" i="10" s="1"/>
  <c r="H328" i="10" s="1"/>
  <c r="H327" i="10" s="1"/>
  <c r="H326" i="10" s="1"/>
  <c r="H325" i="10" s="1"/>
  <c r="H324" i="10" s="1"/>
  <c r="H323" i="10" s="1"/>
  <c r="H322" i="10" s="1"/>
  <c r="H321" i="10" s="1"/>
  <c r="H320" i="10" s="1"/>
  <c r="H319" i="10" s="1"/>
  <c r="H318" i="10" s="1"/>
  <c r="H317" i="10" s="1"/>
  <c r="H316" i="10" s="1"/>
  <c r="H315" i="10" s="1"/>
  <c r="H314" i="10" s="1"/>
  <c r="H313" i="10" s="1"/>
  <c r="H312" i="10" s="1"/>
  <c r="H311" i="10" s="1"/>
  <c r="H310" i="10" s="1"/>
  <c r="H309" i="10" s="1"/>
  <c r="H308" i="10" s="1"/>
  <c r="H307" i="10" s="1"/>
  <c r="H306" i="10" s="1"/>
  <c r="H305" i="10" s="1"/>
  <c r="H304" i="10" s="1"/>
  <c r="H303" i="10" s="1"/>
  <c r="H302" i="10" s="1"/>
  <c r="H301" i="10" s="1"/>
  <c r="H300" i="10" s="1"/>
  <c r="H299" i="10" s="1"/>
  <c r="H298" i="10" s="1"/>
  <c r="H297" i="10" s="1"/>
  <c r="H296" i="10" s="1"/>
  <c r="H295" i="10" s="1"/>
  <c r="H294" i="10" s="1"/>
  <c r="H293" i="10" s="1"/>
  <c r="H292" i="10" s="1"/>
  <c r="H291" i="10" s="1"/>
  <c r="H290" i="10" s="1"/>
  <c r="H289" i="10" s="1"/>
  <c r="H288" i="10" s="1"/>
  <c r="H287" i="10" s="1"/>
  <c r="H286" i="10" s="1"/>
  <c r="H285" i="10" s="1"/>
  <c r="H284" i="10" s="1"/>
  <c r="H283" i="10" s="1"/>
  <c r="H282" i="10" s="1"/>
  <c r="H281" i="10" s="1"/>
  <c r="H280" i="10" s="1"/>
  <c r="H279" i="10" s="1"/>
  <c r="H278" i="10" s="1"/>
  <c r="H277" i="10" s="1"/>
  <c r="H276" i="10" s="1"/>
  <c r="H275" i="10" s="1"/>
  <c r="H274" i="10" s="1"/>
  <c r="H273" i="10" s="1"/>
  <c r="H272" i="10" s="1"/>
  <c r="H271" i="10" s="1"/>
  <c r="H270" i="10" s="1"/>
  <c r="H269" i="10" s="1"/>
  <c r="H268" i="10" s="1"/>
  <c r="H267" i="10" s="1"/>
  <c r="H266" i="10" s="1"/>
  <c r="H265" i="10" s="1"/>
  <c r="H264" i="10" s="1"/>
  <c r="H263" i="10" s="1"/>
  <c r="H262" i="10" s="1"/>
  <c r="H261" i="10" s="1"/>
  <c r="H260" i="10" s="1"/>
  <c r="H259" i="10" s="1"/>
  <c r="H258" i="10" s="1"/>
  <c r="H257" i="10" s="1"/>
  <c r="H256" i="10" s="1"/>
  <c r="H255" i="10" s="1"/>
  <c r="H254" i="10" s="1"/>
  <c r="H253" i="10" s="1"/>
  <c r="H252" i="10" s="1"/>
  <c r="H251" i="10" s="1"/>
  <c r="H250" i="10" s="1"/>
  <c r="H249" i="10" s="1"/>
  <c r="H248" i="10" s="1"/>
  <c r="H247" i="10" s="1"/>
  <c r="H246" i="10" s="1"/>
  <c r="H245" i="10" s="1"/>
  <c r="H244" i="10" s="1"/>
  <c r="H243" i="10" s="1"/>
  <c r="H242" i="10" s="1"/>
  <c r="H241" i="10" s="1"/>
  <c r="H240" i="10" s="1"/>
  <c r="H239" i="10" s="1"/>
  <c r="H238" i="10" s="1"/>
  <c r="H237" i="10" s="1"/>
  <c r="H236" i="10" s="1"/>
  <c r="H235" i="10" s="1"/>
  <c r="H234" i="10" s="1"/>
  <c r="H233" i="10" s="1"/>
  <c r="H232" i="10" s="1"/>
  <c r="H231" i="10" s="1"/>
  <c r="H230" i="10" s="1"/>
  <c r="H229" i="10" s="1"/>
  <c r="H228" i="10" s="1"/>
  <c r="H227" i="10" s="1"/>
  <c r="H226" i="10" s="1"/>
  <c r="H225" i="10" s="1"/>
  <c r="H224" i="10" s="1"/>
  <c r="H223" i="10" s="1"/>
  <c r="H222" i="10" s="1"/>
  <c r="H221" i="10" s="1"/>
  <c r="H220" i="10" s="1"/>
  <c r="H219" i="10" s="1"/>
  <c r="H218" i="10" s="1"/>
  <c r="H217" i="10" s="1"/>
  <c r="H216" i="10" s="1"/>
  <c r="H215" i="10" s="1"/>
  <c r="H214" i="10" s="1"/>
  <c r="H213" i="10" s="1"/>
  <c r="H212" i="10" s="1"/>
  <c r="H211" i="10" s="1"/>
  <c r="H210" i="10" s="1"/>
  <c r="H209" i="10" s="1"/>
  <c r="H208" i="10" s="1"/>
  <c r="H207" i="10" s="1"/>
  <c r="H206" i="10" s="1"/>
  <c r="H205" i="10" s="1"/>
  <c r="H204" i="10" s="1"/>
  <c r="H203" i="10" s="1"/>
  <c r="H202" i="10" s="1"/>
  <c r="H201" i="10" s="1"/>
  <c r="H200" i="10" s="1"/>
  <c r="H199" i="10" s="1"/>
  <c r="H198" i="10" s="1"/>
  <c r="H197" i="10" s="1"/>
  <c r="H196" i="10" s="1"/>
  <c r="H195" i="10" s="1"/>
  <c r="H194" i="10" s="1"/>
  <c r="H193" i="10" s="1"/>
  <c r="H192" i="10" s="1"/>
  <c r="H191" i="10" s="1"/>
  <c r="H190" i="10" s="1"/>
  <c r="H189" i="10" s="1"/>
  <c r="H188" i="10" s="1"/>
  <c r="H187" i="10" s="1"/>
  <c r="H186" i="10" s="1"/>
  <c r="H185" i="10" s="1"/>
  <c r="H184" i="10" s="1"/>
  <c r="H183" i="10" s="1"/>
  <c r="H182" i="10" s="1"/>
  <c r="H181" i="10" s="1"/>
  <c r="H180" i="10" s="1"/>
  <c r="H179" i="10" s="1"/>
  <c r="H178" i="10" s="1"/>
  <c r="H177" i="10" s="1"/>
  <c r="H176" i="10" s="1"/>
  <c r="H175" i="10" s="1"/>
  <c r="H174" i="10" s="1"/>
  <c r="H173" i="10" s="1"/>
  <c r="H172" i="10" s="1"/>
  <c r="H171" i="10" s="1"/>
  <c r="H170" i="10" s="1"/>
  <c r="H169" i="10" s="1"/>
  <c r="H168" i="10" s="1"/>
  <c r="H167" i="10" s="1"/>
  <c r="H166" i="10" s="1"/>
  <c r="H165" i="10" s="1"/>
  <c r="H164" i="10" s="1"/>
  <c r="H163" i="10" s="1"/>
  <c r="H162" i="10" s="1"/>
  <c r="H161" i="10" s="1"/>
  <c r="H160" i="10" s="1"/>
  <c r="H159" i="10" s="1"/>
  <c r="H158" i="10" s="1"/>
  <c r="H157" i="10" s="1"/>
  <c r="H156" i="10" s="1"/>
  <c r="H155" i="10" s="1"/>
  <c r="H154" i="10" s="1"/>
  <c r="H153" i="10" s="1"/>
  <c r="H152" i="10" s="1"/>
  <c r="H151" i="10" s="1"/>
  <c r="H150" i="10" s="1"/>
  <c r="H149" i="10" s="1"/>
  <c r="H148" i="10" s="1"/>
  <c r="H147" i="10" s="1"/>
  <c r="H146" i="10" s="1"/>
  <c r="H145" i="10" s="1"/>
  <c r="H144" i="10" s="1"/>
  <c r="H143" i="10" s="1"/>
  <c r="H142" i="10" s="1"/>
  <c r="H141" i="10" s="1"/>
  <c r="H140" i="10" s="1"/>
  <c r="H139" i="10" s="1"/>
  <c r="H138" i="10" s="1"/>
  <c r="H137" i="10" s="1"/>
  <c r="H136" i="10" s="1"/>
  <c r="H135" i="10" s="1"/>
  <c r="H134" i="10" s="1"/>
  <c r="H133" i="10" s="1"/>
  <c r="H132" i="10" s="1"/>
  <c r="H131" i="10" s="1"/>
  <c r="H130" i="10" s="1"/>
  <c r="H129" i="10" s="1"/>
  <c r="H128" i="10" s="1"/>
  <c r="H127" i="10" s="1"/>
  <c r="H126" i="10" s="1"/>
  <c r="H125" i="10" s="1"/>
  <c r="H124" i="10" s="1"/>
  <c r="H123" i="10" s="1"/>
  <c r="H122" i="10" s="1"/>
  <c r="H121" i="10" s="1"/>
  <c r="H120" i="10" s="1"/>
  <c r="H119" i="10" s="1"/>
  <c r="H118" i="10" s="1"/>
  <c r="H117" i="10" s="1"/>
  <c r="H116" i="10" s="1"/>
  <c r="H115" i="10" s="1"/>
  <c r="H114" i="10" s="1"/>
  <c r="H113" i="10" s="1"/>
  <c r="H112" i="10" s="1"/>
  <c r="H111" i="10" s="1"/>
  <c r="H110" i="10" s="1"/>
  <c r="H109" i="10" s="1"/>
  <c r="H108" i="10" s="1"/>
  <c r="H107" i="10" s="1"/>
  <c r="H106" i="10" s="1"/>
  <c r="H105" i="10" s="1"/>
  <c r="H104" i="10" s="1"/>
  <c r="H103" i="10" s="1"/>
  <c r="H102" i="10" s="1"/>
  <c r="H101" i="10" s="1"/>
  <c r="H100" i="10" s="1"/>
  <c r="H99" i="10" s="1"/>
  <c r="H98" i="10" s="1"/>
  <c r="H97" i="10" s="1"/>
  <c r="H96" i="10" s="1"/>
  <c r="H95" i="10" s="1"/>
  <c r="H94" i="10" s="1"/>
  <c r="H93" i="10" s="1"/>
  <c r="H92" i="10" s="1"/>
  <c r="H91" i="10" s="1"/>
  <c r="H90" i="10" s="1"/>
  <c r="H89" i="10" s="1"/>
  <c r="H88" i="10" s="1"/>
  <c r="H87" i="10" s="1"/>
  <c r="H86" i="10" s="1"/>
  <c r="H85" i="10" s="1"/>
  <c r="H84" i="10" s="1"/>
  <c r="H83" i="10" s="1"/>
  <c r="H82" i="10" s="1"/>
  <c r="H81" i="10" s="1"/>
  <c r="H80" i="10" s="1"/>
  <c r="H79" i="10" s="1"/>
  <c r="H78" i="10" s="1"/>
  <c r="H77" i="10" s="1"/>
  <c r="H76" i="10" s="1"/>
  <c r="H75" i="10" s="1"/>
  <c r="H74" i="10" s="1"/>
  <c r="H73" i="10" s="1"/>
  <c r="H72" i="10" s="1"/>
  <c r="H71" i="10" s="1"/>
  <c r="H70" i="10" s="1"/>
  <c r="H69" i="10" s="1"/>
  <c r="H68" i="10" s="1"/>
  <c r="H67" i="10" s="1"/>
  <c r="H66" i="10" s="1"/>
  <c r="H65" i="10" s="1"/>
  <c r="H64" i="10" s="1"/>
  <c r="H63" i="10" s="1"/>
  <c r="H62" i="10" s="1"/>
  <c r="H61" i="10" s="1"/>
  <c r="H60" i="10" s="1"/>
  <c r="H59" i="10" s="1"/>
  <c r="H58" i="10" s="1"/>
  <c r="H57" i="10" s="1"/>
  <c r="H56" i="10" s="1"/>
  <c r="H55" i="10" s="1"/>
  <c r="H54" i="10" s="1"/>
  <c r="H53" i="10" s="1"/>
  <c r="H52" i="10" s="1"/>
  <c r="H51" i="10" s="1"/>
  <c r="H50" i="10" s="1"/>
  <c r="H49" i="10" s="1"/>
  <c r="H48" i="10" s="1"/>
  <c r="H47" i="10" s="1"/>
  <c r="H46" i="10" s="1"/>
  <c r="H45" i="10" s="1"/>
  <c r="H44" i="10" s="1"/>
  <c r="H43" i="10" s="1"/>
  <c r="H42" i="10" s="1"/>
  <c r="H41" i="10" s="1"/>
  <c r="H40" i="10" s="1"/>
  <c r="H39" i="10" s="1"/>
  <c r="H38" i="10" s="1"/>
  <c r="H37" i="10" s="1"/>
  <c r="H36" i="10" s="1"/>
  <c r="H35" i="10" s="1"/>
  <c r="H34" i="10" s="1"/>
  <c r="H33" i="10" s="1"/>
  <c r="H32" i="10" s="1"/>
  <c r="H31" i="10" s="1"/>
  <c r="H30" i="10" s="1"/>
  <c r="H29" i="10" s="1"/>
  <c r="H28" i="10" s="1"/>
  <c r="H27" i="10" s="1"/>
  <c r="H26" i="10" s="1"/>
  <c r="H25" i="10" s="1"/>
  <c r="H24" i="10" s="1"/>
  <c r="H23" i="10" s="1"/>
  <c r="H22" i="10" s="1"/>
  <c r="H21" i="10" s="1"/>
  <c r="H20" i="10" s="1"/>
  <c r="H19" i="10" s="1"/>
  <c r="H18" i="10" s="1"/>
  <c r="H17" i="10" s="1"/>
  <c r="H16" i="10" s="1"/>
  <c r="H15" i="10" s="1"/>
  <c r="H14" i="10" s="1"/>
  <c r="H13" i="10" s="1"/>
  <c r="H12" i="10" s="1"/>
  <c r="H11" i="10" s="1"/>
  <c r="H10" i="10" s="1"/>
  <c r="H9" i="10" s="1"/>
  <c r="H8" i="10" s="1"/>
  <c r="H7" i="10" s="1"/>
  <c r="H6" i="10" s="1"/>
  <c r="H5" i="10" s="1"/>
  <c r="H4" i="10" s="1"/>
  <c r="H3" i="10" s="1"/>
  <c r="I363" i="10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I23" i="10" s="1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I6" i="10" s="1"/>
  <c r="I5" i="10" s="1"/>
  <c r="I4" i="10" s="1"/>
  <c r="I3" i="10" s="1"/>
  <c r="F362" i="10"/>
  <c r="F361" i="10" s="1"/>
  <c r="F360" i="10" s="1"/>
  <c r="F359" i="10" s="1"/>
  <c r="F358" i="10" s="1"/>
  <c r="F357" i="10" s="1"/>
  <c r="F356" i="10" s="1"/>
  <c r="F355" i="10" s="1"/>
  <c r="F354" i="10" s="1"/>
  <c r="F353" i="10" s="1"/>
  <c r="F352" i="10" s="1"/>
  <c r="F351" i="10" s="1"/>
  <c r="F350" i="10" s="1"/>
  <c r="F349" i="10" s="1"/>
  <c r="F348" i="10" s="1"/>
  <c r="F347" i="10" s="1"/>
  <c r="F346" i="10" s="1"/>
  <c r="F345" i="10" s="1"/>
  <c r="F344" i="10" s="1"/>
  <c r="F343" i="10" s="1"/>
  <c r="F342" i="10" s="1"/>
  <c r="F341" i="10" s="1"/>
  <c r="F340" i="10" s="1"/>
  <c r="F339" i="10" s="1"/>
  <c r="F338" i="10" s="1"/>
  <c r="F337" i="10" s="1"/>
  <c r="F336" i="10" s="1"/>
  <c r="F335" i="10" s="1"/>
  <c r="F334" i="10" s="1"/>
  <c r="F333" i="10" s="1"/>
  <c r="F332" i="10" s="1"/>
  <c r="F331" i="10" s="1"/>
  <c r="F330" i="10" s="1"/>
  <c r="F329" i="10" s="1"/>
  <c r="F328" i="10" s="1"/>
  <c r="F327" i="10" s="1"/>
  <c r="F326" i="10" s="1"/>
  <c r="F325" i="10" s="1"/>
  <c r="F324" i="10" s="1"/>
  <c r="F323" i="10" s="1"/>
  <c r="F322" i="10" s="1"/>
  <c r="F321" i="10" s="1"/>
  <c r="F320" i="10" s="1"/>
  <c r="F319" i="10" s="1"/>
  <c r="F318" i="10" s="1"/>
  <c r="F317" i="10" s="1"/>
  <c r="F316" i="10" s="1"/>
  <c r="F315" i="10" s="1"/>
  <c r="F314" i="10" s="1"/>
  <c r="F313" i="10" s="1"/>
  <c r="F312" i="10" s="1"/>
  <c r="F311" i="10" s="1"/>
  <c r="F310" i="10" s="1"/>
  <c r="F309" i="10" s="1"/>
  <c r="F308" i="10" s="1"/>
  <c r="F307" i="10" s="1"/>
  <c r="F306" i="10" s="1"/>
  <c r="F305" i="10" s="1"/>
  <c r="F304" i="10" s="1"/>
  <c r="F303" i="10" s="1"/>
  <c r="F302" i="10" s="1"/>
  <c r="F301" i="10" s="1"/>
  <c r="F300" i="10" s="1"/>
  <c r="F299" i="10" s="1"/>
  <c r="F298" i="10" s="1"/>
  <c r="F297" i="10" s="1"/>
  <c r="F296" i="10" s="1"/>
  <c r="F295" i="10" s="1"/>
  <c r="F294" i="10" s="1"/>
  <c r="F293" i="10" s="1"/>
  <c r="F292" i="10" s="1"/>
  <c r="F291" i="10" s="1"/>
  <c r="F290" i="10" s="1"/>
  <c r="F289" i="10" s="1"/>
  <c r="F288" i="10" s="1"/>
  <c r="F287" i="10" s="1"/>
  <c r="F286" i="10" s="1"/>
  <c r="F285" i="10" s="1"/>
  <c r="F284" i="10" s="1"/>
  <c r="F283" i="10" s="1"/>
  <c r="F282" i="10" s="1"/>
  <c r="F281" i="10" s="1"/>
  <c r="F280" i="10" s="1"/>
  <c r="F279" i="10" s="1"/>
  <c r="F278" i="10" s="1"/>
  <c r="F277" i="10" s="1"/>
  <c r="F276" i="10" s="1"/>
  <c r="F275" i="10" s="1"/>
  <c r="F274" i="10" s="1"/>
  <c r="F273" i="10" s="1"/>
  <c r="F272" i="10" s="1"/>
  <c r="F271" i="10" s="1"/>
  <c r="F270" i="10" s="1"/>
  <c r="F269" i="10" s="1"/>
  <c r="F268" i="10" s="1"/>
  <c r="F267" i="10" s="1"/>
  <c r="F266" i="10" s="1"/>
  <c r="F265" i="10" s="1"/>
  <c r="F264" i="10" s="1"/>
  <c r="F263" i="10" s="1"/>
  <c r="F262" i="10" s="1"/>
  <c r="F261" i="10" s="1"/>
  <c r="F260" i="10" s="1"/>
  <c r="F259" i="10" s="1"/>
  <c r="F258" i="10" s="1"/>
  <c r="F257" i="10" s="1"/>
  <c r="F256" i="10" s="1"/>
  <c r="F255" i="10" s="1"/>
  <c r="F254" i="10" s="1"/>
  <c r="F253" i="10" s="1"/>
  <c r="F252" i="10" s="1"/>
  <c r="F251" i="10" s="1"/>
  <c r="F250" i="10" s="1"/>
  <c r="F249" i="10" s="1"/>
  <c r="F248" i="10" s="1"/>
  <c r="F247" i="10" s="1"/>
  <c r="F246" i="10" s="1"/>
  <c r="F245" i="10" s="1"/>
  <c r="F244" i="10" s="1"/>
  <c r="F243" i="10" s="1"/>
  <c r="F242" i="10" s="1"/>
  <c r="F241" i="10" s="1"/>
  <c r="F240" i="10" s="1"/>
  <c r="F239" i="10" s="1"/>
  <c r="F238" i="10" s="1"/>
  <c r="F237" i="10" s="1"/>
  <c r="F236" i="10" s="1"/>
  <c r="F235" i="10" s="1"/>
  <c r="F234" i="10" s="1"/>
  <c r="F233" i="10" s="1"/>
  <c r="F232" i="10" s="1"/>
  <c r="F231" i="10" s="1"/>
  <c r="F230" i="10" s="1"/>
  <c r="F229" i="10" s="1"/>
  <c r="F228" i="10" s="1"/>
  <c r="F227" i="10" s="1"/>
  <c r="F226" i="10" s="1"/>
  <c r="F225" i="10" s="1"/>
  <c r="F224" i="10" s="1"/>
  <c r="F223" i="10" s="1"/>
  <c r="F222" i="10" s="1"/>
  <c r="F221" i="10" s="1"/>
  <c r="F220" i="10" s="1"/>
  <c r="F219" i="10" s="1"/>
  <c r="F218" i="10" s="1"/>
  <c r="F217" i="10" s="1"/>
  <c r="F216" i="10" s="1"/>
  <c r="F215" i="10" s="1"/>
  <c r="F214" i="10" s="1"/>
  <c r="F213" i="10" s="1"/>
  <c r="F212" i="10" s="1"/>
  <c r="F211" i="10" s="1"/>
  <c r="F210" i="10" s="1"/>
  <c r="F209" i="10" s="1"/>
  <c r="F208" i="10" s="1"/>
  <c r="F207" i="10" s="1"/>
  <c r="F206" i="10" s="1"/>
  <c r="F205" i="10" s="1"/>
  <c r="F204" i="10" s="1"/>
  <c r="F203" i="10" s="1"/>
  <c r="F202" i="10" s="1"/>
  <c r="F201" i="10" s="1"/>
  <c r="F200" i="10" s="1"/>
  <c r="F199" i="10" s="1"/>
  <c r="F198" i="10" s="1"/>
  <c r="F197" i="10" s="1"/>
  <c r="F196" i="10" s="1"/>
  <c r="F195" i="10" s="1"/>
  <c r="F194" i="10" s="1"/>
  <c r="F193" i="10" s="1"/>
  <c r="F192" i="10" s="1"/>
  <c r="F191" i="10" s="1"/>
  <c r="F190" i="10" s="1"/>
  <c r="F189" i="10" s="1"/>
  <c r="F188" i="10" s="1"/>
  <c r="F187" i="10" s="1"/>
  <c r="F186" i="10" s="1"/>
  <c r="F185" i="10" s="1"/>
  <c r="F184" i="10" s="1"/>
  <c r="F183" i="10" s="1"/>
  <c r="F182" i="10" s="1"/>
  <c r="F181" i="10" s="1"/>
  <c r="F180" i="10" s="1"/>
  <c r="F179" i="10" s="1"/>
  <c r="F178" i="10" s="1"/>
  <c r="F177" i="10" s="1"/>
  <c r="F176" i="10" s="1"/>
  <c r="F175" i="10" s="1"/>
  <c r="F174" i="10" s="1"/>
  <c r="F173" i="10" s="1"/>
  <c r="F172" i="10" s="1"/>
  <c r="F171" i="10" s="1"/>
  <c r="F170" i="10" s="1"/>
  <c r="F169" i="10" s="1"/>
  <c r="F168" i="10" s="1"/>
  <c r="F167" i="10" s="1"/>
  <c r="F166" i="10" s="1"/>
  <c r="F165" i="10" s="1"/>
  <c r="F164" i="10" s="1"/>
  <c r="F163" i="10" s="1"/>
  <c r="F162" i="10" s="1"/>
  <c r="F161" i="10" s="1"/>
  <c r="F160" i="10" s="1"/>
  <c r="F159" i="10" s="1"/>
  <c r="F158" i="10" s="1"/>
  <c r="F157" i="10" s="1"/>
  <c r="F156" i="10" s="1"/>
  <c r="F155" i="10" s="1"/>
  <c r="F154" i="10" s="1"/>
  <c r="F153" i="10" s="1"/>
  <c r="F152" i="10" s="1"/>
  <c r="F151" i="10" s="1"/>
  <c r="F150" i="10" s="1"/>
  <c r="F149" i="10" s="1"/>
  <c r="F148" i="10" s="1"/>
  <c r="F147" i="10" s="1"/>
  <c r="F146" i="10" s="1"/>
  <c r="F145" i="10" s="1"/>
  <c r="F144" i="10" s="1"/>
  <c r="F143" i="10" s="1"/>
  <c r="F142" i="10" s="1"/>
  <c r="F141" i="10" s="1"/>
  <c r="F140" i="10" s="1"/>
  <c r="F139" i="10" s="1"/>
  <c r="F138" i="10" s="1"/>
  <c r="F137" i="10" s="1"/>
  <c r="F136" i="10" s="1"/>
  <c r="F135" i="10" s="1"/>
  <c r="F134" i="10" s="1"/>
  <c r="F133" i="10" s="1"/>
  <c r="F132" i="10" s="1"/>
  <c r="F131" i="10" s="1"/>
  <c r="F130" i="10" s="1"/>
  <c r="F129" i="10" s="1"/>
  <c r="F128" i="10" s="1"/>
  <c r="F127" i="10" s="1"/>
  <c r="F126" i="10" s="1"/>
  <c r="F125" i="10" s="1"/>
  <c r="F124" i="10" s="1"/>
  <c r="F123" i="10" s="1"/>
  <c r="F122" i="10" s="1"/>
  <c r="F121" i="10" s="1"/>
  <c r="F120" i="10" s="1"/>
  <c r="F119" i="10" s="1"/>
  <c r="F118" i="10" s="1"/>
  <c r="F117" i="10" s="1"/>
  <c r="F116" i="10" s="1"/>
  <c r="F115" i="10" s="1"/>
  <c r="F114" i="10" s="1"/>
  <c r="F113" i="10" s="1"/>
  <c r="F112" i="10" s="1"/>
  <c r="F111" i="10" s="1"/>
  <c r="F110" i="10" s="1"/>
  <c r="F109" i="10" s="1"/>
  <c r="F108" i="10" s="1"/>
  <c r="F107" i="10" s="1"/>
  <c r="F106" i="10" s="1"/>
  <c r="F105" i="10" s="1"/>
  <c r="F104" i="10" s="1"/>
  <c r="F103" i="10" s="1"/>
  <c r="F102" i="10" s="1"/>
  <c r="F101" i="10" s="1"/>
  <c r="F100" i="10" s="1"/>
  <c r="F99" i="10" s="1"/>
  <c r="F98" i="10" s="1"/>
  <c r="F97" i="10" s="1"/>
  <c r="F96" i="10" s="1"/>
  <c r="F95" i="10" s="1"/>
  <c r="F94" i="10" s="1"/>
  <c r="F93" i="10" s="1"/>
  <c r="F92" i="10" s="1"/>
  <c r="F91" i="10" s="1"/>
  <c r="F90" i="10" s="1"/>
  <c r="F89" i="10" s="1"/>
  <c r="F88" i="10" s="1"/>
  <c r="F87" i="10" s="1"/>
  <c r="F86" i="10" s="1"/>
  <c r="F85" i="10" s="1"/>
  <c r="F84" i="10" s="1"/>
  <c r="F83" i="10" s="1"/>
  <c r="F82" i="10" s="1"/>
  <c r="F81" i="10" s="1"/>
  <c r="F80" i="10" s="1"/>
  <c r="F79" i="10" s="1"/>
  <c r="F78" i="10" s="1"/>
  <c r="F77" i="10" s="1"/>
  <c r="F76" i="10" s="1"/>
  <c r="F75" i="10" s="1"/>
  <c r="F74" i="10" s="1"/>
  <c r="F73" i="10" s="1"/>
  <c r="F72" i="10" s="1"/>
  <c r="F71" i="10" s="1"/>
  <c r="F70" i="10" s="1"/>
  <c r="F69" i="10" s="1"/>
  <c r="F68" i="10" s="1"/>
  <c r="F67" i="10" s="1"/>
  <c r="F66" i="10" s="1"/>
  <c r="F65" i="10" s="1"/>
  <c r="F64" i="10" s="1"/>
  <c r="F63" i="10" s="1"/>
  <c r="F62" i="10" s="1"/>
  <c r="F61" i="10" s="1"/>
  <c r="F60" i="10" s="1"/>
  <c r="F59" i="10" s="1"/>
  <c r="F58" i="10" s="1"/>
  <c r="F57" i="10" s="1"/>
  <c r="F56" i="10" s="1"/>
  <c r="F55" i="10" s="1"/>
  <c r="F54" i="10" s="1"/>
  <c r="F53" i="10" s="1"/>
  <c r="F52" i="10" s="1"/>
  <c r="F51" i="10" s="1"/>
  <c r="F50" i="10" s="1"/>
  <c r="F49" i="10" s="1"/>
  <c r="F48" i="10" s="1"/>
  <c r="F47" i="10" s="1"/>
  <c r="F46" i="10" s="1"/>
  <c r="F45" i="10" s="1"/>
  <c r="F44" i="10" s="1"/>
  <c r="F43" i="10" s="1"/>
  <c r="F42" i="10" s="1"/>
  <c r="F41" i="10" s="1"/>
  <c r="F40" i="10" s="1"/>
  <c r="F39" i="10" s="1"/>
  <c r="F38" i="10" s="1"/>
  <c r="F37" i="10" s="1"/>
  <c r="F36" i="10" s="1"/>
  <c r="F35" i="10" s="1"/>
  <c r="F34" i="10" s="1"/>
  <c r="F33" i="10" s="1"/>
  <c r="F32" i="10" s="1"/>
  <c r="F31" i="10" s="1"/>
  <c r="F30" i="10" s="1"/>
  <c r="F29" i="10" s="1"/>
  <c r="F28" i="10" s="1"/>
  <c r="F27" i="10" s="1"/>
  <c r="F26" i="10" s="1"/>
  <c r="F25" i="10" s="1"/>
  <c r="F24" i="10" s="1"/>
  <c r="F23" i="10" s="1"/>
  <c r="F22" i="10" s="1"/>
  <c r="F21" i="10" s="1"/>
  <c r="F20" i="10" s="1"/>
  <c r="F19" i="10" s="1"/>
  <c r="F18" i="10" s="1"/>
  <c r="F17" i="10" s="1"/>
  <c r="F16" i="10" s="1"/>
  <c r="F15" i="10" s="1"/>
  <c r="F14" i="10" s="1"/>
  <c r="F13" i="10" s="1"/>
  <c r="F12" i="10" s="1"/>
  <c r="F11" i="10" s="1"/>
  <c r="F10" i="10" s="1"/>
  <c r="F9" i="10" s="1"/>
  <c r="F8" i="10" s="1"/>
  <c r="F7" i="10" s="1"/>
  <c r="F6" i="10" s="1"/>
  <c r="F5" i="10" s="1"/>
  <c r="F4" i="10" s="1"/>
  <c r="F3" i="10" s="1"/>
  <c r="I363" i="13"/>
  <c r="F362" i="13"/>
  <c r="F361" i="13" s="1"/>
  <c r="F360" i="13" s="1"/>
  <c r="F359" i="13" s="1"/>
  <c r="F358" i="13" s="1"/>
  <c r="F357" i="13" s="1"/>
  <c r="F356" i="13" s="1"/>
  <c r="F355" i="13" s="1"/>
  <c r="F354" i="13" s="1"/>
  <c r="F353" i="13" s="1"/>
  <c r="F352" i="13" s="1"/>
  <c r="F351" i="13" s="1"/>
  <c r="F350" i="13" s="1"/>
  <c r="F349" i="13" s="1"/>
  <c r="F348" i="13" s="1"/>
  <c r="F347" i="13" s="1"/>
  <c r="F346" i="13" s="1"/>
  <c r="F345" i="13" s="1"/>
  <c r="F344" i="13" s="1"/>
  <c r="F343" i="13" s="1"/>
  <c r="F342" i="13" s="1"/>
  <c r="F341" i="13" s="1"/>
  <c r="F340" i="13" s="1"/>
  <c r="F339" i="13" s="1"/>
  <c r="F338" i="13" s="1"/>
  <c r="F337" i="13" s="1"/>
  <c r="F336" i="13" s="1"/>
  <c r="F335" i="13" s="1"/>
  <c r="F334" i="13" s="1"/>
  <c r="F333" i="13" s="1"/>
  <c r="F332" i="13" s="1"/>
  <c r="F331" i="13" s="1"/>
  <c r="F330" i="13" s="1"/>
  <c r="F329" i="13" s="1"/>
  <c r="F328" i="13" s="1"/>
  <c r="F327" i="13" s="1"/>
  <c r="F326" i="13" s="1"/>
  <c r="F325" i="13" s="1"/>
  <c r="F324" i="13" s="1"/>
  <c r="F323" i="13" s="1"/>
  <c r="F322" i="13" s="1"/>
  <c r="F321" i="13" s="1"/>
  <c r="F320" i="13" s="1"/>
  <c r="F319" i="13" s="1"/>
  <c r="F318" i="13" s="1"/>
  <c r="F317" i="13" s="1"/>
  <c r="F316" i="13" s="1"/>
  <c r="F315" i="13" s="1"/>
  <c r="F314" i="13" s="1"/>
  <c r="F313" i="13" s="1"/>
  <c r="F312" i="13" s="1"/>
  <c r="F311" i="13" s="1"/>
  <c r="F310" i="13" s="1"/>
  <c r="F309" i="13" s="1"/>
  <c r="F308" i="13" s="1"/>
  <c r="F307" i="13" s="1"/>
  <c r="F306" i="13" s="1"/>
  <c r="F305" i="13" s="1"/>
  <c r="F304" i="13" s="1"/>
  <c r="F303" i="13" s="1"/>
  <c r="F302" i="13" s="1"/>
  <c r="F301" i="13" s="1"/>
  <c r="F300" i="13" s="1"/>
  <c r="F299" i="13" s="1"/>
  <c r="F298" i="13" s="1"/>
  <c r="F297" i="13" s="1"/>
  <c r="F296" i="13" s="1"/>
  <c r="F295" i="13" s="1"/>
  <c r="F294" i="13" s="1"/>
  <c r="F293" i="13" s="1"/>
  <c r="F292" i="13" s="1"/>
  <c r="F291" i="13" s="1"/>
  <c r="F290" i="13" s="1"/>
  <c r="F289" i="13" s="1"/>
  <c r="F288" i="13" s="1"/>
  <c r="F287" i="13" s="1"/>
  <c r="F286" i="13" s="1"/>
  <c r="F285" i="13" s="1"/>
  <c r="F284" i="13" s="1"/>
  <c r="F283" i="13" s="1"/>
  <c r="F282" i="13" s="1"/>
  <c r="F281" i="13" s="1"/>
  <c r="F280" i="13" s="1"/>
  <c r="F279" i="13" s="1"/>
  <c r="F278" i="13" s="1"/>
  <c r="F277" i="13" s="1"/>
  <c r="F276" i="13" s="1"/>
  <c r="F275" i="13" s="1"/>
  <c r="F274" i="13" s="1"/>
  <c r="F273" i="13" s="1"/>
  <c r="F272" i="13" s="1"/>
  <c r="F271" i="13" s="1"/>
  <c r="F270" i="13" s="1"/>
  <c r="F269" i="13" s="1"/>
  <c r="F268" i="13" s="1"/>
  <c r="F267" i="13" s="1"/>
  <c r="F266" i="13" s="1"/>
  <c r="F265" i="13" s="1"/>
  <c r="F264" i="13" s="1"/>
  <c r="F263" i="13" s="1"/>
  <c r="F262" i="13" s="1"/>
  <c r="F261" i="13" s="1"/>
  <c r="F260" i="13" s="1"/>
  <c r="F259" i="13" s="1"/>
  <c r="F258" i="13" s="1"/>
  <c r="F257" i="13" s="1"/>
  <c r="F256" i="13" s="1"/>
  <c r="F255" i="13" s="1"/>
  <c r="F254" i="13" s="1"/>
  <c r="F253" i="13" s="1"/>
  <c r="F252" i="13" s="1"/>
  <c r="F251" i="13" s="1"/>
  <c r="F250" i="13" s="1"/>
  <c r="F249" i="13" s="1"/>
  <c r="F248" i="13" s="1"/>
  <c r="F247" i="13" s="1"/>
  <c r="F246" i="13" s="1"/>
  <c r="F245" i="13" s="1"/>
  <c r="F244" i="13" s="1"/>
  <c r="F243" i="13" s="1"/>
  <c r="F242" i="13" s="1"/>
  <c r="F241" i="13" s="1"/>
  <c r="F240" i="13" s="1"/>
  <c r="F239" i="13" s="1"/>
  <c r="F238" i="13" s="1"/>
  <c r="F237" i="13" s="1"/>
  <c r="F236" i="13" s="1"/>
  <c r="F235" i="13" s="1"/>
  <c r="F234" i="13" s="1"/>
  <c r="F233" i="13" s="1"/>
  <c r="F232" i="13" s="1"/>
  <c r="F231" i="13" s="1"/>
  <c r="F230" i="13" s="1"/>
  <c r="F229" i="13" s="1"/>
  <c r="F228" i="13" s="1"/>
  <c r="F227" i="13" s="1"/>
  <c r="F226" i="13" s="1"/>
  <c r="F225" i="13" s="1"/>
  <c r="F224" i="13" s="1"/>
  <c r="F223" i="13" s="1"/>
  <c r="F222" i="13" s="1"/>
  <c r="F221" i="13" s="1"/>
  <c r="F220" i="13" s="1"/>
  <c r="F219" i="13" s="1"/>
  <c r="F218" i="13" s="1"/>
  <c r="F217" i="13" s="1"/>
  <c r="F216" i="13" s="1"/>
  <c r="F215" i="13" s="1"/>
  <c r="F214" i="13" s="1"/>
  <c r="F213" i="13" s="1"/>
  <c r="F212" i="13" s="1"/>
  <c r="F211" i="13" s="1"/>
  <c r="F210" i="13" s="1"/>
  <c r="F209" i="13" s="1"/>
  <c r="F208" i="13" s="1"/>
  <c r="F207" i="13" s="1"/>
  <c r="F206" i="13" s="1"/>
  <c r="F205" i="13" s="1"/>
  <c r="F204" i="13" s="1"/>
  <c r="F203" i="13" s="1"/>
  <c r="F202" i="13" s="1"/>
  <c r="F201" i="13" s="1"/>
  <c r="F200" i="13" s="1"/>
  <c r="F199" i="13" s="1"/>
  <c r="F198" i="13" s="1"/>
  <c r="F197" i="13" s="1"/>
  <c r="F196" i="13" s="1"/>
  <c r="F195" i="13" s="1"/>
  <c r="F194" i="13" s="1"/>
  <c r="F193" i="13" s="1"/>
  <c r="F192" i="13" s="1"/>
  <c r="F191" i="13" s="1"/>
  <c r="F190" i="13" s="1"/>
  <c r="F189" i="13" s="1"/>
  <c r="F188" i="13" s="1"/>
  <c r="F187" i="13" s="1"/>
  <c r="F186" i="13" s="1"/>
  <c r="F185" i="13" s="1"/>
  <c r="F184" i="13" s="1"/>
  <c r="F183" i="13" s="1"/>
  <c r="F182" i="13" s="1"/>
  <c r="F181" i="13" s="1"/>
  <c r="F180" i="13" s="1"/>
  <c r="F179" i="13" s="1"/>
  <c r="F178" i="13" s="1"/>
  <c r="F177" i="13" s="1"/>
  <c r="F176" i="13" s="1"/>
  <c r="F175" i="13" s="1"/>
  <c r="F174" i="13" s="1"/>
  <c r="F173" i="13" s="1"/>
  <c r="F172" i="13" s="1"/>
  <c r="F171" i="13" s="1"/>
  <c r="F170" i="13" s="1"/>
  <c r="F169" i="13" s="1"/>
  <c r="F168" i="13" s="1"/>
  <c r="F167" i="13" s="1"/>
  <c r="F166" i="13" s="1"/>
  <c r="F165" i="13" s="1"/>
  <c r="F164" i="13" s="1"/>
  <c r="F163" i="13" s="1"/>
  <c r="F162" i="13" s="1"/>
  <c r="F161" i="13" s="1"/>
  <c r="F160" i="13" s="1"/>
  <c r="F159" i="13" s="1"/>
  <c r="F158" i="13" s="1"/>
  <c r="F157" i="13" s="1"/>
  <c r="F156" i="13" s="1"/>
  <c r="F155" i="13" s="1"/>
  <c r="F154" i="13" s="1"/>
  <c r="F153" i="13" s="1"/>
  <c r="F152" i="13" s="1"/>
  <c r="F151" i="13" s="1"/>
  <c r="F150" i="13" s="1"/>
  <c r="F149" i="13" s="1"/>
  <c r="F148" i="13" s="1"/>
  <c r="F147" i="13" s="1"/>
  <c r="F146" i="13" s="1"/>
  <c r="F145" i="13" s="1"/>
  <c r="F144" i="13" s="1"/>
  <c r="F143" i="13" s="1"/>
  <c r="F142" i="13" s="1"/>
  <c r="F141" i="13" s="1"/>
  <c r="F140" i="13" s="1"/>
  <c r="F139" i="13" s="1"/>
  <c r="F138" i="13" s="1"/>
  <c r="F137" i="13" s="1"/>
  <c r="F136" i="13" s="1"/>
  <c r="F135" i="13" s="1"/>
  <c r="F134" i="13" s="1"/>
  <c r="F133" i="13" s="1"/>
  <c r="F132" i="13" s="1"/>
  <c r="F131" i="13" s="1"/>
  <c r="F130" i="13" s="1"/>
  <c r="F129" i="13" s="1"/>
  <c r="F128" i="13" s="1"/>
  <c r="F127" i="13" s="1"/>
  <c r="F126" i="13" s="1"/>
  <c r="F125" i="13" s="1"/>
  <c r="F124" i="13" s="1"/>
  <c r="F123" i="13" s="1"/>
  <c r="F122" i="13" s="1"/>
  <c r="F121" i="13" s="1"/>
  <c r="F120" i="13" s="1"/>
  <c r="F119" i="13" s="1"/>
  <c r="F118" i="13" s="1"/>
  <c r="F117" i="13" s="1"/>
  <c r="F116" i="13" s="1"/>
  <c r="F115" i="13" s="1"/>
  <c r="F114" i="13" s="1"/>
  <c r="F113" i="13" s="1"/>
  <c r="F112" i="13" s="1"/>
  <c r="F111" i="13" s="1"/>
  <c r="F110" i="13" s="1"/>
  <c r="F109" i="13" s="1"/>
  <c r="F108" i="13" s="1"/>
  <c r="F107" i="13" s="1"/>
  <c r="F106" i="13" s="1"/>
  <c r="F105" i="13" s="1"/>
  <c r="F104" i="13" s="1"/>
  <c r="F103" i="13" s="1"/>
  <c r="F102" i="13" s="1"/>
  <c r="F101" i="13" s="1"/>
  <c r="F100" i="13" s="1"/>
  <c r="F99" i="13" s="1"/>
  <c r="F98" i="13" s="1"/>
  <c r="F97" i="13" s="1"/>
  <c r="F96" i="13" s="1"/>
  <c r="F95" i="13" s="1"/>
  <c r="F94" i="13" s="1"/>
  <c r="F93" i="13" s="1"/>
  <c r="F92" i="13" s="1"/>
  <c r="F91" i="13" s="1"/>
  <c r="F90" i="13" s="1"/>
  <c r="F89" i="13" s="1"/>
  <c r="F88" i="13" s="1"/>
  <c r="F87" i="13" s="1"/>
  <c r="F86" i="13" s="1"/>
  <c r="F85" i="13" s="1"/>
  <c r="F84" i="13" s="1"/>
  <c r="F83" i="13" s="1"/>
  <c r="F82" i="13" s="1"/>
  <c r="F81" i="13" s="1"/>
  <c r="F80" i="13" s="1"/>
  <c r="F79" i="13" s="1"/>
  <c r="F78" i="13" s="1"/>
  <c r="F77" i="13" s="1"/>
  <c r="F76" i="13" s="1"/>
  <c r="F75" i="13" s="1"/>
  <c r="F74" i="13" s="1"/>
  <c r="F73" i="13" s="1"/>
  <c r="F72" i="13" s="1"/>
  <c r="F71" i="13" s="1"/>
  <c r="F70" i="13" s="1"/>
  <c r="F69" i="13" s="1"/>
  <c r="F68" i="13" s="1"/>
  <c r="F67" i="13" s="1"/>
  <c r="F66" i="13" s="1"/>
  <c r="F65" i="13" s="1"/>
  <c r="F64" i="13" s="1"/>
  <c r="F63" i="13" s="1"/>
  <c r="F62" i="13" s="1"/>
  <c r="F61" i="13" s="1"/>
  <c r="F60" i="13" s="1"/>
  <c r="F59" i="13" s="1"/>
  <c r="F58" i="13" s="1"/>
  <c r="F57" i="13" s="1"/>
  <c r="F56" i="13" s="1"/>
  <c r="F55" i="13" s="1"/>
  <c r="F54" i="13" s="1"/>
  <c r="F53" i="13" s="1"/>
  <c r="F52" i="13" s="1"/>
  <c r="F51" i="13" s="1"/>
  <c r="F50" i="13" s="1"/>
  <c r="F49" i="13" s="1"/>
  <c r="F48" i="13" s="1"/>
  <c r="F47" i="13" s="1"/>
  <c r="F46" i="13" s="1"/>
  <c r="F45" i="13" s="1"/>
  <c r="F44" i="13" s="1"/>
  <c r="F43" i="13" s="1"/>
  <c r="F42" i="13" s="1"/>
  <c r="F41" i="13" s="1"/>
  <c r="F40" i="13" s="1"/>
  <c r="F39" i="13" s="1"/>
  <c r="F38" i="13" s="1"/>
  <c r="F37" i="13" s="1"/>
  <c r="F36" i="13" s="1"/>
  <c r="F35" i="13" s="1"/>
  <c r="F34" i="13" s="1"/>
  <c r="F33" i="13" s="1"/>
  <c r="F32" i="13" s="1"/>
  <c r="F31" i="13" s="1"/>
  <c r="F30" i="13" s="1"/>
  <c r="F29" i="13" s="1"/>
  <c r="F28" i="13" s="1"/>
  <c r="F27" i="13" s="1"/>
  <c r="F26" i="13" s="1"/>
  <c r="F25" i="13" s="1"/>
  <c r="F24" i="13" s="1"/>
  <c r="F23" i="13" s="1"/>
  <c r="F22" i="13" s="1"/>
  <c r="F21" i="13" s="1"/>
  <c r="F20" i="13" s="1"/>
  <c r="F19" i="13" s="1"/>
  <c r="F18" i="13" s="1"/>
  <c r="F17" i="13" s="1"/>
  <c r="F16" i="13" s="1"/>
  <c r="F15" i="13" s="1"/>
  <c r="F14" i="13" s="1"/>
  <c r="F13" i="13" s="1"/>
  <c r="F12" i="13" s="1"/>
  <c r="F11" i="13" s="1"/>
  <c r="F10" i="13" s="1"/>
  <c r="F9" i="13" s="1"/>
  <c r="F8" i="13" s="1"/>
  <c r="F7" i="13" s="1"/>
  <c r="F6" i="13" s="1"/>
  <c r="F5" i="13" s="1"/>
  <c r="F4" i="13" s="1"/>
  <c r="F3" i="13" s="1"/>
  <c r="H363" i="13"/>
  <c r="H28" i="11"/>
  <c r="I28" i="11"/>
  <c r="O57" i="11"/>
  <c r="O68" i="11"/>
  <c r="S311" i="11"/>
  <c r="S351" i="11"/>
  <c r="O174" i="11"/>
  <c r="O175" i="11"/>
  <c r="O43" i="11"/>
  <c r="O46" i="11" s="1"/>
  <c r="O129" i="11"/>
  <c r="I362" i="13"/>
  <c r="I361" i="13" s="1"/>
  <c r="I360" i="13" s="1"/>
  <c r="I359" i="13" s="1"/>
  <c r="I358" i="13" s="1"/>
  <c r="I357" i="13" s="1"/>
  <c r="I356" i="13" s="1"/>
  <c r="I355" i="13" s="1"/>
  <c r="I354" i="13" s="1"/>
  <c r="I353" i="13" s="1"/>
  <c r="I352" i="13" s="1"/>
  <c r="I351" i="13" s="1"/>
  <c r="I350" i="13" s="1"/>
  <c r="I349" i="13" s="1"/>
  <c r="I348" i="13" s="1"/>
  <c r="I347" i="13" s="1"/>
  <c r="I346" i="13" s="1"/>
  <c r="I345" i="13" s="1"/>
  <c r="I344" i="13" s="1"/>
  <c r="I343" i="13" s="1"/>
  <c r="I342" i="13" s="1"/>
  <c r="I341" i="13" s="1"/>
  <c r="I340" i="13" s="1"/>
  <c r="I339" i="13" s="1"/>
  <c r="I338" i="13" s="1"/>
  <c r="I337" i="13" s="1"/>
  <c r="I336" i="13" s="1"/>
  <c r="I335" i="13" s="1"/>
  <c r="I334" i="13" s="1"/>
  <c r="I333" i="13" s="1"/>
  <c r="I332" i="13" s="1"/>
  <c r="I331" i="13" s="1"/>
  <c r="I330" i="13" s="1"/>
  <c r="I329" i="13" s="1"/>
  <c r="I328" i="13" s="1"/>
  <c r="I327" i="13" s="1"/>
  <c r="I326" i="13" s="1"/>
  <c r="I325" i="13" s="1"/>
  <c r="I324" i="13" s="1"/>
  <c r="I323" i="13" s="1"/>
  <c r="I322" i="13" s="1"/>
  <c r="I321" i="13" s="1"/>
  <c r="I320" i="13" s="1"/>
  <c r="I319" i="13" s="1"/>
  <c r="I318" i="13" s="1"/>
  <c r="I317" i="13" s="1"/>
  <c r="I316" i="13" s="1"/>
  <c r="I315" i="13" s="1"/>
  <c r="I314" i="13" s="1"/>
  <c r="I313" i="13" s="1"/>
  <c r="I312" i="13" s="1"/>
  <c r="I311" i="13" s="1"/>
  <c r="I310" i="13" s="1"/>
  <c r="I309" i="13" s="1"/>
  <c r="I308" i="13" s="1"/>
  <c r="I307" i="13" s="1"/>
  <c r="I306" i="13" s="1"/>
  <c r="I305" i="13" s="1"/>
  <c r="I304" i="13" s="1"/>
  <c r="I303" i="13" s="1"/>
  <c r="I302" i="13" s="1"/>
  <c r="I301" i="13" s="1"/>
  <c r="I300" i="13" s="1"/>
  <c r="I299" i="13" s="1"/>
  <c r="I298" i="13" s="1"/>
  <c r="I297" i="13" s="1"/>
  <c r="I296" i="13" s="1"/>
  <c r="I295" i="13" s="1"/>
  <c r="I294" i="13" s="1"/>
  <c r="I293" i="13" s="1"/>
  <c r="I292" i="13" s="1"/>
  <c r="I291" i="13" s="1"/>
  <c r="I290" i="13" s="1"/>
  <c r="I289" i="13" s="1"/>
  <c r="I288" i="13" s="1"/>
  <c r="I287" i="13" s="1"/>
  <c r="I286" i="13" s="1"/>
  <c r="I285" i="13" s="1"/>
  <c r="I284" i="13" s="1"/>
  <c r="I283" i="13" s="1"/>
  <c r="I282" i="13" s="1"/>
  <c r="I281" i="13" s="1"/>
  <c r="I280" i="13" s="1"/>
  <c r="I279" i="13" s="1"/>
  <c r="I278" i="13" s="1"/>
  <c r="I277" i="13" s="1"/>
  <c r="I276" i="13" s="1"/>
  <c r="I275" i="13" s="1"/>
  <c r="I274" i="13" s="1"/>
  <c r="I273" i="13" s="1"/>
  <c r="I272" i="13" s="1"/>
  <c r="I271" i="13" s="1"/>
  <c r="I270" i="13" s="1"/>
  <c r="I269" i="13" s="1"/>
  <c r="I268" i="13" s="1"/>
  <c r="I267" i="13" s="1"/>
  <c r="I266" i="13" s="1"/>
  <c r="I265" i="13" s="1"/>
  <c r="I264" i="13" s="1"/>
  <c r="I263" i="13" s="1"/>
  <c r="I262" i="13" s="1"/>
  <c r="I261" i="13" s="1"/>
  <c r="I260" i="13" s="1"/>
  <c r="I259" i="13" s="1"/>
  <c r="I258" i="13" s="1"/>
  <c r="I257" i="13" s="1"/>
  <c r="I256" i="13" s="1"/>
  <c r="I255" i="13" s="1"/>
  <c r="I254" i="13" s="1"/>
  <c r="I253" i="13" s="1"/>
  <c r="I252" i="13" s="1"/>
  <c r="I251" i="13" s="1"/>
  <c r="I250" i="13" s="1"/>
  <c r="I249" i="13" s="1"/>
  <c r="I248" i="13" s="1"/>
  <c r="I247" i="13" s="1"/>
  <c r="I246" i="13" s="1"/>
  <c r="I245" i="13" s="1"/>
  <c r="I244" i="13" s="1"/>
  <c r="I243" i="13" s="1"/>
  <c r="I242" i="13" s="1"/>
  <c r="I241" i="13" s="1"/>
  <c r="I240" i="13" s="1"/>
  <c r="I239" i="13" s="1"/>
  <c r="I238" i="13" s="1"/>
  <c r="I237" i="13" s="1"/>
  <c r="I236" i="13" s="1"/>
  <c r="I235" i="13" s="1"/>
  <c r="I234" i="13" s="1"/>
  <c r="I233" i="13" s="1"/>
  <c r="I232" i="13" s="1"/>
  <c r="I231" i="13" s="1"/>
  <c r="I230" i="13" s="1"/>
  <c r="I229" i="13" s="1"/>
  <c r="I228" i="13" s="1"/>
  <c r="I227" i="13" s="1"/>
  <c r="I226" i="13" s="1"/>
  <c r="I225" i="13" s="1"/>
  <c r="I224" i="13" s="1"/>
  <c r="I223" i="13" s="1"/>
  <c r="I222" i="13" s="1"/>
  <c r="I221" i="13" s="1"/>
  <c r="I220" i="13" s="1"/>
  <c r="I219" i="13" s="1"/>
  <c r="I218" i="13" s="1"/>
  <c r="I217" i="13" s="1"/>
  <c r="I216" i="13" s="1"/>
  <c r="I215" i="13" s="1"/>
  <c r="I214" i="13" s="1"/>
  <c r="I213" i="13" s="1"/>
  <c r="I212" i="13" s="1"/>
  <c r="I211" i="13" s="1"/>
  <c r="I210" i="13" s="1"/>
  <c r="I209" i="13" s="1"/>
  <c r="I208" i="13" s="1"/>
  <c r="I207" i="13" s="1"/>
  <c r="I206" i="13" s="1"/>
  <c r="I205" i="13" s="1"/>
  <c r="I204" i="13" s="1"/>
  <c r="I203" i="13" s="1"/>
  <c r="I202" i="13" s="1"/>
  <c r="I201" i="13" s="1"/>
  <c r="I200" i="13" s="1"/>
  <c r="I199" i="13" s="1"/>
  <c r="I198" i="13" s="1"/>
  <c r="I197" i="13" s="1"/>
  <c r="I196" i="13" s="1"/>
  <c r="I195" i="13" s="1"/>
  <c r="I194" i="13" s="1"/>
  <c r="I193" i="13" s="1"/>
  <c r="I192" i="13" s="1"/>
  <c r="I191" i="13" s="1"/>
  <c r="I190" i="13" s="1"/>
  <c r="I189" i="13" s="1"/>
  <c r="I188" i="13" s="1"/>
  <c r="I187" i="13" s="1"/>
  <c r="I186" i="13" s="1"/>
  <c r="I185" i="13" s="1"/>
  <c r="I184" i="13" s="1"/>
  <c r="I183" i="13" s="1"/>
  <c r="I182" i="13" s="1"/>
  <c r="I181" i="13" s="1"/>
  <c r="I180" i="13" s="1"/>
  <c r="I179" i="13" s="1"/>
  <c r="I178" i="13" s="1"/>
  <c r="I177" i="13" s="1"/>
  <c r="I176" i="13" s="1"/>
  <c r="I175" i="13" s="1"/>
  <c r="I174" i="13" s="1"/>
  <c r="I173" i="13" s="1"/>
  <c r="I172" i="13" s="1"/>
  <c r="I171" i="13" s="1"/>
  <c r="I170" i="13" s="1"/>
  <c r="I169" i="13" s="1"/>
  <c r="I168" i="13" s="1"/>
  <c r="I167" i="13" s="1"/>
  <c r="I166" i="13" s="1"/>
  <c r="I165" i="13" s="1"/>
  <c r="I164" i="13" s="1"/>
  <c r="I163" i="13" s="1"/>
  <c r="I162" i="13" s="1"/>
  <c r="I161" i="13" s="1"/>
  <c r="I160" i="13" s="1"/>
  <c r="I159" i="13" s="1"/>
  <c r="I158" i="13" s="1"/>
  <c r="I157" i="13" s="1"/>
  <c r="I156" i="13" s="1"/>
  <c r="I155" i="13" s="1"/>
  <c r="I154" i="13" s="1"/>
  <c r="I153" i="13" s="1"/>
  <c r="I152" i="13" s="1"/>
  <c r="I151" i="13" s="1"/>
  <c r="I150" i="13" s="1"/>
  <c r="I149" i="13" s="1"/>
  <c r="I148" i="13" s="1"/>
  <c r="I147" i="13" s="1"/>
  <c r="I146" i="13" s="1"/>
  <c r="I145" i="13" s="1"/>
  <c r="I144" i="13" s="1"/>
  <c r="I143" i="13" s="1"/>
  <c r="I142" i="13" s="1"/>
  <c r="I141" i="13" s="1"/>
  <c r="I140" i="13" s="1"/>
  <c r="I139" i="13" s="1"/>
  <c r="I138" i="13" s="1"/>
  <c r="I137" i="13" s="1"/>
  <c r="I136" i="13" s="1"/>
  <c r="I135" i="13" s="1"/>
  <c r="I134" i="13" s="1"/>
  <c r="I133" i="13" s="1"/>
  <c r="I132" i="13" s="1"/>
  <c r="I131" i="13" s="1"/>
  <c r="I130" i="13" s="1"/>
  <c r="I129" i="13" s="1"/>
  <c r="I128" i="13" s="1"/>
  <c r="I127" i="13" s="1"/>
  <c r="I126" i="13" s="1"/>
  <c r="I125" i="13" s="1"/>
  <c r="I124" i="13" s="1"/>
  <c r="I123" i="13" s="1"/>
  <c r="I122" i="13" s="1"/>
  <c r="I121" i="13" s="1"/>
  <c r="I120" i="13" s="1"/>
  <c r="I119" i="13" s="1"/>
  <c r="I118" i="13" s="1"/>
  <c r="I117" i="13" s="1"/>
  <c r="I116" i="13" s="1"/>
  <c r="I115" i="13" s="1"/>
  <c r="I114" i="13" s="1"/>
  <c r="I113" i="13" s="1"/>
  <c r="I112" i="13" s="1"/>
  <c r="I111" i="13" s="1"/>
  <c r="I110" i="13" s="1"/>
  <c r="I109" i="13" s="1"/>
  <c r="I108" i="13" s="1"/>
  <c r="I107" i="13" s="1"/>
  <c r="I106" i="13" s="1"/>
  <c r="I105" i="13" s="1"/>
  <c r="I104" i="13" s="1"/>
  <c r="I103" i="13" s="1"/>
  <c r="I102" i="13" s="1"/>
  <c r="I101" i="13" s="1"/>
  <c r="I100" i="13" s="1"/>
  <c r="I99" i="13" s="1"/>
  <c r="I98" i="13" s="1"/>
  <c r="I97" i="13" s="1"/>
  <c r="I96" i="13" s="1"/>
  <c r="I95" i="13" s="1"/>
  <c r="I94" i="13" s="1"/>
  <c r="I93" i="13" s="1"/>
  <c r="I92" i="13" s="1"/>
  <c r="I91" i="13" s="1"/>
  <c r="I90" i="13" s="1"/>
  <c r="I89" i="13" s="1"/>
  <c r="I88" i="13" s="1"/>
  <c r="I87" i="13" s="1"/>
  <c r="I86" i="13" s="1"/>
  <c r="I85" i="13" s="1"/>
  <c r="I84" i="13" s="1"/>
  <c r="I83" i="13" s="1"/>
  <c r="I82" i="13" s="1"/>
  <c r="I81" i="13" s="1"/>
  <c r="I80" i="13" s="1"/>
  <c r="I79" i="13" s="1"/>
  <c r="I78" i="13" s="1"/>
  <c r="I77" i="13" s="1"/>
  <c r="I76" i="13" s="1"/>
  <c r="I75" i="13" s="1"/>
  <c r="I74" i="13" s="1"/>
  <c r="I73" i="13" s="1"/>
  <c r="I72" i="13" s="1"/>
  <c r="I71" i="13" s="1"/>
  <c r="I70" i="13" s="1"/>
  <c r="I69" i="13" s="1"/>
  <c r="I68" i="13" s="1"/>
  <c r="I67" i="13" s="1"/>
  <c r="I66" i="13" s="1"/>
  <c r="I65" i="13" s="1"/>
  <c r="I64" i="13" s="1"/>
  <c r="I63" i="13" s="1"/>
  <c r="I62" i="13" s="1"/>
  <c r="I61" i="13" s="1"/>
  <c r="I60" i="13" s="1"/>
  <c r="I59" i="13" s="1"/>
  <c r="I58" i="13" s="1"/>
  <c r="I57" i="13" s="1"/>
  <c r="I56" i="13" s="1"/>
  <c r="I55" i="13" s="1"/>
  <c r="I54" i="13" s="1"/>
  <c r="I53" i="13" s="1"/>
  <c r="I52" i="13" s="1"/>
  <c r="I51" i="13" s="1"/>
  <c r="I50" i="13" s="1"/>
  <c r="I49" i="13" s="1"/>
  <c r="I48" i="13" s="1"/>
  <c r="I47" i="13" s="1"/>
  <c r="I46" i="13" s="1"/>
  <c r="I45" i="13" s="1"/>
  <c r="I44" i="13" s="1"/>
  <c r="I43" i="13" s="1"/>
  <c r="I42" i="13" s="1"/>
  <c r="I41" i="13" s="1"/>
  <c r="I40" i="13" s="1"/>
  <c r="I39" i="13" s="1"/>
  <c r="I38" i="13" s="1"/>
  <c r="I37" i="13" s="1"/>
  <c r="I36" i="13" s="1"/>
  <c r="I35" i="13" s="1"/>
  <c r="I34" i="13" s="1"/>
  <c r="I33" i="13" s="1"/>
  <c r="I32" i="13" s="1"/>
  <c r="I31" i="13" s="1"/>
  <c r="I30" i="13" s="1"/>
  <c r="I29" i="13" s="1"/>
  <c r="I28" i="13" s="1"/>
  <c r="I27" i="13" s="1"/>
  <c r="I26" i="13" s="1"/>
  <c r="I25" i="13" s="1"/>
  <c r="I24" i="13" s="1"/>
  <c r="I23" i="13" s="1"/>
  <c r="I22" i="13" s="1"/>
  <c r="I21" i="13" s="1"/>
  <c r="I20" i="13" s="1"/>
  <c r="I19" i="13" s="1"/>
  <c r="I18" i="13" s="1"/>
  <c r="I17" i="13" s="1"/>
  <c r="I16" i="13" s="1"/>
  <c r="I15" i="13" s="1"/>
  <c r="I14" i="13" s="1"/>
  <c r="I13" i="13" s="1"/>
  <c r="I12" i="13" s="1"/>
  <c r="I11" i="13" s="1"/>
  <c r="I10" i="13" s="1"/>
  <c r="I9" i="13" s="1"/>
  <c r="I8" i="13" s="1"/>
  <c r="I7" i="13" s="1"/>
  <c r="I6" i="13" s="1"/>
  <c r="I5" i="13" s="1"/>
  <c r="I4" i="13" s="1"/>
  <c r="I3" i="13" s="1"/>
  <c r="L363" i="13"/>
  <c r="L362" i="13" s="1"/>
  <c r="L361" i="13" s="1"/>
  <c r="L360" i="13" s="1"/>
  <c r="L359" i="13" s="1"/>
  <c r="L358" i="13" s="1"/>
  <c r="L357" i="13" s="1"/>
  <c r="L356" i="13" s="1"/>
  <c r="L355" i="13" s="1"/>
  <c r="L354" i="13" s="1"/>
  <c r="L353" i="13" s="1"/>
  <c r="L352" i="13" s="1"/>
  <c r="L351" i="13" s="1"/>
  <c r="L350" i="13" s="1"/>
  <c r="L349" i="13" s="1"/>
  <c r="L348" i="13" s="1"/>
  <c r="L347" i="13" s="1"/>
  <c r="L346" i="13" s="1"/>
  <c r="L345" i="13" s="1"/>
  <c r="L344" i="13" s="1"/>
  <c r="L343" i="13" s="1"/>
  <c r="L342" i="13" s="1"/>
  <c r="L341" i="13" s="1"/>
  <c r="L340" i="13" s="1"/>
  <c r="L339" i="13" s="1"/>
  <c r="L338" i="13" s="1"/>
  <c r="L337" i="13" s="1"/>
  <c r="L336" i="13" s="1"/>
  <c r="L335" i="13" s="1"/>
  <c r="L334" i="13" s="1"/>
  <c r="L333" i="13" s="1"/>
  <c r="L332" i="13" s="1"/>
  <c r="L331" i="13" s="1"/>
  <c r="L330" i="13" s="1"/>
  <c r="L329" i="13" s="1"/>
  <c r="L328" i="13" s="1"/>
  <c r="L327" i="13" s="1"/>
  <c r="L326" i="13" s="1"/>
  <c r="L325" i="13" s="1"/>
  <c r="L324" i="13" s="1"/>
  <c r="L323" i="13" s="1"/>
  <c r="L322" i="13" s="1"/>
  <c r="L321" i="13" s="1"/>
  <c r="L320" i="13" s="1"/>
  <c r="L319" i="13" s="1"/>
  <c r="L318" i="13" s="1"/>
  <c r="L317" i="13" s="1"/>
  <c r="L316" i="13" s="1"/>
  <c r="L315" i="13" s="1"/>
  <c r="L314" i="13" s="1"/>
  <c r="L313" i="13" s="1"/>
  <c r="L312" i="13" s="1"/>
  <c r="L311" i="13" s="1"/>
  <c r="L310" i="13" s="1"/>
  <c r="L309" i="13" s="1"/>
  <c r="L308" i="13" s="1"/>
  <c r="L307" i="13" s="1"/>
  <c r="L306" i="13" s="1"/>
  <c r="L305" i="13" s="1"/>
  <c r="L304" i="13" s="1"/>
  <c r="L303" i="13" s="1"/>
  <c r="L302" i="13" s="1"/>
  <c r="L301" i="13" s="1"/>
  <c r="L300" i="13" s="1"/>
  <c r="L299" i="13" s="1"/>
  <c r="L298" i="13" s="1"/>
  <c r="L297" i="13" s="1"/>
  <c r="L296" i="13" s="1"/>
  <c r="L295" i="13" s="1"/>
  <c r="L294" i="13" s="1"/>
  <c r="L293" i="13" s="1"/>
  <c r="L292" i="13" s="1"/>
  <c r="L291" i="13" s="1"/>
  <c r="L290" i="13" s="1"/>
  <c r="L289" i="13" s="1"/>
  <c r="L288" i="13" s="1"/>
  <c r="L287" i="13" s="1"/>
  <c r="L286" i="13" s="1"/>
  <c r="L285" i="13" s="1"/>
  <c r="L284" i="13" s="1"/>
  <c r="L283" i="13" s="1"/>
  <c r="L282" i="13" s="1"/>
  <c r="L281" i="13" s="1"/>
  <c r="L280" i="13" s="1"/>
  <c r="L279" i="13" s="1"/>
  <c r="L278" i="13" s="1"/>
  <c r="L277" i="13" s="1"/>
  <c r="L276" i="13" s="1"/>
  <c r="L275" i="13" s="1"/>
  <c r="L274" i="13" s="1"/>
  <c r="L273" i="13" s="1"/>
  <c r="L272" i="13" s="1"/>
  <c r="L271" i="13" s="1"/>
  <c r="L270" i="13" s="1"/>
  <c r="L269" i="13" s="1"/>
  <c r="L268" i="13" s="1"/>
  <c r="L267" i="13" s="1"/>
  <c r="L266" i="13" s="1"/>
  <c r="L265" i="13" s="1"/>
  <c r="L264" i="13" s="1"/>
  <c r="L263" i="13" s="1"/>
  <c r="L262" i="13" s="1"/>
  <c r="L261" i="13" s="1"/>
  <c r="L260" i="13" s="1"/>
  <c r="L259" i="13" s="1"/>
  <c r="L258" i="13" s="1"/>
  <c r="L257" i="13" s="1"/>
  <c r="L256" i="13" s="1"/>
  <c r="L255" i="13" s="1"/>
  <c r="L254" i="13" s="1"/>
  <c r="L253" i="13" s="1"/>
  <c r="L252" i="13" s="1"/>
  <c r="L251" i="13" s="1"/>
  <c r="L250" i="13" s="1"/>
  <c r="L249" i="13" s="1"/>
  <c r="L248" i="13" s="1"/>
  <c r="L247" i="13" s="1"/>
  <c r="L246" i="13" s="1"/>
  <c r="L245" i="13" s="1"/>
  <c r="L244" i="13" s="1"/>
  <c r="L243" i="13" s="1"/>
  <c r="L242" i="13" s="1"/>
  <c r="L241" i="13" s="1"/>
  <c r="L240" i="13" s="1"/>
  <c r="L239" i="13" s="1"/>
  <c r="L238" i="13" s="1"/>
  <c r="L237" i="13" s="1"/>
  <c r="L236" i="13" s="1"/>
  <c r="L235" i="13" s="1"/>
  <c r="L234" i="13" s="1"/>
  <c r="L233" i="13" s="1"/>
  <c r="L232" i="13" s="1"/>
  <c r="L231" i="13" s="1"/>
  <c r="L230" i="13" s="1"/>
  <c r="L229" i="13" s="1"/>
  <c r="L228" i="13" s="1"/>
  <c r="L227" i="13" s="1"/>
  <c r="L226" i="13" s="1"/>
  <c r="L225" i="13" s="1"/>
  <c r="L224" i="13" s="1"/>
  <c r="L223" i="13" s="1"/>
  <c r="L222" i="13" s="1"/>
  <c r="L221" i="13" s="1"/>
  <c r="L220" i="13" s="1"/>
  <c r="L219" i="13" s="1"/>
  <c r="L218" i="13" s="1"/>
  <c r="L217" i="13" s="1"/>
  <c r="L216" i="13" s="1"/>
  <c r="L215" i="13" s="1"/>
  <c r="L214" i="13" s="1"/>
  <c r="L213" i="13" s="1"/>
  <c r="L212" i="13" s="1"/>
  <c r="L211" i="13" s="1"/>
  <c r="L210" i="13" s="1"/>
  <c r="L209" i="13" s="1"/>
  <c r="L208" i="13" s="1"/>
  <c r="L207" i="13" s="1"/>
  <c r="L206" i="13" s="1"/>
  <c r="L205" i="13" s="1"/>
  <c r="L204" i="13" s="1"/>
  <c r="L203" i="13" s="1"/>
  <c r="L202" i="13" s="1"/>
  <c r="L201" i="13" s="1"/>
  <c r="L200" i="13" s="1"/>
  <c r="L199" i="13" s="1"/>
  <c r="L198" i="13" s="1"/>
  <c r="L197" i="13" s="1"/>
  <c r="L196" i="13" s="1"/>
  <c r="L195" i="13" s="1"/>
  <c r="L194" i="13" s="1"/>
  <c r="L193" i="13" s="1"/>
  <c r="L192" i="13" s="1"/>
  <c r="L191" i="13" s="1"/>
  <c r="L190" i="13" s="1"/>
  <c r="L189" i="13" s="1"/>
  <c r="L188" i="13" s="1"/>
  <c r="L187" i="13" s="1"/>
  <c r="L186" i="13" s="1"/>
  <c r="L185" i="13" s="1"/>
  <c r="L184" i="13" s="1"/>
  <c r="L183" i="13" s="1"/>
  <c r="L182" i="13" s="1"/>
  <c r="L181" i="13" s="1"/>
  <c r="L180" i="13" s="1"/>
  <c r="L179" i="13" s="1"/>
  <c r="L178" i="13" s="1"/>
  <c r="L177" i="13" s="1"/>
  <c r="L176" i="13" s="1"/>
  <c r="L175" i="13" s="1"/>
  <c r="L174" i="13" s="1"/>
  <c r="L173" i="13" s="1"/>
  <c r="L172" i="13" s="1"/>
  <c r="L171" i="13" s="1"/>
  <c r="L170" i="13" s="1"/>
  <c r="L169" i="13" s="1"/>
  <c r="L168" i="13" s="1"/>
  <c r="L167" i="13" s="1"/>
  <c r="L166" i="13" s="1"/>
  <c r="L165" i="13" s="1"/>
  <c r="L164" i="13" s="1"/>
  <c r="L163" i="13" s="1"/>
  <c r="L162" i="13" s="1"/>
  <c r="L161" i="13" s="1"/>
  <c r="L160" i="13" s="1"/>
  <c r="L159" i="13" s="1"/>
  <c r="L158" i="13" s="1"/>
  <c r="L157" i="13" s="1"/>
  <c r="L156" i="13" s="1"/>
  <c r="L155" i="13" s="1"/>
  <c r="L154" i="13" s="1"/>
  <c r="L153" i="13" s="1"/>
  <c r="L152" i="13" s="1"/>
  <c r="L151" i="13" s="1"/>
  <c r="L150" i="13" s="1"/>
  <c r="L149" i="13" s="1"/>
  <c r="L148" i="13" s="1"/>
  <c r="L147" i="13" s="1"/>
  <c r="L146" i="13" s="1"/>
  <c r="L145" i="13" s="1"/>
  <c r="L144" i="13" s="1"/>
  <c r="L143" i="13" s="1"/>
  <c r="L142" i="13" s="1"/>
  <c r="L141" i="13" s="1"/>
  <c r="L140" i="13" s="1"/>
  <c r="L139" i="13" s="1"/>
  <c r="L138" i="13" s="1"/>
  <c r="L137" i="13" s="1"/>
  <c r="L136" i="13" s="1"/>
  <c r="L135" i="13" s="1"/>
  <c r="L134" i="13" s="1"/>
  <c r="L133" i="13" s="1"/>
  <c r="L132" i="13" s="1"/>
  <c r="L131" i="13" s="1"/>
  <c r="L130" i="13" s="1"/>
  <c r="L129" i="13" s="1"/>
  <c r="L128" i="13" s="1"/>
  <c r="L127" i="13" s="1"/>
  <c r="L126" i="13" s="1"/>
  <c r="L125" i="13" s="1"/>
  <c r="L124" i="13" s="1"/>
  <c r="L123" i="13" s="1"/>
  <c r="L122" i="13" s="1"/>
  <c r="L121" i="13" s="1"/>
  <c r="L120" i="13" s="1"/>
  <c r="L119" i="13" s="1"/>
  <c r="L118" i="13" s="1"/>
  <c r="L117" i="13" s="1"/>
  <c r="L116" i="13" s="1"/>
  <c r="L115" i="13" s="1"/>
  <c r="L114" i="13" s="1"/>
  <c r="L113" i="13" s="1"/>
  <c r="L112" i="13" s="1"/>
  <c r="L111" i="13" s="1"/>
  <c r="L110" i="13" s="1"/>
  <c r="L109" i="13" s="1"/>
  <c r="L108" i="13" s="1"/>
  <c r="L107" i="13" s="1"/>
  <c r="L106" i="13" s="1"/>
  <c r="L105" i="13" s="1"/>
  <c r="L104" i="13" s="1"/>
  <c r="L103" i="13" s="1"/>
  <c r="L102" i="13" s="1"/>
  <c r="L101" i="13" s="1"/>
  <c r="L100" i="13" s="1"/>
  <c r="L99" i="13" s="1"/>
  <c r="L98" i="13" s="1"/>
  <c r="L97" i="13" s="1"/>
  <c r="L96" i="13" s="1"/>
  <c r="L95" i="13" s="1"/>
  <c r="L94" i="13" s="1"/>
  <c r="L93" i="13" s="1"/>
  <c r="L92" i="13" s="1"/>
  <c r="L91" i="13" s="1"/>
  <c r="L90" i="13" s="1"/>
  <c r="L89" i="13" s="1"/>
  <c r="L88" i="13" s="1"/>
  <c r="L87" i="13" s="1"/>
  <c r="L86" i="13" s="1"/>
  <c r="L85" i="13" s="1"/>
  <c r="L84" i="13" s="1"/>
  <c r="L83" i="13" s="1"/>
  <c r="L82" i="13" s="1"/>
  <c r="L81" i="13" s="1"/>
  <c r="L80" i="13" s="1"/>
  <c r="L79" i="13" s="1"/>
  <c r="L78" i="13" s="1"/>
  <c r="L77" i="13" s="1"/>
  <c r="L76" i="13" s="1"/>
  <c r="L75" i="13" s="1"/>
  <c r="L74" i="13" s="1"/>
  <c r="L73" i="13" s="1"/>
  <c r="L72" i="13" s="1"/>
  <c r="L71" i="13" s="1"/>
  <c r="L70" i="13" s="1"/>
  <c r="L69" i="13" s="1"/>
  <c r="L68" i="13" s="1"/>
  <c r="L67" i="13" s="1"/>
  <c r="L66" i="13" s="1"/>
  <c r="L65" i="13" s="1"/>
  <c r="L64" i="13" s="1"/>
  <c r="L63" i="13" s="1"/>
  <c r="L62" i="13" s="1"/>
  <c r="L61" i="13" s="1"/>
  <c r="L60" i="13" s="1"/>
  <c r="L59" i="13" s="1"/>
  <c r="L58" i="13" s="1"/>
  <c r="L57" i="13" s="1"/>
  <c r="L56" i="13" s="1"/>
  <c r="L55" i="13" s="1"/>
  <c r="L54" i="13" s="1"/>
  <c r="L53" i="13" s="1"/>
  <c r="L52" i="13" s="1"/>
  <c r="L51" i="13" s="1"/>
  <c r="L50" i="13" s="1"/>
  <c r="L49" i="13" s="1"/>
  <c r="L48" i="13" s="1"/>
  <c r="L47" i="13" s="1"/>
  <c r="L46" i="13" s="1"/>
  <c r="L45" i="13" s="1"/>
  <c r="L44" i="13" s="1"/>
  <c r="L43" i="13" s="1"/>
  <c r="L42" i="13" s="1"/>
  <c r="L41" i="13" s="1"/>
  <c r="L40" i="13" s="1"/>
  <c r="L39" i="13" s="1"/>
  <c r="L38" i="13" s="1"/>
  <c r="L37" i="13" s="1"/>
  <c r="L36" i="13" s="1"/>
  <c r="L35" i="13" s="1"/>
  <c r="L34" i="13" s="1"/>
  <c r="L33" i="13" s="1"/>
  <c r="L32" i="13" s="1"/>
  <c r="L31" i="13" s="1"/>
  <c r="L30" i="13" s="1"/>
  <c r="L29" i="13" s="1"/>
  <c r="L28" i="13" s="1"/>
  <c r="L27" i="13" s="1"/>
  <c r="L26" i="13" s="1"/>
  <c r="L25" i="13" s="1"/>
  <c r="L24" i="13" s="1"/>
  <c r="L23" i="13" s="1"/>
  <c r="L22" i="13" s="1"/>
  <c r="L21" i="13" s="1"/>
  <c r="L20" i="13" s="1"/>
  <c r="L19" i="13" s="1"/>
  <c r="L18" i="13" s="1"/>
  <c r="L17" i="13" s="1"/>
  <c r="L16" i="13" s="1"/>
  <c r="L15" i="13" s="1"/>
  <c r="L14" i="13" s="1"/>
  <c r="L13" i="13" s="1"/>
  <c r="L12" i="13" s="1"/>
  <c r="L11" i="13" s="1"/>
  <c r="L10" i="13" s="1"/>
  <c r="L9" i="13" s="1"/>
  <c r="L8" i="13" s="1"/>
  <c r="L7" i="13" s="1"/>
  <c r="L6" i="13" s="1"/>
  <c r="L5" i="13" s="1"/>
  <c r="L4" i="13" s="1"/>
  <c r="L3" i="13" s="1"/>
  <c r="Q362" i="13"/>
  <c r="Q361" i="13" s="1"/>
  <c r="Q360" i="13" s="1"/>
  <c r="Q359" i="13" s="1"/>
  <c r="Q358" i="13" s="1"/>
  <c r="Q357" i="13" s="1"/>
  <c r="Q356" i="13" s="1"/>
  <c r="Q355" i="13" s="1"/>
  <c r="Q354" i="13" s="1"/>
  <c r="Q353" i="13" s="1"/>
  <c r="Q352" i="13" s="1"/>
  <c r="Q351" i="13" s="1"/>
  <c r="Q350" i="13" s="1"/>
  <c r="Q349" i="13" s="1"/>
  <c r="Q348" i="13" s="1"/>
  <c r="Q347" i="13" s="1"/>
  <c r="Q346" i="13" s="1"/>
  <c r="Q345" i="13" s="1"/>
  <c r="Q344" i="13" s="1"/>
  <c r="Q343" i="13" s="1"/>
  <c r="Q342" i="13" s="1"/>
  <c r="Q341" i="13" s="1"/>
  <c r="Q340" i="13" s="1"/>
  <c r="Q339" i="13" s="1"/>
  <c r="Q338" i="13" s="1"/>
  <c r="Q337" i="13" s="1"/>
  <c r="Q336" i="13" s="1"/>
  <c r="Q335" i="13" s="1"/>
  <c r="Q334" i="13" s="1"/>
  <c r="Q333" i="13" s="1"/>
  <c r="Q332" i="13" s="1"/>
  <c r="Q331" i="13" s="1"/>
  <c r="Q330" i="13" s="1"/>
  <c r="Q329" i="13" s="1"/>
  <c r="Q328" i="13" s="1"/>
  <c r="Q327" i="13" s="1"/>
  <c r="Q326" i="13" s="1"/>
  <c r="Q325" i="13" s="1"/>
  <c r="Q324" i="13" s="1"/>
  <c r="Q323" i="13" s="1"/>
  <c r="Q322" i="13" s="1"/>
  <c r="Q321" i="13" s="1"/>
  <c r="Q320" i="13" s="1"/>
  <c r="Q319" i="13" s="1"/>
  <c r="Q318" i="13" s="1"/>
  <c r="Q317" i="13" s="1"/>
  <c r="Q316" i="13" s="1"/>
  <c r="Q315" i="13" s="1"/>
  <c r="Q314" i="13" s="1"/>
  <c r="Q313" i="13" s="1"/>
  <c r="Q312" i="13" s="1"/>
  <c r="Q311" i="13" s="1"/>
  <c r="Q310" i="13" s="1"/>
  <c r="Q309" i="13" s="1"/>
  <c r="Q308" i="13" s="1"/>
  <c r="Q307" i="13" s="1"/>
  <c r="Q306" i="13" s="1"/>
  <c r="Q305" i="13" s="1"/>
  <c r="Q304" i="13" s="1"/>
  <c r="Q303" i="13" s="1"/>
  <c r="Q302" i="13" s="1"/>
  <c r="Q301" i="13" s="1"/>
  <c r="Q300" i="13" s="1"/>
  <c r="Q299" i="13" s="1"/>
  <c r="Q298" i="13" s="1"/>
  <c r="Q297" i="13" s="1"/>
  <c r="Q296" i="13" s="1"/>
  <c r="Q295" i="13" s="1"/>
  <c r="Q294" i="13" s="1"/>
  <c r="Q293" i="13" s="1"/>
  <c r="Q292" i="13" s="1"/>
  <c r="Q291" i="13" s="1"/>
  <c r="Q290" i="13" s="1"/>
  <c r="Q289" i="13" s="1"/>
  <c r="Q288" i="13" s="1"/>
  <c r="Q287" i="13" s="1"/>
  <c r="Q286" i="13" s="1"/>
  <c r="Q285" i="13" s="1"/>
  <c r="Q284" i="13" s="1"/>
  <c r="Q283" i="13" s="1"/>
  <c r="Q282" i="13" s="1"/>
  <c r="Q281" i="13" s="1"/>
  <c r="Q280" i="13" s="1"/>
  <c r="Q279" i="13" s="1"/>
  <c r="Q278" i="13" s="1"/>
  <c r="Q277" i="13" s="1"/>
  <c r="Q276" i="13" s="1"/>
  <c r="Q275" i="13" s="1"/>
  <c r="Q274" i="13" s="1"/>
  <c r="Q273" i="13" s="1"/>
  <c r="Q272" i="13" s="1"/>
  <c r="Q271" i="13" s="1"/>
  <c r="Q270" i="13" s="1"/>
  <c r="Q269" i="13" s="1"/>
  <c r="Q268" i="13" s="1"/>
  <c r="Q267" i="13" s="1"/>
  <c r="Q266" i="13" s="1"/>
  <c r="Q265" i="13" s="1"/>
  <c r="Q264" i="13" s="1"/>
  <c r="Q263" i="13" s="1"/>
  <c r="Q262" i="13" s="1"/>
  <c r="Q261" i="13" s="1"/>
  <c r="Q260" i="13" s="1"/>
  <c r="Q259" i="13" s="1"/>
  <c r="Q258" i="13" s="1"/>
  <c r="Q257" i="13" s="1"/>
  <c r="Q256" i="13" s="1"/>
  <c r="Q255" i="13" s="1"/>
  <c r="Q254" i="13" s="1"/>
  <c r="Q253" i="13" s="1"/>
  <c r="Q252" i="13" s="1"/>
  <c r="Q251" i="13" s="1"/>
  <c r="Q250" i="13" s="1"/>
  <c r="Q249" i="13" s="1"/>
  <c r="Q248" i="13" s="1"/>
  <c r="Q247" i="13" s="1"/>
  <c r="Q246" i="13" s="1"/>
  <c r="Q245" i="13" s="1"/>
  <c r="Q244" i="13" s="1"/>
  <c r="Q243" i="13" s="1"/>
  <c r="Q242" i="13" s="1"/>
  <c r="Q241" i="13" s="1"/>
  <c r="Q240" i="13" s="1"/>
  <c r="Q239" i="13" s="1"/>
  <c r="Q238" i="13" s="1"/>
  <c r="Q237" i="13" s="1"/>
  <c r="Q236" i="13" s="1"/>
  <c r="Q235" i="13" s="1"/>
  <c r="Q234" i="13" s="1"/>
  <c r="Q233" i="13" s="1"/>
  <c r="Q232" i="13" s="1"/>
  <c r="Q231" i="13" s="1"/>
  <c r="Q230" i="13" s="1"/>
  <c r="Q229" i="13" s="1"/>
  <c r="Q228" i="13" s="1"/>
  <c r="Q227" i="13" s="1"/>
  <c r="Q226" i="13" s="1"/>
  <c r="Q225" i="13" s="1"/>
  <c r="Q224" i="13" s="1"/>
  <c r="Q223" i="13" s="1"/>
  <c r="Q222" i="13" s="1"/>
  <c r="Q221" i="13" s="1"/>
  <c r="Q220" i="13" s="1"/>
  <c r="Q219" i="13" s="1"/>
  <c r="Q218" i="13" s="1"/>
  <c r="Q217" i="13" s="1"/>
  <c r="Q216" i="13" s="1"/>
  <c r="Q215" i="13" s="1"/>
  <c r="Q214" i="13" s="1"/>
  <c r="Q213" i="13" s="1"/>
  <c r="Q212" i="13" s="1"/>
  <c r="Q211" i="13" s="1"/>
  <c r="Q210" i="13" s="1"/>
  <c r="Q209" i="13" s="1"/>
  <c r="Q208" i="13" s="1"/>
  <c r="Q207" i="13" s="1"/>
  <c r="Q206" i="13" s="1"/>
  <c r="Q205" i="13" s="1"/>
  <c r="Q204" i="13" s="1"/>
  <c r="Q203" i="13" s="1"/>
  <c r="Q202" i="13" s="1"/>
  <c r="Q201" i="13" s="1"/>
  <c r="Q200" i="13" s="1"/>
  <c r="Q199" i="13" s="1"/>
  <c r="Q198" i="13" s="1"/>
  <c r="Q197" i="13" s="1"/>
  <c r="Q196" i="13" s="1"/>
  <c r="Q195" i="13" s="1"/>
  <c r="Q194" i="13" s="1"/>
  <c r="Q193" i="13" s="1"/>
  <c r="Q192" i="13" s="1"/>
  <c r="Q191" i="13" s="1"/>
  <c r="Q190" i="13" s="1"/>
  <c r="Q189" i="13" s="1"/>
  <c r="Q188" i="13" s="1"/>
  <c r="Q187" i="13" s="1"/>
  <c r="Q186" i="13" s="1"/>
  <c r="Q185" i="13" s="1"/>
  <c r="Q184" i="13" s="1"/>
  <c r="Q183" i="13" s="1"/>
  <c r="Q182" i="13" s="1"/>
  <c r="Q181" i="13" s="1"/>
  <c r="Q180" i="13" s="1"/>
  <c r="Q179" i="13" s="1"/>
  <c r="Q178" i="13" s="1"/>
  <c r="Q177" i="13" s="1"/>
  <c r="Q176" i="13" s="1"/>
  <c r="Q175" i="13" s="1"/>
  <c r="Q174" i="13" s="1"/>
  <c r="Q173" i="13" s="1"/>
  <c r="Q172" i="13" s="1"/>
  <c r="Q171" i="13" s="1"/>
  <c r="Q170" i="13" s="1"/>
  <c r="Q169" i="13" s="1"/>
  <c r="Q168" i="13" s="1"/>
  <c r="Q167" i="13" s="1"/>
  <c r="Q166" i="13" s="1"/>
  <c r="Q165" i="13" s="1"/>
  <c r="Q164" i="13" s="1"/>
  <c r="Q163" i="13" s="1"/>
  <c r="Q162" i="13" s="1"/>
  <c r="Q161" i="13" s="1"/>
  <c r="Q160" i="13" s="1"/>
  <c r="Q159" i="13" s="1"/>
  <c r="Q158" i="13" s="1"/>
  <c r="Q157" i="13" s="1"/>
  <c r="Q156" i="13" s="1"/>
  <c r="Q155" i="13" s="1"/>
  <c r="Q154" i="13" s="1"/>
  <c r="Q153" i="13" s="1"/>
  <c r="Q152" i="13" s="1"/>
  <c r="Q151" i="13" s="1"/>
  <c r="Q150" i="13" s="1"/>
  <c r="Q149" i="13" s="1"/>
  <c r="Q148" i="13" s="1"/>
  <c r="Q147" i="13" s="1"/>
  <c r="Q146" i="13" s="1"/>
  <c r="Q145" i="13" s="1"/>
  <c r="Q144" i="13" s="1"/>
  <c r="Q143" i="13" s="1"/>
  <c r="Q142" i="13" s="1"/>
  <c r="Q141" i="13" s="1"/>
  <c r="Q140" i="13" s="1"/>
  <c r="Q139" i="13" s="1"/>
  <c r="Q138" i="13" s="1"/>
  <c r="Q137" i="13" s="1"/>
  <c r="Q136" i="13" s="1"/>
  <c r="Q135" i="13" s="1"/>
  <c r="Q134" i="13" s="1"/>
  <c r="Q133" i="13" s="1"/>
  <c r="Q132" i="13" s="1"/>
  <c r="Q131" i="13" s="1"/>
  <c r="Q130" i="13" s="1"/>
  <c r="Q129" i="13" s="1"/>
  <c r="Q128" i="13" s="1"/>
  <c r="Q127" i="13" s="1"/>
  <c r="Q126" i="13" s="1"/>
  <c r="Q125" i="13" s="1"/>
  <c r="Q124" i="13" s="1"/>
  <c r="Q123" i="13" s="1"/>
  <c r="Q122" i="13" s="1"/>
  <c r="Q121" i="13" s="1"/>
  <c r="Q120" i="13" s="1"/>
  <c r="Q119" i="13" s="1"/>
  <c r="Q118" i="13" s="1"/>
  <c r="Q117" i="13" s="1"/>
  <c r="Q116" i="13" s="1"/>
  <c r="Q115" i="13" s="1"/>
  <c r="Q114" i="13" s="1"/>
  <c r="Q113" i="13" s="1"/>
  <c r="Q112" i="13" s="1"/>
  <c r="Q111" i="13" s="1"/>
  <c r="Q110" i="13" s="1"/>
  <c r="Q109" i="13" s="1"/>
  <c r="Q108" i="13" s="1"/>
  <c r="Q107" i="13" s="1"/>
  <c r="Q106" i="13" s="1"/>
  <c r="Q105" i="13" s="1"/>
  <c r="Q104" i="13" s="1"/>
  <c r="Q103" i="13" s="1"/>
  <c r="Q102" i="13" s="1"/>
  <c r="Q101" i="13" s="1"/>
  <c r="Q100" i="13" s="1"/>
  <c r="Q99" i="13" s="1"/>
  <c r="Q98" i="13" s="1"/>
  <c r="Q97" i="13" s="1"/>
  <c r="Q96" i="13" s="1"/>
  <c r="Q95" i="13" s="1"/>
  <c r="Q94" i="13" s="1"/>
  <c r="Q93" i="13" s="1"/>
  <c r="Q92" i="13" s="1"/>
  <c r="Q91" i="13" s="1"/>
  <c r="Q90" i="13" s="1"/>
  <c r="Q89" i="13" s="1"/>
  <c r="Q88" i="13" s="1"/>
  <c r="Q87" i="13" s="1"/>
  <c r="Q86" i="13" s="1"/>
  <c r="Q85" i="13" s="1"/>
  <c r="Q84" i="13" s="1"/>
  <c r="Q83" i="13" s="1"/>
  <c r="Q82" i="13" s="1"/>
  <c r="Q81" i="13" s="1"/>
  <c r="Q80" i="13" s="1"/>
  <c r="Q79" i="13" s="1"/>
  <c r="Q78" i="13" s="1"/>
  <c r="Q77" i="13" s="1"/>
  <c r="Q76" i="13" s="1"/>
  <c r="Q75" i="13" s="1"/>
  <c r="Q74" i="13" s="1"/>
  <c r="Q73" i="13" s="1"/>
  <c r="Q72" i="13" s="1"/>
  <c r="Q71" i="13" s="1"/>
  <c r="Q70" i="13" s="1"/>
  <c r="Q69" i="13" s="1"/>
  <c r="Q68" i="13" s="1"/>
  <c r="Q67" i="13" s="1"/>
  <c r="Q66" i="13" s="1"/>
  <c r="Q65" i="13" s="1"/>
  <c r="Q64" i="13" s="1"/>
  <c r="Q63" i="13" s="1"/>
  <c r="Q62" i="13" s="1"/>
  <c r="Q61" i="13" s="1"/>
  <c r="Q60" i="13" s="1"/>
  <c r="Q59" i="13" s="1"/>
  <c r="Q58" i="13" s="1"/>
  <c r="Q57" i="13" s="1"/>
  <c r="Q56" i="13" s="1"/>
  <c r="Q55" i="13" s="1"/>
  <c r="Q54" i="13" s="1"/>
  <c r="Q53" i="13" s="1"/>
  <c r="Q52" i="13" s="1"/>
  <c r="Q51" i="13" s="1"/>
  <c r="Q50" i="13" s="1"/>
  <c r="Q49" i="13" s="1"/>
  <c r="Q48" i="13" s="1"/>
  <c r="Q47" i="13" s="1"/>
  <c r="Q46" i="13" s="1"/>
  <c r="Q45" i="13" s="1"/>
  <c r="Q44" i="13" s="1"/>
  <c r="Q43" i="13" s="1"/>
  <c r="Q42" i="13" s="1"/>
  <c r="Q41" i="13" s="1"/>
  <c r="Q40" i="13" s="1"/>
  <c r="Q39" i="13" s="1"/>
  <c r="Q38" i="13" s="1"/>
  <c r="Q37" i="13" s="1"/>
  <c r="Q36" i="13" s="1"/>
  <c r="Q35" i="13" s="1"/>
  <c r="Q34" i="13" s="1"/>
  <c r="Q33" i="13" s="1"/>
  <c r="Q32" i="13" s="1"/>
  <c r="Q31" i="13" s="1"/>
  <c r="Q30" i="13" s="1"/>
  <c r="Q29" i="13" s="1"/>
  <c r="Q28" i="13" s="1"/>
  <c r="Q27" i="13" s="1"/>
  <c r="Q26" i="13" s="1"/>
  <c r="Q25" i="13" s="1"/>
  <c r="Q24" i="13" s="1"/>
  <c r="Q23" i="13" s="1"/>
  <c r="Q22" i="13" s="1"/>
  <c r="Q21" i="13" s="1"/>
  <c r="Q20" i="13" s="1"/>
  <c r="Q19" i="13" s="1"/>
  <c r="Q18" i="13" s="1"/>
  <c r="Q17" i="13" s="1"/>
  <c r="Q16" i="13" s="1"/>
  <c r="Q15" i="13" s="1"/>
  <c r="Q14" i="13" s="1"/>
  <c r="Q13" i="13" s="1"/>
  <c r="Q12" i="13" s="1"/>
  <c r="Q11" i="13" s="1"/>
  <c r="Q10" i="13" s="1"/>
  <c r="Q9" i="13" s="1"/>
  <c r="Q8" i="13" s="1"/>
  <c r="Q7" i="13" s="1"/>
  <c r="Q6" i="13" s="1"/>
  <c r="Q5" i="13" s="1"/>
  <c r="Q4" i="13" s="1"/>
  <c r="Q3" i="13" s="1"/>
  <c r="T363" i="13"/>
  <c r="G363" i="13"/>
  <c r="O363" i="13"/>
  <c r="O80" i="8"/>
  <c r="O85" i="8" s="1"/>
  <c r="I89" i="8"/>
  <c r="I87" i="8" s="1"/>
  <c r="H89" i="8"/>
  <c r="H87" i="8" s="1"/>
  <c r="O68" i="8"/>
  <c r="O25" i="8"/>
  <c r="O43" i="8"/>
  <c r="H88" i="8"/>
  <c r="H107" i="8"/>
  <c r="O129" i="8"/>
  <c r="O172" i="8"/>
  <c r="R311" i="8"/>
  <c r="H316" i="8" s="1"/>
  <c r="R331" i="8"/>
  <c r="H336" i="8" s="1"/>
  <c r="R351" i="8"/>
  <c r="H356" i="8" s="1"/>
  <c r="S360" i="8"/>
  <c r="O104" i="8"/>
  <c r="O107" i="8" s="1"/>
  <c r="O193" i="8"/>
  <c r="O213" i="8"/>
  <c r="O253" i="8"/>
  <c r="O273" i="8"/>
  <c r="O293" i="8"/>
  <c r="O313" i="8"/>
  <c r="O333" i="8"/>
  <c r="Q362" i="10"/>
  <c r="Q361" i="10" s="1"/>
  <c r="Q360" i="10" s="1"/>
  <c r="Q359" i="10" s="1"/>
  <c r="Q358" i="10" s="1"/>
  <c r="Q357" i="10" s="1"/>
  <c r="Q356" i="10" s="1"/>
  <c r="Q355" i="10" s="1"/>
  <c r="Q354" i="10" s="1"/>
  <c r="Q353" i="10" s="1"/>
  <c r="Q352" i="10" s="1"/>
  <c r="Q351" i="10" s="1"/>
  <c r="Q350" i="10" s="1"/>
  <c r="Q349" i="10" s="1"/>
  <c r="Q348" i="10" s="1"/>
  <c r="Q347" i="10" s="1"/>
  <c r="Q346" i="10" s="1"/>
  <c r="Q345" i="10" s="1"/>
  <c r="Q344" i="10" s="1"/>
  <c r="Q343" i="10" s="1"/>
  <c r="Q342" i="10" s="1"/>
  <c r="Q341" i="10" s="1"/>
  <c r="Q340" i="10" s="1"/>
  <c r="Q339" i="10" s="1"/>
  <c r="Q338" i="10" s="1"/>
  <c r="Q337" i="10" s="1"/>
  <c r="Q336" i="10" s="1"/>
  <c r="Q335" i="10" s="1"/>
  <c r="Q334" i="10" s="1"/>
  <c r="Q333" i="10" s="1"/>
  <c r="Q332" i="10" s="1"/>
  <c r="Q331" i="10" s="1"/>
  <c r="Q330" i="10" s="1"/>
  <c r="Q329" i="10" s="1"/>
  <c r="Q328" i="10" s="1"/>
  <c r="Q327" i="10" s="1"/>
  <c r="Q326" i="10" s="1"/>
  <c r="Q325" i="10" s="1"/>
  <c r="Q324" i="10" s="1"/>
  <c r="Q323" i="10" s="1"/>
  <c r="Q322" i="10" s="1"/>
  <c r="Q321" i="10" s="1"/>
  <c r="Q320" i="10" s="1"/>
  <c r="Q319" i="10" s="1"/>
  <c r="Q318" i="10" s="1"/>
  <c r="Q317" i="10" s="1"/>
  <c r="Q316" i="10" s="1"/>
  <c r="Q315" i="10" s="1"/>
  <c r="Q314" i="10" s="1"/>
  <c r="Q313" i="10" s="1"/>
  <c r="Q312" i="10" s="1"/>
  <c r="Q311" i="10" s="1"/>
  <c r="Q310" i="10" s="1"/>
  <c r="Q309" i="10" s="1"/>
  <c r="Q308" i="10" s="1"/>
  <c r="Q307" i="10" s="1"/>
  <c r="Q306" i="10" s="1"/>
  <c r="Q305" i="10" s="1"/>
  <c r="Q304" i="10" s="1"/>
  <c r="Q303" i="10" s="1"/>
  <c r="Q302" i="10" s="1"/>
  <c r="Q301" i="10" s="1"/>
  <c r="Q300" i="10" s="1"/>
  <c r="Q299" i="10" s="1"/>
  <c r="Q298" i="10" s="1"/>
  <c r="Q297" i="10" s="1"/>
  <c r="Q296" i="10" s="1"/>
  <c r="Q295" i="10" s="1"/>
  <c r="Q294" i="10" s="1"/>
  <c r="Q293" i="10" s="1"/>
  <c r="Q292" i="10" s="1"/>
  <c r="Q291" i="10" s="1"/>
  <c r="Q290" i="10" s="1"/>
  <c r="Q289" i="10" s="1"/>
  <c r="Q288" i="10" s="1"/>
  <c r="Q287" i="10" s="1"/>
  <c r="Q286" i="10" s="1"/>
  <c r="Q285" i="10" s="1"/>
  <c r="Q284" i="10" s="1"/>
  <c r="Q283" i="10" s="1"/>
  <c r="Q282" i="10" s="1"/>
  <c r="Q281" i="10" s="1"/>
  <c r="Q280" i="10" s="1"/>
  <c r="Q279" i="10" s="1"/>
  <c r="Q278" i="10" s="1"/>
  <c r="Q277" i="10" s="1"/>
  <c r="Q276" i="10" s="1"/>
  <c r="Q275" i="10" s="1"/>
  <c r="Q274" i="10" s="1"/>
  <c r="Q273" i="10" s="1"/>
  <c r="Q272" i="10" s="1"/>
  <c r="Q271" i="10" s="1"/>
  <c r="Q270" i="10" s="1"/>
  <c r="Q269" i="10" s="1"/>
  <c r="Q268" i="10" s="1"/>
  <c r="Q267" i="10" s="1"/>
  <c r="Q266" i="10" s="1"/>
  <c r="Q265" i="10" s="1"/>
  <c r="Q264" i="10" s="1"/>
  <c r="Q263" i="10" s="1"/>
  <c r="Q262" i="10" s="1"/>
  <c r="Q261" i="10" s="1"/>
  <c r="Q260" i="10" s="1"/>
  <c r="Q259" i="10" s="1"/>
  <c r="Q258" i="10" s="1"/>
  <c r="Q257" i="10" s="1"/>
  <c r="Q256" i="10" s="1"/>
  <c r="Q255" i="10" s="1"/>
  <c r="Q254" i="10" s="1"/>
  <c r="Q253" i="10" s="1"/>
  <c r="Q252" i="10" s="1"/>
  <c r="Q251" i="10" s="1"/>
  <c r="Q250" i="10" s="1"/>
  <c r="Q249" i="10" s="1"/>
  <c r="Q248" i="10" s="1"/>
  <c r="Q247" i="10" s="1"/>
  <c r="Q246" i="10" s="1"/>
  <c r="Q245" i="10" s="1"/>
  <c r="Q244" i="10" s="1"/>
  <c r="Q243" i="10" s="1"/>
  <c r="Q242" i="10" s="1"/>
  <c r="Q241" i="10" s="1"/>
  <c r="Q240" i="10" s="1"/>
  <c r="Q239" i="10" s="1"/>
  <c r="Q238" i="10" s="1"/>
  <c r="Q237" i="10" s="1"/>
  <c r="Q236" i="10" s="1"/>
  <c r="Q235" i="10" s="1"/>
  <c r="Q234" i="10" s="1"/>
  <c r="Q233" i="10" s="1"/>
  <c r="Q232" i="10" s="1"/>
  <c r="Q231" i="10" s="1"/>
  <c r="Q230" i="10" s="1"/>
  <c r="Q229" i="10" s="1"/>
  <c r="Q228" i="10" s="1"/>
  <c r="Q227" i="10" s="1"/>
  <c r="Q226" i="10" s="1"/>
  <c r="Q225" i="10" s="1"/>
  <c r="Q224" i="10" s="1"/>
  <c r="Q223" i="10" s="1"/>
  <c r="Q222" i="10" s="1"/>
  <c r="Q221" i="10" s="1"/>
  <c r="Q220" i="10" s="1"/>
  <c r="Q219" i="10" s="1"/>
  <c r="Q218" i="10" s="1"/>
  <c r="Q217" i="10" s="1"/>
  <c r="Q216" i="10" s="1"/>
  <c r="Q215" i="10" s="1"/>
  <c r="Q214" i="10" s="1"/>
  <c r="Q213" i="10" s="1"/>
  <c r="Q212" i="10" s="1"/>
  <c r="Q211" i="10" s="1"/>
  <c r="Q210" i="10" s="1"/>
  <c r="Q209" i="10" s="1"/>
  <c r="Q208" i="10" s="1"/>
  <c r="Q207" i="10" s="1"/>
  <c r="Q206" i="10" s="1"/>
  <c r="Q205" i="10" s="1"/>
  <c r="Q204" i="10" s="1"/>
  <c r="Q203" i="10" s="1"/>
  <c r="Q202" i="10" s="1"/>
  <c r="Q201" i="10" s="1"/>
  <c r="Q200" i="10" s="1"/>
  <c r="Q199" i="10" s="1"/>
  <c r="Q198" i="10" s="1"/>
  <c r="Q197" i="10" s="1"/>
  <c r="Q196" i="10" s="1"/>
  <c r="Q195" i="10" s="1"/>
  <c r="Q194" i="10" s="1"/>
  <c r="Q193" i="10" s="1"/>
  <c r="Q192" i="10" s="1"/>
  <c r="Q191" i="10" s="1"/>
  <c r="Q190" i="10" s="1"/>
  <c r="Q189" i="10" s="1"/>
  <c r="Q188" i="10" s="1"/>
  <c r="Q187" i="10" s="1"/>
  <c r="Q186" i="10" s="1"/>
  <c r="Q185" i="10" s="1"/>
  <c r="Q184" i="10" s="1"/>
  <c r="Q183" i="10" s="1"/>
  <c r="Q182" i="10" s="1"/>
  <c r="Q181" i="10" s="1"/>
  <c r="Q180" i="10" s="1"/>
  <c r="Q179" i="10" s="1"/>
  <c r="Q178" i="10" s="1"/>
  <c r="Q177" i="10" s="1"/>
  <c r="Q176" i="10" s="1"/>
  <c r="Q175" i="10" s="1"/>
  <c r="Q174" i="10" s="1"/>
  <c r="Q173" i="10" s="1"/>
  <c r="Q172" i="10" s="1"/>
  <c r="Q171" i="10" s="1"/>
  <c r="Q170" i="10" s="1"/>
  <c r="Q169" i="10" s="1"/>
  <c r="Q168" i="10" s="1"/>
  <c r="Q167" i="10" s="1"/>
  <c r="Q166" i="10" s="1"/>
  <c r="Q165" i="10" s="1"/>
  <c r="Q164" i="10" s="1"/>
  <c r="Q163" i="10" s="1"/>
  <c r="Q162" i="10" s="1"/>
  <c r="Q161" i="10" s="1"/>
  <c r="Q160" i="10" s="1"/>
  <c r="Q159" i="10" s="1"/>
  <c r="Q158" i="10" s="1"/>
  <c r="Q157" i="10" s="1"/>
  <c r="Q156" i="10" s="1"/>
  <c r="Q155" i="10" s="1"/>
  <c r="Q154" i="10" s="1"/>
  <c r="Q153" i="10" s="1"/>
  <c r="Q152" i="10" s="1"/>
  <c r="Q151" i="10" s="1"/>
  <c r="Q150" i="10" s="1"/>
  <c r="Q149" i="10" s="1"/>
  <c r="Q148" i="10" s="1"/>
  <c r="Q147" i="10" s="1"/>
  <c r="Q146" i="10" s="1"/>
  <c r="Q145" i="10" s="1"/>
  <c r="Q144" i="10" s="1"/>
  <c r="Q143" i="10" s="1"/>
  <c r="Q142" i="10" s="1"/>
  <c r="Q141" i="10" s="1"/>
  <c r="Q140" i="10" s="1"/>
  <c r="Q139" i="10" s="1"/>
  <c r="Q138" i="10" s="1"/>
  <c r="Q137" i="10" s="1"/>
  <c r="Q136" i="10" s="1"/>
  <c r="Q135" i="10" s="1"/>
  <c r="Q134" i="10" s="1"/>
  <c r="Q133" i="10" s="1"/>
  <c r="Q132" i="10" s="1"/>
  <c r="Q131" i="10" s="1"/>
  <c r="Q130" i="10" s="1"/>
  <c r="Q129" i="10" s="1"/>
  <c r="Q128" i="10" s="1"/>
  <c r="Q127" i="10" s="1"/>
  <c r="Q126" i="10" s="1"/>
  <c r="Q125" i="10" s="1"/>
  <c r="Q124" i="10" s="1"/>
  <c r="Q123" i="10" s="1"/>
  <c r="Q122" i="10" s="1"/>
  <c r="Q121" i="10" s="1"/>
  <c r="Q120" i="10" s="1"/>
  <c r="Q119" i="10" s="1"/>
  <c r="Q118" i="10" s="1"/>
  <c r="Q117" i="10" s="1"/>
  <c r="Q116" i="10" s="1"/>
  <c r="Q115" i="10" s="1"/>
  <c r="Q114" i="10" s="1"/>
  <c r="Q113" i="10" s="1"/>
  <c r="Q112" i="10" s="1"/>
  <c r="Q111" i="10" s="1"/>
  <c r="Q110" i="10" s="1"/>
  <c r="Q109" i="10" s="1"/>
  <c r="Q108" i="10" s="1"/>
  <c r="Q107" i="10" s="1"/>
  <c r="Q106" i="10" s="1"/>
  <c r="Q105" i="10" s="1"/>
  <c r="Q104" i="10" s="1"/>
  <c r="Q103" i="10" s="1"/>
  <c r="Q102" i="10" s="1"/>
  <c r="Q101" i="10" s="1"/>
  <c r="Q100" i="10" s="1"/>
  <c r="Q99" i="10" s="1"/>
  <c r="Q98" i="10" s="1"/>
  <c r="Q97" i="10" s="1"/>
  <c r="Q96" i="10" s="1"/>
  <c r="Q95" i="10" s="1"/>
  <c r="Q94" i="10" s="1"/>
  <c r="Q93" i="10" s="1"/>
  <c r="Q92" i="10" s="1"/>
  <c r="Q91" i="10" s="1"/>
  <c r="Q90" i="10" s="1"/>
  <c r="Q89" i="10" s="1"/>
  <c r="Q88" i="10" s="1"/>
  <c r="Q87" i="10" s="1"/>
  <c r="Q86" i="10" s="1"/>
  <c r="Q85" i="10" s="1"/>
  <c r="Q84" i="10" s="1"/>
  <c r="Q83" i="10" s="1"/>
  <c r="Q82" i="10" s="1"/>
  <c r="Q81" i="10" s="1"/>
  <c r="Q80" i="10" s="1"/>
  <c r="Q79" i="10" s="1"/>
  <c r="Q78" i="10" s="1"/>
  <c r="Q77" i="10" s="1"/>
  <c r="Q76" i="10" s="1"/>
  <c r="Q75" i="10" s="1"/>
  <c r="Q74" i="10" s="1"/>
  <c r="Q73" i="10" s="1"/>
  <c r="Q72" i="10" s="1"/>
  <c r="Q71" i="10" s="1"/>
  <c r="Q70" i="10" s="1"/>
  <c r="Q69" i="10" s="1"/>
  <c r="Q68" i="10" s="1"/>
  <c r="Q67" i="10" s="1"/>
  <c r="Q66" i="10" s="1"/>
  <c r="Q65" i="10" s="1"/>
  <c r="Q64" i="10" s="1"/>
  <c r="Q63" i="10" s="1"/>
  <c r="Q62" i="10" s="1"/>
  <c r="Q61" i="10" s="1"/>
  <c r="Q60" i="10" s="1"/>
  <c r="Q59" i="10" s="1"/>
  <c r="Q58" i="10" s="1"/>
  <c r="Q57" i="10" s="1"/>
  <c r="Q56" i="10" s="1"/>
  <c r="Q55" i="10" s="1"/>
  <c r="Q54" i="10" s="1"/>
  <c r="Q53" i="10" s="1"/>
  <c r="Q52" i="10" s="1"/>
  <c r="Q51" i="10" s="1"/>
  <c r="Q50" i="10" s="1"/>
  <c r="Q49" i="10" s="1"/>
  <c r="Q48" i="10" s="1"/>
  <c r="Q47" i="10" s="1"/>
  <c r="Q46" i="10" s="1"/>
  <c r="Q45" i="10" s="1"/>
  <c r="Q44" i="10" s="1"/>
  <c r="Q43" i="10" s="1"/>
  <c r="Q42" i="10" s="1"/>
  <c r="Q41" i="10" s="1"/>
  <c r="Q40" i="10" s="1"/>
  <c r="Q39" i="10" s="1"/>
  <c r="Q38" i="10" s="1"/>
  <c r="Q37" i="10" s="1"/>
  <c r="Q36" i="10" s="1"/>
  <c r="Q35" i="10" s="1"/>
  <c r="Q34" i="10" s="1"/>
  <c r="Q33" i="10" s="1"/>
  <c r="Q32" i="10" s="1"/>
  <c r="Q31" i="10" s="1"/>
  <c r="Q30" i="10" s="1"/>
  <c r="Q29" i="10" s="1"/>
  <c r="Q28" i="10" s="1"/>
  <c r="Q27" i="10" s="1"/>
  <c r="Q26" i="10" s="1"/>
  <c r="Q25" i="10" s="1"/>
  <c r="Q24" i="10" s="1"/>
  <c r="Q23" i="10" s="1"/>
  <c r="Q22" i="10" s="1"/>
  <c r="Q21" i="10" s="1"/>
  <c r="Q20" i="10" s="1"/>
  <c r="Q19" i="10" s="1"/>
  <c r="Q18" i="10" s="1"/>
  <c r="Q17" i="10" s="1"/>
  <c r="Q16" i="10" s="1"/>
  <c r="Q15" i="10" s="1"/>
  <c r="Q14" i="10" s="1"/>
  <c r="Q13" i="10" s="1"/>
  <c r="Q12" i="10" s="1"/>
  <c r="Q11" i="10" s="1"/>
  <c r="Q10" i="10" s="1"/>
  <c r="Q9" i="10" s="1"/>
  <c r="Q8" i="10" s="1"/>
  <c r="Q7" i="10" s="1"/>
  <c r="Q6" i="10" s="1"/>
  <c r="Q5" i="10" s="1"/>
  <c r="Q4" i="10" s="1"/>
  <c r="Q3" i="10" s="1"/>
  <c r="T363" i="10"/>
  <c r="G363" i="10"/>
  <c r="O363" i="10"/>
  <c r="O153" i="11" l="1"/>
  <c r="L148" i="11"/>
  <c r="L155" i="11"/>
  <c r="L157" i="11" s="1"/>
  <c r="L363" i="10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L23" i="10" s="1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L6" i="10" s="1"/>
  <c r="L5" i="10" s="1"/>
  <c r="L4" i="10" s="1"/>
  <c r="L3" i="10" s="1"/>
  <c r="H54" i="8"/>
  <c r="L363" i="16"/>
  <c r="L362" i="16" s="1"/>
  <c r="L361" i="16" s="1"/>
  <c r="L360" i="16" s="1"/>
  <c r="L359" i="16" s="1"/>
  <c r="L358" i="16" s="1"/>
  <c r="L357" i="16" s="1"/>
  <c r="L356" i="16" s="1"/>
  <c r="L355" i="16" s="1"/>
  <c r="L354" i="16" s="1"/>
  <c r="L353" i="16" s="1"/>
  <c r="L352" i="16" s="1"/>
  <c r="L351" i="16" s="1"/>
  <c r="L350" i="16" s="1"/>
  <c r="L349" i="16" s="1"/>
  <c r="L348" i="16" s="1"/>
  <c r="L347" i="16" s="1"/>
  <c r="L346" i="16" s="1"/>
  <c r="L345" i="16" s="1"/>
  <c r="L344" i="16" s="1"/>
  <c r="L343" i="16" s="1"/>
  <c r="L342" i="16" s="1"/>
  <c r="L341" i="16" s="1"/>
  <c r="L340" i="16" s="1"/>
  <c r="L339" i="16" s="1"/>
  <c r="L338" i="16" s="1"/>
  <c r="L337" i="16" s="1"/>
  <c r="L336" i="16" s="1"/>
  <c r="L335" i="16" s="1"/>
  <c r="L334" i="16" s="1"/>
  <c r="L333" i="16" s="1"/>
  <c r="L332" i="16" s="1"/>
  <c r="L331" i="16" s="1"/>
  <c r="L330" i="16" s="1"/>
  <c r="L329" i="16" s="1"/>
  <c r="L328" i="16" s="1"/>
  <c r="L327" i="16" s="1"/>
  <c r="L326" i="16" s="1"/>
  <c r="L325" i="16" s="1"/>
  <c r="L324" i="16" s="1"/>
  <c r="L323" i="16" s="1"/>
  <c r="L322" i="16" s="1"/>
  <c r="L321" i="16" s="1"/>
  <c r="L320" i="16" s="1"/>
  <c r="L319" i="16" s="1"/>
  <c r="L318" i="16" s="1"/>
  <c r="L317" i="16" s="1"/>
  <c r="L316" i="16" s="1"/>
  <c r="L315" i="16" s="1"/>
  <c r="L314" i="16" s="1"/>
  <c r="L313" i="16" s="1"/>
  <c r="L312" i="16" s="1"/>
  <c r="L311" i="16" s="1"/>
  <c r="L310" i="16" s="1"/>
  <c r="L309" i="16" s="1"/>
  <c r="L308" i="16" s="1"/>
  <c r="L307" i="16" s="1"/>
  <c r="L306" i="16" s="1"/>
  <c r="L305" i="16" s="1"/>
  <c r="L304" i="16" s="1"/>
  <c r="L303" i="16" s="1"/>
  <c r="L302" i="16" s="1"/>
  <c r="L301" i="16" s="1"/>
  <c r="L300" i="16" s="1"/>
  <c r="L299" i="16" s="1"/>
  <c r="L298" i="16" s="1"/>
  <c r="L297" i="16" s="1"/>
  <c r="L296" i="16" s="1"/>
  <c r="L295" i="16" s="1"/>
  <c r="L294" i="16" s="1"/>
  <c r="L293" i="16" s="1"/>
  <c r="L292" i="16" s="1"/>
  <c r="L291" i="16" s="1"/>
  <c r="L290" i="16" s="1"/>
  <c r="L289" i="16" s="1"/>
  <c r="L288" i="16" s="1"/>
  <c r="L287" i="16" s="1"/>
  <c r="L286" i="16" s="1"/>
  <c r="L285" i="16" s="1"/>
  <c r="L284" i="16" s="1"/>
  <c r="L283" i="16" s="1"/>
  <c r="L282" i="16" s="1"/>
  <c r="L281" i="16" s="1"/>
  <c r="L280" i="16" s="1"/>
  <c r="L279" i="16" s="1"/>
  <c r="L278" i="16" s="1"/>
  <c r="L277" i="16" s="1"/>
  <c r="L276" i="16" s="1"/>
  <c r="L275" i="16" s="1"/>
  <c r="L274" i="16" s="1"/>
  <c r="L273" i="16" s="1"/>
  <c r="L272" i="16" s="1"/>
  <c r="L271" i="16" s="1"/>
  <c r="L270" i="16" s="1"/>
  <c r="L269" i="16" s="1"/>
  <c r="L268" i="16" s="1"/>
  <c r="L267" i="16" s="1"/>
  <c r="L266" i="16" s="1"/>
  <c r="L265" i="16" s="1"/>
  <c r="L264" i="16" s="1"/>
  <c r="L263" i="16" s="1"/>
  <c r="L262" i="16" s="1"/>
  <c r="L261" i="16" s="1"/>
  <c r="L260" i="16" s="1"/>
  <c r="L259" i="16" s="1"/>
  <c r="L258" i="16" s="1"/>
  <c r="L257" i="16" s="1"/>
  <c r="L256" i="16" s="1"/>
  <c r="L255" i="16" s="1"/>
  <c r="L254" i="16" s="1"/>
  <c r="L253" i="16" s="1"/>
  <c r="L252" i="16" s="1"/>
  <c r="L251" i="16" s="1"/>
  <c r="L250" i="16" s="1"/>
  <c r="L249" i="16" s="1"/>
  <c r="L248" i="16" s="1"/>
  <c r="L247" i="16" s="1"/>
  <c r="L246" i="16" s="1"/>
  <c r="L245" i="16" s="1"/>
  <c r="L244" i="16" s="1"/>
  <c r="L243" i="16" s="1"/>
  <c r="L242" i="16" s="1"/>
  <c r="L241" i="16" s="1"/>
  <c r="L240" i="16" s="1"/>
  <c r="L239" i="16" s="1"/>
  <c r="L238" i="16" s="1"/>
  <c r="L237" i="16" s="1"/>
  <c r="L236" i="16" s="1"/>
  <c r="L235" i="16" s="1"/>
  <c r="L234" i="16" s="1"/>
  <c r="L233" i="16" s="1"/>
  <c r="L232" i="16" s="1"/>
  <c r="L231" i="16" s="1"/>
  <c r="L230" i="16" s="1"/>
  <c r="L229" i="16" s="1"/>
  <c r="L228" i="16" s="1"/>
  <c r="L227" i="16" s="1"/>
  <c r="L226" i="16" s="1"/>
  <c r="L225" i="16" s="1"/>
  <c r="L224" i="16" s="1"/>
  <c r="L223" i="16" s="1"/>
  <c r="L222" i="16" s="1"/>
  <c r="L221" i="16" s="1"/>
  <c r="L220" i="16" s="1"/>
  <c r="L219" i="16" s="1"/>
  <c r="L218" i="16" s="1"/>
  <c r="L217" i="16" s="1"/>
  <c r="L216" i="16" s="1"/>
  <c r="L215" i="16" s="1"/>
  <c r="L214" i="16" s="1"/>
  <c r="L213" i="16" s="1"/>
  <c r="L212" i="16" s="1"/>
  <c r="L211" i="16" s="1"/>
  <c r="L210" i="16" s="1"/>
  <c r="L209" i="16" s="1"/>
  <c r="L208" i="16" s="1"/>
  <c r="L207" i="16" s="1"/>
  <c r="L206" i="16" s="1"/>
  <c r="L205" i="16" s="1"/>
  <c r="L204" i="16" s="1"/>
  <c r="L203" i="16" s="1"/>
  <c r="L202" i="16" s="1"/>
  <c r="L201" i="16" s="1"/>
  <c r="L200" i="16" s="1"/>
  <c r="L199" i="16" s="1"/>
  <c r="L198" i="16" s="1"/>
  <c r="L197" i="16" s="1"/>
  <c r="L196" i="16" s="1"/>
  <c r="L195" i="16" s="1"/>
  <c r="L194" i="16" s="1"/>
  <c r="L193" i="16" s="1"/>
  <c r="L192" i="16" s="1"/>
  <c r="L191" i="16" s="1"/>
  <c r="L190" i="16" s="1"/>
  <c r="L189" i="16" s="1"/>
  <c r="L188" i="16" s="1"/>
  <c r="L187" i="16" s="1"/>
  <c r="L186" i="16" s="1"/>
  <c r="L185" i="16" s="1"/>
  <c r="L184" i="16" s="1"/>
  <c r="L183" i="16" s="1"/>
  <c r="L182" i="16" s="1"/>
  <c r="L181" i="16" s="1"/>
  <c r="L180" i="16" s="1"/>
  <c r="L179" i="16" s="1"/>
  <c r="L178" i="16" s="1"/>
  <c r="L177" i="16" s="1"/>
  <c r="L176" i="16" s="1"/>
  <c r="L175" i="16" s="1"/>
  <c r="L174" i="16" s="1"/>
  <c r="L173" i="16" s="1"/>
  <c r="L172" i="16" s="1"/>
  <c r="L171" i="16" s="1"/>
  <c r="L170" i="16" s="1"/>
  <c r="L169" i="16" s="1"/>
  <c r="L168" i="16" s="1"/>
  <c r="L167" i="16" s="1"/>
  <c r="L166" i="16" s="1"/>
  <c r="L165" i="16" s="1"/>
  <c r="L164" i="16" s="1"/>
  <c r="L163" i="16" s="1"/>
  <c r="L162" i="16" s="1"/>
  <c r="L161" i="16" s="1"/>
  <c r="L160" i="16" s="1"/>
  <c r="L159" i="16" s="1"/>
  <c r="L158" i="16" s="1"/>
  <c r="L157" i="16" s="1"/>
  <c r="L156" i="16" s="1"/>
  <c r="L155" i="16" s="1"/>
  <c r="L154" i="16" s="1"/>
  <c r="L153" i="16" s="1"/>
  <c r="L152" i="16" s="1"/>
  <c r="L151" i="16" s="1"/>
  <c r="L150" i="16" s="1"/>
  <c r="L149" i="16" s="1"/>
  <c r="L148" i="16" s="1"/>
  <c r="L147" i="16" s="1"/>
  <c r="L146" i="16" s="1"/>
  <c r="L145" i="16" s="1"/>
  <c r="L144" i="16" s="1"/>
  <c r="L143" i="16" s="1"/>
  <c r="L142" i="16" s="1"/>
  <c r="L141" i="16" s="1"/>
  <c r="L140" i="16" s="1"/>
  <c r="L139" i="16" s="1"/>
  <c r="L138" i="16" s="1"/>
  <c r="L137" i="16" s="1"/>
  <c r="L136" i="16" s="1"/>
  <c r="L135" i="16" s="1"/>
  <c r="L134" i="16" s="1"/>
  <c r="L133" i="16" s="1"/>
  <c r="L132" i="16" s="1"/>
  <c r="L131" i="16" s="1"/>
  <c r="L130" i="16" s="1"/>
  <c r="L129" i="16" s="1"/>
  <c r="L128" i="16" s="1"/>
  <c r="L127" i="16" s="1"/>
  <c r="L126" i="16" s="1"/>
  <c r="L125" i="16" s="1"/>
  <c r="L124" i="16" s="1"/>
  <c r="L123" i="16" s="1"/>
  <c r="L122" i="16" s="1"/>
  <c r="L121" i="16" s="1"/>
  <c r="L120" i="16" s="1"/>
  <c r="L119" i="16" s="1"/>
  <c r="L118" i="16" s="1"/>
  <c r="L117" i="16" s="1"/>
  <c r="L116" i="16" s="1"/>
  <c r="L115" i="16" s="1"/>
  <c r="L114" i="16" s="1"/>
  <c r="L113" i="16" s="1"/>
  <c r="L112" i="16" s="1"/>
  <c r="L111" i="16" s="1"/>
  <c r="L110" i="16" s="1"/>
  <c r="L109" i="16" s="1"/>
  <c r="L108" i="16" s="1"/>
  <c r="L107" i="16" s="1"/>
  <c r="L106" i="16" s="1"/>
  <c r="L105" i="16" s="1"/>
  <c r="L104" i="16" s="1"/>
  <c r="L103" i="16" s="1"/>
  <c r="L102" i="16" s="1"/>
  <c r="L101" i="16" s="1"/>
  <c r="L100" i="16" s="1"/>
  <c r="L99" i="16" s="1"/>
  <c r="L98" i="16" s="1"/>
  <c r="L97" i="16" s="1"/>
  <c r="L96" i="16" s="1"/>
  <c r="L95" i="16" s="1"/>
  <c r="L94" i="16" s="1"/>
  <c r="L93" i="16" s="1"/>
  <c r="L92" i="16" s="1"/>
  <c r="L91" i="16" s="1"/>
  <c r="L90" i="16" s="1"/>
  <c r="L89" i="16" s="1"/>
  <c r="L88" i="16" s="1"/>
  <c r="L87" i="16" s="1"/>
  <c r="L86" i="16" s="1"/>
  <c r="L85" i="16" s="1"/>
  <c r="L84" i="16" s="1"/>
  <c r="L83" i="16" s="1"/>
  <c r="L82" i="16" s="1"/>
  <c r="L81" i="16" s="1"/>
  <c r="L80" i="16" s="1"/>
  <c r="L79" i="16" s="1"/>
  <c r="L78" i="16" s="1"/>
  <c r="L77" i="16" s="1"/>
  <c r="L76" i="16" s="1"/>
  <c r="L75" i="16" s="1"/>
  <c r="L74" i="16" s="1"/>
  <c r="L73" i="16" s="1"/>
  <c r="L72" i="16" s="1"/>
  <c r="L71" i="16" s="1"/>
  <c r="L70" i="16" s="1"/>
  <c r="L69" i="16" s="1"/>
  <c r="L68" i="16" s="1"/>
  <c r="L67" i="16" s="1"/>
  <c r="L66" i="16" s="1"/>
  <c r="L65" i="16" s="1"/>
  <c r="L64" i="16" s="1"/>
  <c r="L63" i="16" s="1"/>
  <c r="L62" i="16" s="1"/>
  <c r="L61" i="16" s="1"/>
  <c r="L60" i="16" s="1"/>
  <c r="L59" i="16" s="1"/>
  <c r="L58" i="16" s="1"/>
  <c r="L57" i="16" s="1"/>
  <c r="L56" i="16" s="1"/>
  <c r="L55" i="16" s="1"/>
  <c r="L54" i="16" s="1"/>
  <c r="L53" i="16" s="1"/>
  <c r="L52" i="16" s="1"/>
  <c r="L51" i="16" s="1"/>
  <c r="L50" i="16" s="1"/>
  <c r="L49" i="16" s="1"/>
  <c r="L48" i="16" s="1"/>
  <c r="L47" i="16" s="1"/>
  <c r="L46" i="16" s="1"/>
  <c r="L45" i="16" s="1"/>
  <c r="L44" i="16" s="1"/>
  <c r="L43" i="16" s="1"/>
  <c r="L42" i="16" s="1"/>
  <c r="L41" i="16" s="1"/>
  <c r="L40" i="16" s="1"/>
  <c r="L39" i="16" s="1"/>
  <c r="L38" i="16" s="1"/>
  <c r="L37" i="16" s="1"/>
  <c r="L36" i="16" s="1"/>
  <c r="L35" i="16" s="1"/>
  <c r="L34" i="16" s="1"/>
  <c r="L33" i="16" s="1"/>
  <c r="L32" i="16" s="1"/>
  <c r="L31" i="16" s="1"/>
  <c r="L30" i="16" s="1"/>
  <c r="L29" i="16" s="1"/>
  <c r="L28" i="16" s="1"/>
  <c r="L27" i="16" s="1"/>
  <c r="L26" i="16" s="1"/>
  <c r="L25" i="16" s="1"/>
  <c r="L24" i="16" s="1"/>
  <c r="L23" i="16" s="1"/>
  <c r="L22" i="16" s="1"/>
  <c r="L21" i="16" s="1"/>
  <c r="L20" i="16" s="1"/>
  <c r="L19" i="16" s="1"/>
  <c r="L18" i="16" s="1"/>
  <c r="L17" i="16" s="1"/>
  <c r="L16" i="16" s="1"/>
  <c r="L15" i="16" s="1"/>
  <c r="L14" i="16" s="1"/>
  <c r="L13" i="16" s="1"/>
  <c r="L12" i="16" s="1"/>
  <c r="L11" i="16" s="1"/>
  <c r="L10" i="16" s="1"/>
  <c r="L9" i="16" s="1"/>
  <c r="L8" i="16" s="1"/>
  <c r="L7" i="16" s="1"/>
  <c r="L6" i="16" s="1"/>
  <c r="L5" i="16" s="1"/>
  <c r="L4" i="16" s="1"/>
  <c r="L3" i="16" s="1"/>
  <c r="H257" i="8"/>
  <c r="H255" i="8" s="1"/>
  <c r="O248" i="8" s="1"/>
  <c r="I257" i="8"/>
  <c r="I255" i="8" s="1"/>
  <c r="O249" i="8" s="1"/>
  <c r="H373" i="8"/>
  <c r="N368" i="8" s="1"/>
  <c r="H357" i="8"/>
  <c r="H355" i="8" s="1"/>
  <c r="O348" i="8" s="1"/>
  <c r="I357" i="8"/>
  <c r="I355" i="8" s="1"/>
  <c r="O349" i="8" s="1"/>
  <c r="K366" i="8"/>
  <c r="H366" i="8"/>
  <c r="L26" i="14"/>
  <c r="H174" i="11"/>
  <c r="O167" i="11" s="1"/>
  <c r="O147" i="8"/>
  <c r="L155" i="8"/>
  <c r="L157" i="8" s="1"/>
  <c r="L148" i="8"/>
  <c r="I174" i="11"/>
  <c r="O168" i="11" s="1"/>
  <c r="I181" i="8"/>
  <c r="I180" i="8"/>
  <c r="I179" i="8"/>
  <c r="I178" i="8"/>
  <c r="I177" i="8"/>
  <c r="H181" i="8"/>
  <c r="H180" i="8"/>
  <c r="H179" i="8"/>
  <c r="H178" i="8"/>
  <c r="H177" i="8"/>
  <c r="H181" i="14"/>
  <c r="H180" i="14"/>
  <c r="H179" i="14"/>
  <c r="H178" i="14"/>
  <c r="H177" i="14"/>
  <c r="I181" i="14"/>
  <c r="I180" i="14"/>
  <c r="I179" i="14"/>
  <c r="I178" i="14"/>
  <c r="I177" i="14"/>
  <c r="L152" i="14"/>
  <c r="O152" i="14" s="1"/>
  <c r="I46" i="8"/>
  <c r="O57" i="14"/>
  <c r="O143" i="11"/>
  <c r="I107" i="8"/>
  <c r="I107" i="14"/>
  <c r="O143" i="14"/>
  <c r="O272" i="11"/>
  <c r="O81" i="14"/>
  <c r="O147" i="14"/>
  <c r="L155" i="14"/>
  <c r="L156" i="14" s="1"/>
  <c r="L148" i="14"/>
  <c r="L152" i="8"/>
  <c r="O152" i="8" s="1"/>
  <c r="O207" i="11"/>
  <c r="L214" i="11" s="1"/>
  <c r="I217" i="11"/>
  <c r="I215" i="11" s="1"/>
  <c r="O209" i="11" s="1"/>
  <c r="H217" i="11"/>
  <c r="H215" i="11" s="1"/>
  <c r="O208" i="11" s="1"/>
  <c r="O166" i="11"/>
  <c r="L166" i="11" s="1"/>
  <c r="O348" i="14"/>
  <c r="O133" i="8"/>
  <c r="K141" i="8"/>
  <c r="I141" i="8"/>
  <c r="J141" i="8"/>
  <c r="H141" i="8"/>
  <c r="I140" i="8"/>
  <c r="I55" i="8"/>
  <c r="J55" i="8"/>
  <c r="H55" i="8"/>
  <c r="O175" i="14"/>
  <c r="O175" i="8"/>
  <c r="O46" i="8"/>
  <c r="H297" i="11"/>
  <c r="H295" i="11" s="1"/>
  <c r="O288" i="11" s="1"/>
  <c r="I257" i="11"/>
  <c r="I255" i="11" s="1"/>
  <c r="O249" i="11" s="1"/>
  <c r="H116" i="11"/>
  <c r="O326" i="11"/>
  <c r="H26" i="11"/>
  <c r="O20" i="11" s="1"/>
  <c r="O252" i="11"/>
  <c r="H87" i="11"/>
  <c r="O81" i="11" s="1"/>
  <c r="H337" i="11"/>
  <c r="H335" i="11" s="1"/>
  <c r="O328" i="11" s="1"/>
  <c r="L115" i="11"/>
  <c r="O292" i="11"/>
  <c r="I337" i="11"/>
  <c r="I335" i="11" s="1"/>
  <c r="O329" i="11" s="1"/>
  <c r="I297" i="11"/>
  <c r="I295" i="11" s="1"/>
  <c r="O289" i="11" s="1"/>
  <c r="H257" i="11"/>
  <c r="H255" i="11" s="1"/>
  <c r="O248" i="11" s="1"/>
  <c r="H115" i="11"/>
  <c r="K116" i="11"/>
  <c r="O109" i="11"/>
  <c r="O107" i="11"/>
  <c r="O24" i="11"/>
  <c r="I115" i="11"/>
  <c r="O332" i="11"/>
  <c r="O246" i="11"/>
  <c r="O82" i="8"/>
  <c r="O81" i="8"/>
  <c r="I89" i="11"/>
  <c r="I87" i="11" s="1"/>
  <c r="O82" i="11" s="1"/>
  <c r="L307" i="11"/>
  <c r="L234" i="11"/>
  <c r="O24" i="14"/>
  <c r="L152" i="11"/>
  <c r="O151" i="11" s="1"/>
  <c r="O18" i="14"/>
  <c r="O352" i="11"/>
  <c r="L314" i="11"/>
  <c r="L227" i="11"/>
  <c r="O192" i="11"/>
  <c r="I357" i="11"/>
  <c r="I355" i="11" s="1"/>
  <c r="O349" i="11" s="1"/>
  <c r="H317" i="11"/>
  <c r="H315" i="11" s="1"/>
  <c r="O308" i="11" s="1"/>
  <c r="I277" i="11"/>
  <c r="I275" i="11" s="1"/>
  <c r="O269" i="11" s="1"/>
  <c r="H237" i="11"/>
  <c r="H235" i="11" s="1"/>
  <c r="O228" i="11" s="1"/>
  <c r="I197" i="11"/>
  <c r="I195" i="11" s="1"/>
  <c r="O189" i="11" s="1"/>
  <c r="O80" i="11"/>
  <c r="I28" i="14"/>
  <c r="I26" i="14" s="1"/>
  <c r="O21" i="14" s="1"/>
  <c r="L19" i="14"/>
  <c r="H28" i="14"/>
  <c r="H26" i="14" s="1"/>
  <c r="O20" i="14" s="1"/>
  <c r="O286" i="11"/>
  <c r="O106" i="11"/>
  <c r="L347" i="11"/>
  <c r="L354" i="11"/>
  <c r="O312" i="11"/>
  <c r="L267" i="11"/>
  <c r="L274" i="11"/>
  <c r="O232" i="11"/>
  <c r="L187" i="11"/>
  <c r="L194" i="11"/>
  <c r="O108" i="11"/>
  <c r="J115" i="11"/>
  <c r="I116" i="11"/>
  <c r="H357" i="11"/>
  <c r="H355" i="11" s="1"/>
  <c r="O348" i="11" s="1"/>
  <c r="I317" i="11"/>
  <c r="I315" i="11" s="1"/>
  <c r="O309" i="11" s="1"/>
  <c r="H277" i="11"/>
  <c r="H275" i="11" s="1"/>
  <c r="O268" i="11" s="1"/>
  <c r="I237" i="11"/>
  <c r="I235" i="11" s="1"/>
  <c r="O229" i="11" s="1"/>
  <c r="H197" i="11"/>
  <c r="H195" i="11" s="1"/>
  <c r="O188" i="11" s="1"/>
  <c r="K115" i="11"/>
  <c r="L19" i="11"/>
  <c r="J116" i="11"/>
  <c r="L26" i="11"/>
  <c r="O131" i="8"/>
  <c r="O131" i="14"/>
  <c r="O174" i="14"/>
  <c r="L327" i="11"/>
  <c r="L287" i="11"/>
  <c r="L247" i="11"/>
  <c r="K363" i="16"/>
  <c r="K362" i="16" s="1"/>
  <c r="K361" i="16" s="1"/>
  <c r="K360" i="16" s="1"/>
  <c r="K359" i="16" s="1"/>
  <c r="K358" i="16" s="1"/>
  <c r="K357" i="16" s="1"/>
  <c r="K356" i="16" s="1"/>
  <c r="K355" i="16" s="1"/>
  <c r="K354" i="16" s="1"/>
  <c r="K353" i="16" s="1"/>
  <c r="K352" i="16" s="1"/>
  <c r="K351" i="16" s="1"/>
  <c r="K350" i="16" s="1"/>
  <c r="K349" i="16" s="1"/>
  <c r="K348" i="16" s="1"/>
  <c r="K347" i="16" s="1"/>
  <c r="K346" i="16" s="1"/>
  <c r="K345" i="16" s="1"/>
  <c r="K344" i="16" s="1"/>
  <c r="K343" i="16" s="1"/>
  <c r="K342" i="16" s="1"/>
  <c r="K341" i="16" s="1"/>
  <c r="K340" i="16" s="1"/>
  <c r="K339" i="16" s="1"/>
  <c r="K338" i="16" s="1"/>
  <c r="K337" i="16" s="1"/>
  <c r="K336" i="16" s="1"/>
  <c r="K335" i="16" s="1"/>
  <c r="K334" i="16" s="1"/>
  <c r="K333" i="16" s="1"/>
  <c r="K332" i="16" s="1"/>
  <c r="K331" i="16" s="1"/>
  <c r="K330" i="16" s="1"/>
  <c r="K329" i="16" s="1"/>
  <c r="K328" i="16" s="1"/>
  <c r="K327" i="16" s="1"/>
  <c r="K326" i="16" s="1"/>
  <c r="K325" i="16" s="1"/>
  <c r="K324" i="16" s="1"/>
  <c r="K323" i="16" s="1"/>
  <c r="K322" i="16" s="1"/>
  <c r="K321" i="16" s="1"/>
  <c r="K320" i="16" s="1"/>
  <c r="K319" i="16" s="1"/>
  <c r="K318" i="16" s="1"/>
  <c r="K317" i="16" s="1"/>
  <c r="K316" i="16" s="1"/>
  <c r="K315" i="16" s="1"/>
  <c r="K314" i="16" s="1"/>
  <c r="K313" i="16" s="1"/>
  <c r="K312" i="16" s="1"/>
  <c r="K311" i="16" s="1"/>
  <c r="K310" i="16" s="1"/>
  <c r="K309" i="16" s="1"/>
  <c r="K308" i="16" s="1"/>
  <c r="K307" i="16" s="1"/>
  <c r="K306" i="16" s="1"/>
  <c r="K305" i="16" s="1"/>
  <c r="K304" i="16" s="1"/>
  <c r="K303" i="16" s="1"/>
  <c r="K302" i="16" s="1"/>
  <c r="K301" i="16" s="1"/>
  <c r="K300" i="16" s="1"/>
  <c r="K299" i="16" s="1"/>
  <c r="K298" i="16" s="1"/>
  <c r="K297" i="16" s="1"/>
  <c r="K296" i="16" s="1"/>
  <c r="K295" i="16" s="1"/>
  <c r="K294" i="16" s="1"/>
  <c r="K293" i="16" s="1"/>
  <c r="K292" i="16" s="1"/>
  <c r="K291" i="16" s="1"/>
  <c r="K290" i="16" s="1"/>
  <c r="K289" i="16" s="1"/>
  <c r="K288" i="16" s="1"/>
  <c r="K287" i="16" s="1"/>
  <c r="K286" i="16" s="1"/>
  <c r="K285" i="16" s="1"/>
  <c r="K284" i="16" s="1"/>
  <c r="K283" i="16" s="1"/>
  <c r="K282" i="16" s="1"/>
  <c r="K281" i="16" s="1"/>
  <c r="K280" i="16" s="1"/>
  <c r="K279" i="16" s="1"/>
  <c r="K278" i="16" s="1"/>
  <c r="K277" i="16" s="1"/>
  <c r="K276" i="16" s="1"/>
  <c r="K275" i="16" s="1"/>
  <c r="K274" i="16" s="1"/>
  <c r="K273" i="16" s="1"/>
  <c r="K272" i="16" s="1"/>
  <c r="K271" i="16" s="1"/>
  <c r="K270" i="16" s="1"/>
  <c r="K269" i="16" s="1"/>
  <c r="K268" i="16" s="1"/>
  <c r="K267" i="16" s="1"/>
  <c r="K266" i="16" s="1"/>
  <c r="K265" i="16" s="1"/>
  <c r="K264" i="16" s="1"/>
  <c r="K263" i="16" s="1"/>
  <c r="K262" i="16" s="1"/>
  <c r="K261" i="16" s="1"/>
  <c r="K260" i="16" s="1"/>
  <c r="K259" i="16" s="1"/>
  <c r="K258" i="16" s="1"/>
  <c r="K257" i="16" s="1"/>
  <c r="K256" i="16" s="1"/>
  <c r="K255" i="16" s="1"/>
  <c r="K254" i="16" s="1"/>
  <c r="K253" i="16" s="1"/>
  <c r="K252" i="16" s="1"/>
  <c r="K251" i="16" s="1"/>
  <c r="K250" i="16" s="1"/>
  <c r="K249" i="16" s="1"/>
  <c r="K248" i="16" s="1"/>
  <c r="K247" i="16" s="1"/>
  <c r="K246" i="16" s="1"/>
  <c r="K245" i="16" s="1"/>
  <c r="K244" i="16" s="1"/>
  <c r="K243" i="16" s="1"/>
  <c r="K242" i="16" s="1"/>
  <c r="K241" i="16" s="1"/>
  <c r="K240" i="16" s="1"/>
  <c r="K239" i="16" s="1"/>
  <c r="K238" i="16" s="1"/>
  <c r="K237" i="16" s="1"/>
  <c r="K236" i="16" s="1"/>
  <c r="K235" i="16" s="1"/>
  <c r="K234" i="16" s="1"/>
  <c r="K233" i="16" s="1"/>
  <c r="K232" i="16" s="1"/>
  <c r="K231" i="16" s="1"/>
  <c r="K230" i="16" s="1"/>
  <c r="K229" i="16" s="1"/>
  <c r="K228" i="16" s="1"/>
  <c r="K227" i="16" s="1"/>
  <c r="K226" i="16" s="1"/>
  <c r="K225" i="16" s="1"/>
  <c r="K224" i="16" s="1"/>
  <c r="K223" i="16" s="1"/>
  <c r="K222" i="16" s="1"/>
  <c r="K221" i="16" s="1"/>
  <c r="K220" i="16" s="1"/>
  <c r="K219" i="16" s="1"/>
  <c r="K218" i="16" s="1"/>
  <c r="K217" i="16" s="1"/>
  <c r="K216" i="16" s="1"/>
  <c r="K215" i="16" s="1"/>
  <c r="K214" i="16" s="1"/>
  <c r="K213" i="16" s="1"/>
  <c r="K212" i="16" s="1"/>
  <c r="K211" i="16" s="1"/>
  <c r="K210" i="16" s="1"/>
  <c r="K209" i="16" s="1"/>
  <c r="K208" i="16" s="1"/>
  <c r="K207" i="16" s="1"/>
  <c r="K206" i="16" s="1"/>
  <c r="K205" i="16" s="1"/>
  <c r="K204" i="16" s="1"/>
  <c r="K203" i="16" s="1"/>
  <c r="K202" i="16" s="1"/>
  <c r="K201" i="16" s="1"/>
  <c r="K200" i="16" s="1"/>
  <c r="K199" i="16" s="1"/>
  <c r="K198" i="16" s="1"/>
  <c r="K197" i="16" s="1"/>
  <c r="K196" i="16" s="1"/>
  <c r="K195" i="16" s="1"/>
  <c r="K194" i="16" s="1"/>
  <c r="K193" i="16" s="1"/>
  <c r="K192" i="16" s="1"/>
  <c r="K191" i="16" s="1"/>
  <c r="K190" i="16" s="1"/>
  <c r="K189" i="16" s="1"/>
  <c r="K188" i="16" s="1"/>
  <c r="K187" i="16" s="1"/>
  <c r="K186" i="16" s="1"/>
  <c r="K185" i="16" s="1"/>
  <c r="K184" i="16" s="1"/>
  <c r="K183" i="16" s="1"/>
  <c r="K182" i="16" s="1"/>
  <c r="K181" i="16" s="1"/>
  <c r="K180" i="16" s="1"/>
  <c r="K179" i="16" s="1"/>
  <c r="K178" i="16" s="1"/>
  <c r="K177" i="16" s="1"/>
  <c r="K176" i="16" s="1"/>
  <c r="K175" i="16" s="1"/>
  <c r="K174" i="16" s="1"/>
  <c r="K173" i="16" s="1"/>
  <c r="K172" i="16" s="1"/>
  <c r="K171" i="16" s="1"/>
  <c r="K170" i="16" s="1"/>
  <c r="K169" i="16" s="1"/>
  <c r="K168" i="16" s="1"/>
  <c r="K167" i="16" s="1"/>
  <c r="K166" i="16" s="1"/>
  <c r="K165" i="16" s="1"/>
  <c r="K164" i="16" s="1"/>
  <c r="K163" i="16" s="1"/>
  <c r="K162" i="16" s="1"/>
  <c r="K161" i="16" s="1"/>
  <c r="K160" i="16" s="1"/>
  <c r="K159" i="16" s="1"/>
  <c r="K158" i="16" s="1"/>
  <c r="K157" i="16" s="1"/>
  <c r="K156" i="16" s="1"/>
  <c r="K155" i="16" s="1"/>
  <c r="K154" i="16" s="1"/>
  <c r="K153" i="16" s="1"/>
  <c r="K152" i="16" s="1"/>
  <c r="K151" i="16" s="1"/>
  <c r="K150" i="16" s="1"/>
  <c r="K149" i="16" s="1"/>
  <c r="K148" i="16" s="1"/>
  <c r="K147" i="16" s="1"/>
  <c r="K146" i="16" s="1"/>
  <c r="K145" i="16" s="1"/>
  <c r="K144" i="16" s="1"/>
  <c r="K143" i="16" s="1"/>
  <c r="K142" i="16" s="1"/>
  <c r="K141" i="16" s="1"/>
  <c r="K140" i="16" s="1"/>
  <c r="K139" i="16" s="1"/>
  <c r="K138" i="16" s="1"/>
  <c r="K137" i="16" s="1"/>
  <c r="K136" i="16" s="1"/>
  <c r="K135" i="16" s="1"/>
  <c r="K134" i="16" s="1"/>
  <c r="K133" i="16" s="1"/>
  <c r="K132" i="16" s="1"/>
  <c r="K131" i="16" s="1"/>
  <c r="K130" i="16" s="1"/>
  <c r="K129" i="16" s="1"/>
  <c r="K128" i="16" s="1"/>
  <c r="K127" i="16" s="1"/>
  <c r="K126" i="16" s="1"/>
  <c r="K125" i="16" s="1"/>
  <c r="K124" i="16" s="1"/>
  <c r="K123" i="16" s="1"/>
  <c r="K122" i="16" s="1"/>
  <c r="K121" i="16" s="1"/>
  <c r="K120" i="16" s="1"/>
  <c r="K119" i="16" s="1"/>
  <c r="K118" i="16" s="1"/>
  <c r="K117" i="16" s="1"/>
  <c r="K116" i="16" s="1"/>
  <c r="K115" i="16" s="1"/>
  <c r="K114" i="16" s="1"/>
  <c r="K113" i="16" s="1"/>
  <c r="K112" i="16" s="1"/>
  <c r="K111" i="16" s="1"/>
  <c r="K110" i="16" s="1"/>
  <c r="K109" i="16" s="1"/>
  <c r="K108" i="16" s="1"/>
  <c r="K107" i="16" s="1"/>
  <c r="K106" i="16" s="1"/>
  <c r="K105" i="16" s="1"/>
  <c r="K104" i="16" s="1"/>
  <c r="K103" i="16" s="1"/>
  <c r="K102" i="16" s="1"/>
  <c r="K101" i="16" s="1"/>
  <c r="K100" i="16" s="1"/>
  <c r="K99" i="16" s="1"/>
  <c r="K98" i="16" s="1"/>
  <c r="K97" i="16" s="1"/>
  <c r="K96" i="16" s="1"/>
  <c r="K95" i="16" s="1"/>
  <c r="K94" i="16" s="1"/>
  <c r="K93" i="16" s="1"/>
  <c r="K92" i="16" s="1"/>
  <c r="K91" i="16" s="1"/>
  <c r="K90" i="16" s="1"/>
  <c r="K89" i="16" s="1"/>
  <c r="K88" i="16" s="1"/>
  <c r="K87" i="16" s="1"/>
  <c r="K86" i="16" s="1"/>
  <c r="K85" i="16" s="1"/>
  <c r="K84" i="16" s="1"/>
  <c r="K83" i="16" s="1"/>
  <c r="K82" i="16" s="1"/>
  <c r="K81" i="16" s="1"/>
  <c r="K80" i="16" s="1"/>
  <c r="K79" i="16" s="1"/>
  <c r="K78" i="16" s="1"/>
  <c r="K77" i="16" s="1"/>
  <c r="K76" i="16" s="1"/>
  <c r="K75" i="16" s="1"/>
  <c r="K74" i="16" s="1"/>
  <c r="K73" i="16" s="1"/>
  <c r="K72" i="16" s="1"/>
  <c r="K71" i="16" s="1"/>
  <c r="K70" i="16" s="1"/>
  <c r="K69" i="16" s="1"/>
  <c r="K68" i="16" s="1"/>
  <c r="K67" i="16" s="1"/>
  <c r="K66" i="16" s="1"/>
  <c r="K65" i="16" s="1"/>
  <c r="K64" i="16" s="1"/>
  <c r="K63" i="16" s="1"/>
  <c r="K62" i="16" s="1"/>
  <c r="K61" i="16" s="1"/>
  <c r="K60" i="16" s="1"/>
  <c r="K59" i="16" s="1"/>
  <c r="K58" i="16" s="1"/>
  <c r="K57" i="16" s="1"/>
  <c r="K56" i="16" s="1"/>
  <c r="K55" i="16" s="1"/>
  <c r="K54" i="16" s="1"/>
  <c r="K53" i="16" s="1"/>
  <c r="K52" i="16" s="1"/>
  <c r="K51" i="16" s="1"/>
  <c r="K50" i="16" s="1"/>
  <c r="K49" i="16" s="1"/>
  <c r="K48" i="16" s="1"/>
  <c r="K47" i="16" s="1"/>
  <c r="K46" i="16" s="1"/>
  <c r="K45" i="16" s="1"/>
  <c r="K44" i="16" s="1"/>
  <c r="K43" i="16" s="1"/>
  <c r="K42" i="16" s="1"/>
  <c r="K41" i="16" s="1"/>
  <c r="K40" i="16" s="1"/>
  <c r="K39" i="16" s="1"/>
  <c r="K38" i="16" s="1"/>
  <c r="K37" i="16" s="1"/>
  <c r="K36" i="16" s="1"/>
  <c r="K35" i="16" s="1"/>
  <c r="K34" i="16" s="1"/>
  <c r="K33" i="16" s="1"/>
  <c r="K32" i="16" s="1"/>
  <c r="K31" i="16" s="1"/>
  <c r="K30" i="16" s="1"/>
  <c r="K29" i="16" s="1"/>
  <c r="K28" i="16" s="1"/>
  <c r="K27" i="16" s="1"/>
  <c r="K26" i="16" s="1"/>
  <c r="K25" i="16" s="1"/>
  <c r="K24" i="16" s="1"/>
  <c r="K23" i="16" s="1"/>
  <c r="K22" i="16" s="1"/>
  <c r="K21" i="16" s="1"/>
  <c r="K20" i="16" s="1"/>
  <c r="K19" i="16" s="1"/>
  <c r="K18" i="16" s="1"/>
  <c r="K17" i="16" s="1"/>
  <c r="K16" i="16" s="1"/>
  <c r="K15" i="16" s="1"/>
  <c r="K14" i="16" s="1"/>
  <c r="K13" i="16" s="1"/>
  <c r="K12" i="16" s="1"/>
  <c r="K11" i="16" s="1"/>
  <c r="K10" i="16" s="1"/>
  <c r="K9" i="16" s="1"/>
  <c r="K8" i="16" s="1"/>
  <c r="K7" i="16" s="1"/>
  <c r="K6" i="16" s="1"/>
  <c r="K5" i="16" s="1"/>
  <c r="K4" i="16" s="1"/>
  <c r="K3" i="16" s="1"/>
  <c r="H362" i="16"/>
  <c r="H361" i="16" s="1"/>
  <c r="H360" i="16" s="1"/>
  <c r="H359" i="16" s="1"/>
  <c r="H358" i="16" s="1"/>
  <c r="H357" i="16" s="1"/>
  <c r="H356" i="16" s="1"/>
  <c r="H355" i="16" s="1"/>
  <c r="H354" i="16" s="1"/>
  <c r="H353" i="16" s="1"/>
  <c r="H352" i="16" s="1"/>
  <c r="H351" i="16" s="1"/>
  <c r="H350" i="16" s="1"/>
  <c r="H349" i="16" s="1"/>
  <c r="H348" i="16" s="1"/>
  <c r="H347" i="16" s="1"/>
  <c r="H346" i="16" s="1"/>
  <c r="H345" i="16" s="1"/>
  <c r="H344" i="16" s="1"/>
  <c r="H343" i="16" s="1"/>
  <c r="H342" i="16" s="1"/>
  <c r="H341" i="16" s="1"/>
  <c r="H340" i="16" s="1"/>
  <c r="H339" i="16" s="1"/>
  <c r="H338" i="16" s="1"/>
  <c r="H337" i="16" s="1"/>
  <c r="H336" i="16" s="1"/>
  <c r="H335" i="16" s="1"/>
  <c r="H334" i="16" s="1"/>
  <c r="H333" i="16" s="1"/>
  <c r="H332" i="16" s="1"/>
  <c r="H331" i="16" s="1"/>
  <c r="H330" i="16" s="1"/>
  <c r="H329" i="16" s="1"/>
  <c r="H328" i="16" s="1"/>
  <c r="H327" i="16" s="1"/>
  <c r="H326" i="16" s="1"/>
  <c r="H325" i="16" s="1"/>
  <c r="H324" i="16" s="1"/>
  <c r="H323" i="16" s="1"/>
  <c r="H322" i="16" s="1"/>
  <c r="H321" i="16" s="1"/>
  <c r="H320" i="16" s="1"/>
  <c r="H319" i="16" s="1"/>
  <c r="H318" i="16" s="1"/>
  <c r="H317" i="16" s="1"/>
  <c r="H316" i="16" s="1"/>
  <c r="H315" i="16" s="1"/>
  <c r="H314" i="16" s="1"/>
  <c r="H313" i="16" s="1"/>
  <c r="H312" i="16" s="1"/>
  <c r="H311" i="16" s="1"/>
  <c r="H310" i="16" s="1"/>
  <c r="H309" i="16" s="1"/>
  <c r="H308" i="16" s="1"/>
  <c r="H307" i="16" s="1"/>
  <c r="H306" i="16" s="1"/>
  <c r="H305" i="16" s="1"/>
  <c r="H304" i="16" s="1"/>
  <c r="H303" i="16" s="1"/>
  <c r="H302" i="16" s="1"/>
  <c r="H301" i="16" s="1"/>
  <c r="H300" i="16" s="1"/>
  <c r="H299" i="16" s="1"/>
  <c r="H298" i="16" s="1"/>
  <c r="H297" i="16" s="1"/>
  <c r="H296" i="16" s="1"/>
  <c r="H295" i="16" s="1"/>
  <c r="H294" i="16" s="1"/>
  <c r="H293" i="16" s="1"/>
  <c r="H292" i="16" s="1"/>
  <c r="H291" i="16" s="1"/>
  <c r="H290" i="16" s="1"/>
  <c r="H289" i="16" s="1"/>
  <c r="H288" i="16" s="1"/>
  <c r="H287" i="16" s="1"/>
  <c r="H286" i="16" s="1"/>
  <c r="H285" i="16" s="1"/>
  <c r="H284" i="16" s="1"/>
  <c r="H283" i="16" s="1"/>
  <c r="H282" i="16" s="1"/>
  <c r="H281" i="16" s="1"/>
  <c r="H280" i="16" s="1"/>
  <c r="H279" i="16" s="1"/>
  <c r="H278" i="16" s="1"/>
  <c r="H277" i="16" s="1"/>
  <c r="H276" i="16" s="1"/>
  <c r="H275" i="16" s="1"/>
  <c r="H274" i="16" s="1"/>
  <c r="H273" i="16" s="1"/>
  <c r="H272" i="16" s="1"/>
  <c r="H271" i="16" s="1"/>
  <c r="H270" i="16" s="1"/>
  <c r="H269" i="16" s="1"/>
  <c r="H268" i="16" s="1"/>
  <c r="H267" i="16" s="1"/>
  <c r="H266" i="16" s="1"/>
  <c r="H265" i="16" s="1"/>
  <c r="H264" i="16" s="1"/>
  <c r="H263" i="16" s="1"/>
  <c r="H262" i="16" s="1"/>
  <c r="H261" i="16" s="1"/>
  <c r="H260" i="16" s="1"/>
  <c r="H259" i="16" s="1"/>
  <c r="H258" i="16" s="1"/>
  <c r="H257" i="16" s="1"/>
  <c r="H256" i="16" s="1"/>
  <c r="H255" i="16" s="1"/>
  <c r="H254" i="16" s="1"/>
  <c r="H253" i="16" s="1"/>
  <c r="H252" i="16" s="1"/>
  <c r="H251" i="16" s="1"/>
  <c r="H250" i="16" s="1"/>
  <c r="H249" i="16" s="1"/>
  <c r="H248" i="16" s="1"/>
  <c r="H247" i="16" s="1"/>
  <c r="H246" i="16" s="1"/>
  <c r="H245" i="16" s="1"/>
  <c r="H244" i="16" s="1"/>
  <c r="H243" i="16" s="1"/>
  <c r="H242" i="16" s="1"/>
  <c r="H241" i="16" s="1"/>
  <c r="H240" i="16" s="1"/>
  <c r="H239" i="16" s="1"/>
  <c r="H238" i="16" s="1"/>
  <c r="H237" i="16" s="1"/>
  <c r="H236" i="16" s="1"/>
  <c r="H235" i="16" s="1"/>
  <c r="H234" i="16" s="1"/>
  <c r="H233" i="16" s="1"/>
  <c r="H232" i="16" s="1"/>
  <c r="H231" i="16" s="1"/>
  <c r="H230" i="16" s="1"/>
  <c r="H229" i="16" s="1"/>
  <c r="H228" i="16" s="1"/>
  <c r="H227" i="16" s="1"/>
  <c r="H226" i="16" s="1"/>
  <c r="H225" i="16" s="1"/>
  <c r="H224" i="16" s="1"/>
  <c r="H223" i="16" s="1"/>
  <c r="H222" i="16" s="1"/>
  <c r="H221" i="16" s="1"/>
  <c r="H220" i="16" s="1"/>
  <c r="H219" i="16" s="1"/>
  <c r="H218" i="16" s="1"/>
  <c r="H217" i="16" s="1"/>
  <c r="H216" i="16" s="1"/>
  <c r="H215" i="16" s="1"/>
  <c r="H214" i="16" s="1"/>
  <c r="H213" i="16" s="1"/>
  <c r="H212" i="16" s="1"/>
  <c r="H211" i="16" s="1"/>
  <c r="H210" i="16" s="1"/>
  <c r="H209" i="16" s="1"/>
  <c r="H208" i="16" s="1"/>
  <c r="H207" i="16" s="1"/>
  <c r="H206" i="16" s="1"/>
  <c r="H205" i="16" s="1"/>
  <c r="H204" i="16" s="1"/>
  <c r="H203" i="16" s="1"/>
  <c r="H202" i="16" s="1"/>
  <c r="H201" i="16" s="1"/>
  <c r="H200" i="16" s="1"/>
  <c r="H199" i="16" s="1"/>
  <c r="H198" i="16" s="1"/>
  <c r="H197" i="16" s="1"/>
  <c r="H196" i="16" s="1"/>
  <c r="H195" i="16" s="1"/>
  <c r="H194" i="16" s="1"/>
  <c r="H193" i="16" s="1"/>
  <c r="H192" i="16" s="1"/>
  <c r="H191" i="16" s="1"/>
  <c r="H190" i="16" s="1"/>
  <c r="H189" i="16" s="1"/>
  <c r="H188" i="16" s="1"/>
  <c r="H187" i="16" s="1"/>
  <c r="H186" i="16" s="1"/>
  <c r="H185" i="16" s="1"/>
  <c r="H184" i="16" s="1"/>
  <c r="H183" i="16" s="1"/>
  <c r="H182" i="16" s="1"/>
  <c r="H181" i="16" s="1"/>
  <c r="H180" i="16" s="1"/>
  <c r="H179" i="16" s="1"/>
  <c r="H178" i="16" s="1"/>
  <c r="H177" i="16" s="1"/>
  <c r="H176" i="16" s="1"/>
  <c r="H175" i="16" s="1"/>
  <c r="H174" i="16" s="1"/>
  <c r="H173" i="16" s="1"/>
  <c r="H172" i="16" s="1"/>
  <c r="H171" i="16" s="1"/>
  <c r="H170" i="16" s="1"/>
  <c r="H169" i="16" s="1"/>
  <c r="H168" i="16" s="1"/>
  <c r="H167" i="16" s="1"/>
  <c r="H166" i="16" s="1"/>
  <c r="H165" i="16" s="1"/>
  <c r="H164" i="16" s="1"/>
  <c r="H163" i="16" s="1"/>
  <c r="H162" i="16" s="1"/>
  <c r="H161" i="16" s="1"/>
  <c r="H160" i="16" s="1"/>
  <c r="H159" i="16" s="1"/>
  <c r="H158" i="16" s="1"/>
  <c r="H157" i="16" s="1"/>
  <c r="H156" i="16" s="1"/>
  <c r="H155" i="16" s="1"/>
  <c r="H154" i="16" s="1"/>
  <c r="H153" i="16" s="1"/>
  <c r="H152" i="16" s="1"/>
  <c r="H151" i="16" s="1"/>
  <c r="H150" i="16" s="1"/>
  <c r="H149" i="16" s="1"/>
  <c r="H148" i="16" s="1"/>
  <c r="H147" i="16" s="1"/>
  <c r="H146" i="16" s="1"/>
  <c r="H145" i="16" s="1"/>
  <c r="H144" i="16" s="1"/>
  <c r="H143" i="16" s="1"/>
  <c r="H142" i="16" s="1"/>
  <c r="H141" i="16" s="1"/>
  <c r="H140" i="16" s="1"/>
  <c r="H139" i="16" s="1"/>
  <c r="H138" i="16" s="1"/>
  <c r="H137" i="16" s="1"/>
  <c r="H136" i="16" s="1"/>
  <c r="H135" i="16" s="1"/>
  <c r="H134" i="16" s="1"/>
  <c r="H133" i="16" s="1"/>
  <c r="H132" i="16" s="1"/>
  <c r="H131" i="16" s="1"/>
  <c r="H130" i="16" s="1"/>
  <c r="H129" i="16" s="1"/>
  <c r="H128" i="16" s="1"/>
  <c r="H127" i="16" s="1"/>
  <c r="H126" i="16" s="1"/>
  <c r="H125" i="16" s="1"/>
  <c r="H124" i="16" s="1"/>
  <c r="H123" i="16" s="1"/>
  <c r="H122" i="16" s="1"/>
  <c r="H121" i="16" s="1"/>
  <c r="H120" i="16" s="1"/>
  <c r="H119" i="16" s="1"/>
  <c r="H118" i="16" s="1"/>
  <c r="H117" i="16" s="1"/>
  <c r="H116" i="16" s="1"/>
  <c r="H115" i="16" s="1"/>
  <c r="H114" i="16" s="1"/>
  <c r="H113" i="16" s="1"/>
  <c r="H112" i="16" s="1"/>
  <c r="H111" i="16" s="1"/>
  <c r="H110" i="16" s="1"/>
  <c r="H109" i="16" s="1"/>
  <c r="H108" i="16" s="1"/>
  <c r="H107" i="16" s="1"/>
  <c r="H106" i="16" s="1"/>
  <c r="H105" i="16" s="1"/>
  <c r="H104" i="16" s="1"/>
  <c r="H103" i="16" s="1"/>
  <c r="H102" i="16" s="1"/>
  <c r="H101" i="16" s="1"/>
  <c r="H100" i="16" s="1"/>
  <c r="H99" i="16" s="1"/>
  <c r="H98" i="16" s="1"/>
  <c r="H97" i="16" s="1"/>
  <c r="H96" i="16" s="1"/>
  <c r="H95" i="16" s="1"/>
  <c r="H94" i="16" s="1"/>
  <c r="H93" i="16" s="1"/>
  <c r="H92" i="16" s="1"/>
  <c r="H91" i="16" s="1"/>
  <c r="H90" i="16" s="1"/>
  <c r="H89" i="16" s="1"/>
  <c r="H88" i="16" s="1"/>
  <c r="H87" i="16" s="1"/>
  <c r="H86" i="16" s="1"/>
  <c r="H85" i="16" s="1"/>
  <c r="H84" i="16" s="1"/>
  <c r="H83" i="16" s="1"/>
  <c r="H82" i="16" s="1"/>
  <c r="H81" i="16" s="1"/>
  <c r="H80" i="16" s="1"/>
  <c r="H79" i="16" s="1"/>
  <c r="H78" i="16" s="1"/>
  <c r="H77" i="16" s="1"/>
  <c r="H76" i="16" s="1"/>
  <c r="H75" i="16" s="1"/>
  <c r="H74" i="16" s="1"/>
  <c r="H73" i="16" s="1"/>
  <c r="H72" i="16" s="1"/>
  <c r="H71" i="16" s="1"/>
  <c r="H70" i="16" s="1"/>
  <c r="H69" i="16" s="1"/>
  <c r="H68" i="16" s="1"/>
  <c r="H67" i="16" s="1"/>
  <c r="H66" i="16" s="1"/>
  <c r="H65" i="16" s="1"/>
  <c r="H64" i="16" s="1"/>
  <c r="H63" i="16" s="1"/>
  <c r="H62" i="16" s="1"/>
  <c r="H61" i="16" s="1"/>
  <c r="H60" i="16" s="1"/>
  <c r="H59" i="16" s="1"/>
  <c r="H58" i="16" s="1"/>
  <c r="H57" i="16" s="1"/>
  <c r="H56" i="16" s="1"/>
  <c r="H55" i="16" s="1"/>
  <c r="H54" i="16" s="1"/>
  <c r="H53" i="16" s="1"/>
  <c r="H52" i="16" s="1"/>
  <c r="H51" i="16" s="1"/>
  <c r="H50" i="16" s="1"/>
  <c r="H49" i="16" s="1"/>
  <c r="H48" i="16" s="1"/>
  <c r="H47" i="16" s="1"/>
  <c r="H46" i="16" s="1"/>
  <c r="H45" i="16" s="1"/>
  <c r="H44" i="16" s="1"/>
  <c r="H43" i="16" s="1"/>
  <c r="H42" i="16" s="1"/>
  <c r="H41" i="16" s="1"/>
  <c r="H40" i="16" s="1"/>
  <c r="H39" i="16" s="1"/>
  <c r="H38" i="16" s="1"/>
  <c r="H37" i="16" s="1"/>
  <c r="H36" i="16" s="1"/>
  <c r="H35" i="16" s="1"/>
  <c r="H34" i="16" s="1"/>
  <c r="H33" i="16" s="1"/>
  <c r="H32" i="16" s="1"/>
  <c r="H31" i="16" s="1"/>
  <c r="H30" i="16" s="1"/>
  <c r="H29" i="16" s="1"/>
  <c r="H28" i="16" s="1"/>
  <c r="H27" i="16" s="1"/>
  <c r="H26" i="16" s="1"/>
  <c r="H25" i="16" s="1"/>
  <c r="H24" i="16" s="1"/>
  <c r="H23" i="16" s="1"/>
  <c r="H22" i="16" s="1"/>
  <c r="H21" i="16" s="1"/>
  <c r="H20" i="16" s="1"/>
  <c r="H19" i="16" s="1"/>
  <c r="H18" i="16" s="1"/>
  <c r="H17" i="16" s="1"/>
  <c r="H16" i="16" s="1"/>
  <c r="H15" i="16" s="1"/>
  <c r="H14" i="16" s="1"/>
  <c r="H13" i="16" s="1"/>
  <c r="H12" i="16" s="1"/>
  <c r="H11" i="16" s="1"/>
  <c r="H10" i="16" s="1"/>
  <c r="H9" i="16" s="1"/>
  <c r="H8" i="16" s="1"/>
  <c r="H7" i="16" s="1"/>
  <c r="H6" i="16" s="1"/>
  <c r="H5" i="16" s="1"/>
  <c r="H4" i="16" s="1"/>
  <c r="H3" i="16" s="1"/>
  <c r="O326" i="14"/>
  <c r="L334" i="14"/>
  <c r="O332" i="14"/>
  <c r="L327" i="14"/>
  <c r="O286" i="14"/>
  <c r="L294" i="14"/>
  <c r="O292" i="14"/>
  <c r="L287" i="14"/>
  <c r="O246" i="14"/>
  <c r="L254" i="14"/>
  <c r="O252" i="14"/>
  <c r="L247" i="14"/>
  <c r="O206" i="14"/>
  <c r="L214" i="14"/>
  <c r="O212" i="14"/>
  <c r="L207" i="14"/>
  <c r="G362" i="16"/>
  <c r="G361" i="16" s="1"/>
  <c r="G360" i="16" s="1"/>
  <c r="G359" i="16" s="1"/>
  <c r="G358" i="16" s="1"/>
  <c r="G357" i="16" s="1"/>
  <c r="G356" i="16" s="1"/>
  <c r="G355" i="16" s="1"/>
  <c r="G354" i="16" s="1"/>
  <c r="G353" i="16" s="1"/>
  <c r="G352" i="16" s="1"/>
  <c r="G351" i="16" s="1"/>
  <c r="G350" i="16" s="1"/>
  <c r="G349" i="16" s="1"/>
  <c r="G348" i="16" s="1"/>
  <c r="G347" i="16" s="1"/>
  <c r="G346" i="16" s="1"/>
  <c r="G345" i="16" s="1"/>
  <c r="G344" i="16" s="1"/>
  <c r="G343" i="16" s="1"/>
  <c r="G342" i="16" s="1"/>
  <c r="G341" i="16" s="1"/>
  <c r="G340" i="16" s="1"/>
  <c r="G339" i="16" s="1"/>
  <c r="G338" i="16" s="1"/>
  <c r="G337" i="16" s="1"/>
  <c r="G336" i="16" s="1"/>
  <c r="G335" i="16" s="1"/>
  <c r="G334" i="16" s="1"/>
  <c r="G333" i="16" s="1"/>
  <c r="G332" i="16" s="1"/>
  <c r="G331" i="16" s="1"/>
  <c r="G330" i="16" s="1"/>
  <c r="G329" i="16" s="1"/>
  <c r="G328" i="16" s="1"/>
  <c r="G327" i="16" s="1"/>
  <c r="G326" i="16" s="1"/>
  <c r="G325" i="16" s="1"/>
  <c r="G324" i="16" s="1"/>
  <c r="G323" i="16" s="1"/>
  <c r="G322" i="16" s="1"/>
  <c r="G321" i="16" s="1"/>
  <c r="G320" i="16" s="1"/>
  <c r="G319" i="16" s="1"/>
  <c r="G318" i="16" s="1"/>
  <c r="G317" i="16" s="1"/>
  <c r="G316" i="16" s="1"/>
  <c r="G315" i="16" s="1"/>
  <c r="G314" i="16" s="1"/>
  <c r="G313" i="16" s="1"/>
  <c r="G312" i="16" s="1"/>
  <c r="G311" i="16" s="1"/>
  <c r="G310" i="16" s="1"/>
  <c r="G309" i="16" s="1"/>
  <c r="G308" i="16" s="1"/>
  <c r="G307" i="16" s="1"/>
  <c r="G306" i="16" s="1"/>
  <c r="G305" i="16" s="1"/>
  <c r="G304" i="16" s="1"/>
  <c r="G303" i="16" s="1"/>
  <c r="G302" i="16" s="1"/>
  <c r="G301" i="16" s="1"/>
  <c r="G300" i="16" s="1"/>
  <c r="G299" i="16" s="1"/>
  <c r="G298" i="16" s="1"/>
  <c r="G297" i="16" s="1"/>
  <c r="G296" i="16" s="1"/>
  <c r="G295" i="16" s="1"/>
  <c r="G294" i="16" s="1"/>
  <c r="G293" i="16" s="1"/>
  <c r="G292" i="16" s="1"/>
  <c r="G291" i="16" s="1"/>
  <c r="G290" i="16" s="1"/>
  <c r="G289" i="16" s="1"/>
  <c r="G288" i="16" s="1"/>
  <c r="G287" i="16" s="1"/>
  <c r="G286" i="16" s="1"/>
  <c r="G285" i="16" s="1"/>
  <c r="G284" i="16" s="1"/>
  <c r="G283" i="16" s="1"/>
  <c r="G282" i="16" s="1"/>
  <c r="G281" i="16" s="1"/>
  <c r="G280" i="16" s="1"/>
  <c r="G279" i="16" s="1"/>
  <c r="G278" i="16" s="1"/>
  <c r="G277" i="16" s="1"/>
  <c r="G276" i="16" s="1"/>
  <c r="G275" i="16" s="1"/>
  <c r="G274" i="16" s="1"/>
  <c r="G273" i="16" s="1"/>
  <c r="G272" i="16" s="1"/>
  <c r="G271" i="16" s="1"/>
  <c r="G270" i="16" s="1"/>
  <c r="G269" i="16" s="1"/>
  <c r="G268" i="16" s="1"/>
  <c r="G267" i="16" s="1"/>
  <c r="G266" i="16" s="1"/>
  <c r="G265" i="16" s="1"/>
  <c r="G264" i="16" s="1"/>
  <c r="G263" i="16" s="1"/>
  <c r="G262" i="16" s="1"/>
  <c r="G261" i="16" s="1"/>
  <c r="G260" i="16" s="1"/>
  <c r="G259" i="16" s="1"/>
  <c r="G258" i="16" s="1"/>
  <c r="G257" i="16" s="1"/>
  <c r="G256" i="16" s="1"/>
  <c r="G255" i="16" s="1"/>
  <c r="G254" i="16" s="1"/>
  <c r="G253" i="16" s="1"/>
  <c r="G252" i="16" s="1"/>
  <c r="G251" i="16" s="1"/>
  <c r="G250" i="16" s="1"/>
  <c r="G249" i="16" s="1"/>
  <c r="G248" i="16" s="1"/>
  <c r="G247" i="16" s="1"/>
  <c r="G246" i="16" s="1"/>
  <c r="G245" i="16" s="1"/>
  <c r="G244" i="16" s="1"/>
  <c r="G243" i="16" s="1"/>
  <c r="G242" i="16" s="1"/>
  <c r="G241" i="16" s="1"/>
  <c r="G240" i="16" s="1"/>
  <c r="G239" i="16" s="1"/>
  <c r="G238" i="16" s="1"/>
  <c r="G237" i="16" s="1"/>
  <c r="G236" i="16" s="1"/>
  <c r="G235" i="16" s="1"/>
  <c r="G234" i="16" s="1"/>
  <c r="G233" i="16" s="1"/>
  <c r="G232" i="16" s="1"/>
  <c r="G231" i="16" s="1"/>
  <c r="G230" i="16" s="1"/>
  <c r="G229" i="16" s="1"/>
  <c r="G228" i="16" s="1"/>
  <c r="G227" i="16" s="1"/>
  <c r="G226" i="16" s="1"/>
  <c r="G225" i="16" s="1"/>
  <c r="G224" i="16" s="1"/>
  <c r="G223" i="16" s="1"/>
  <c r="G222" i="16" s="1"/>
  <c r="G221" i="16" s="1"/>
  <c r="G220" i="16" s="1"/>
  <c r="G219" i="16" s="1"/>
  <c r="G218" i="16" s="1"/>
  <c r="G217" i="16" s="1"/>
  <c r="G216" i="16" s="1"/>
  <c r="G215" i="16" s="1"/>
  <c r="G214" i="16" s="1"/>
  <c r="G213" i="16" s="1"/>
  <c r="G212" i="16" s="1"/>
  <c r="G211" i="16" s="1"/>
  <c r="G210" i="16" s="1"/>
  <c r="G209" i="16" s="1"/>
  <c r="G208" i="16" s="1"/>
  <c r="G207" i="16" s="1"/>
  <c r="G206" i="16" s="1"/>
  <c r="G205" i="16" s="1"/>
  <c r="G204" i="16" s="1"/>
  <c r="G203" i="16" s="1"/>
  <c r="G202" i="16" s="1"/>
  <c r="G201" i="16" s="1"/>
  <c r="G200" i="16" s="1"/>
  <c r="G199" i="16" s="1"/>
  <c r="G198" i="16" s="1"/>
  <c r="G197" i="16" s="1"/>
  <c r="G196" i="16" s="1"/>
  <c r="G195" i="16" s="1"/>
  <c r="G194" i="16" s="1"/>
  <c r="G193" i="16" s="1"/>
  <c r="G192" i="16" s="1"/>
  <c r="G191" i="16" s="1"/>
  <c r="G190" i="16" s="1"/>
  <c r="G189" i="16" s="1"/>
  <c r="G188" i="16" s="1"/>
  <c r="G187" i="16" s="1"/>
  <c r="G186" i="16" s="1"/>
  <c r="G185" i="16" s="1"/>
  <c r="G184" i="16" s="1"/>
  <c r="G183" i="16" s="1"/>
  <c r="G182" i="16" s="1"/>
  <c r="G181" i="16" s="1"/>
  <c r="G180" i="16" s="1"/>
  <c r="G179" i="16" s="1"/>
  <c r="G178" i="16" s="1"/>
  <c r="G177" i="16" s="1"/>
  <c r="G176" i="16" s="1"/>
  <c r="G175" i="16" s="1"/>
  <c r="G174" i="16" s="1"/>
  <c r="G173" i="16" s="1"/>
  <c r="G172" i="16" s="1"/>
  <c r="G171" i="16" s="1"/>
  <c r="G170" i="16" s="1"/>
  <c r="G169" i="16" s="1"/>
  <c r="G168" i="16" s="1"/>
  <c r="G167" i="16" s="1"/>
  <c r="G166" i="16" s="1"/>
  <c r="G165" i="16" s="1"/>
  <c r="G164" i="16" s="1"/>
  <c r="G163" i="16" s="1"/>
  <c r="G162" i="16" s="1"/>
  <c r="G161" i="16" s="1"/>
  <c r="G160" i="16" s="1"/>
  <c r="G159" i="16" s="1"/>
  <c r="G158" i="16" s="1"/>
  <c r="G157" i="16" s="1"/>
  <c r="G156" i="16" s="1"/>
  <c r="G155" i="16" s="1"/>
  <c r="G154" i="16" s="1"/>
  <c r="G153" i="16" s="1"/>
  <c r="G152" i="16" s="1"/>
  <c r="G151" i="16" s="1"/>
  <c r="G150" i="16" s="1"/>
  <c r="G149" i="16" s="1"/>
  <c r="G148" i="16" s="1"/>
  <c r="G147" i="16" s="1"/>
  <c r="G146" i="16" s="1"/>
  <c r="G145" i="16" s="1"/>
  <c r="G144" i="16" s="1"/>
  <c r="G143" i="16" s="1"/>
  <c r="G142" i="16" s="1"/>
  <c r="G141" i="16" s="1"/>
  <c r="G140" i="16" s="1"/>
  <c r="G139" i="16" s="1"/>
  <c r="G138" i="16" s="1"/>
  <c r="G137" i="16" s="1"/>
  <c r="G136" i="16" s="1"/>
  <c r="G135" i="16" s="1"/>
  <c r="G134" i="16" s="1"/>
  <c r="G133" i="16" s="1"/>
  <c r="G132" i="16" s="1"/>
  <c r="G131" i="16" s="1"/>
  <c r="G130" i="16" s="1"/>
  <c r="G129" i="16" s="1"/>
  <c r="G128" i="16" s="1"/>
  <c r="G127" i="16" s="1"/>
  <c r="G126" i="16" s="1"/>
  <c r="G125" i="16" s="1"/>
  <c r="G124" i="16" s="1"/>
  <c r="G123" i="16" s="1"/>
  <c r="G122" i="16" s="1"/>
  <c r="G121" i="16" s="1"/>
  <c r="G120" i="16" s="1"/>
  <c r="G119" i="16" s="1"/>
  <c r="G118" i="16" s="1"/>
  <c r="G117" i="16" s="1"/>
  <c r="G116" i="16" s="1"/>
  <c r="G115" i="16" s="1"/>
  <c r="G114" i="16" s="1"/>
  <c r="G113" i="16" s="1"/>
  <c r="G112" i="16" s="1"/>
  <c r="G111" i="16" s="1"/>
  <c r="G110" i="16" s="1"/>
  <c r="G109" i="16" s="1"/>
  <c r="G108" i="16" s="1"/>
  <c r="G107" i="16" s="1"/>
  <c r="G106" i="16" s="1"/>
  <c r="G105" i="16" s="1"/>
  <c r="G104" i="16" s="1"/>
  <c r="G103" i="16" s="1"/>
  <c r="G102" i="16" s="1"/>
  <c r="G101" i="16" s="1"/>
  <c r="G100" i="16" s="1"/>
  <c r="G99" i="16" s="1"/>
  <c r="G98" i="16" s="1"/>
  <c r="G97" i="16" s="1"/>
  <c r="G96" i="16" s="1"/>
  <c r="G95" i="16" s="1"/>
  <c r="G94" i="16" s="1"/>
  <c r="G93" i="16" s="1"/>
  <c r="G92" i="16" s="1"/>
  <c r="G91" i="16" s="1"/>
  <c r="G90" i="16" s="1"/>
  <c r="G89" i="16" s="1"/>
  <c r="G88" i="16" s="1"/>
  <c r="G87" i="16" s="1"/>
  <c r="G86" i="16" s="1"/>
  <c r="G85" i="16" s="1"/>
  <c r="G84" i="16" s="1"/>
  <c r="G83" i="16" s="1"/>
  <c r="G82" i="16" s="1"/>
  <c r="G81" i="16" s="1"/>
  <c r="G80" i="16" s="1"/>
  <c r="G79" i="16" s="1"/>
  <c r="G78" i="16" s="1"/>
  <c r="G77" i="16" s="1"/>
  <c r="G76" i="16" s="1"/>
  <c r="G75" i="16" s="1"/>
  <c r="G74" i="16" s="1"/>
  <c r="G73" i="16" s="1"/>
  <c r="G72" i="16" s="1"/>
  <c r="G71" i="16" s="1"/>
  <c r="G70" i="16" s="1"/>
  <c r="G69" i="16" s="1"/>
  <c r="G68" i="16" s="1"/>
  <c r="G67" i="16" s="1"/>
  <c r="G66" i="16" s="1"/>
  <c r="G65" i="16" s="1"/>
  <c r="G64" i="16" s="1"/>
  <c r="G63" i="16" s="1"/>
  <c r="G62" i="16" s="1"/>
  <c r="G61" i="16" s="1"/>
  <c r="G60" i="16" s="1"/>
  <c r="G59" i="16" s="1"/>
  <c r="G58" i="16" s="1"/>
  <c r="G57" i="16" s="1"/>
  <c r="G56" i="16" s="1"/>
  <c r="G55" i="16" s="1"/>
  <c r="G54" i="16" s="1"/>
  <c r="G53" i="16" s="1"/>
  <c r="G52" i="16" s="1"/>
  <c r="G51" i="16" s="1"/>
  <c r="G50" i="16" s="1"/>
  <c r="G49" i="16" s="1"/>
  <c r="G48" i="16" s="1"/>
  <c r="G47" i="16" s="1"/>
  <c r="G46" i="16" s="1"/>
  <c r="G45" i="16" s="1"/>
  <c r="G44" i="16" s="1"/>
  <c r="G43" i="16" s="1"/>
  <c r="G42" i="16" s="1"/>
  <c r="G41" i="16" s="1"/>
  <c r="G40" i="16" s="1"/>
  <c r="G39" i="16" s="1"/>
  <c r="G38" i="16" s="1"/>
  <c r="G37" i="16" s="1"/>
  <c r="G36" i="16" s="1"/>
  <c r="G35" i="16" s="1"/>
  <c r="G34" i="16" s="1"/>
  <c r="G33" i="16" s="1"/>
  <c r="G32" i="16" s="1"/>
  <c r="G31" i="16" s="1"/>
  <c r="G30" i="16" s="1"/>
  <c r="G29" i="16" s="1"/>
  <c r="G28" i="16" s="1"/>
  <c r="G27" i="16" s="1"/>
  <c r="G26" i="16" s="1"/>
  <c r="G25" i="16" s="1"/>
  <c r="G24" i="16" s="1"/>
  <c r="G23" i="16" s="1"/>
  <c r="G22" i="16" s="1"/>
  <c r="G21" i="16" s="1"/>
  <c r="G20" i="16" s="1"/>
  <c r="G19" i="16" s="1"/>
  <c r="G18" i="16" s="1"/>
  <c r="G17" i="16" s="1"/>
  <c r="G16" i="16" s="1"/>
  <c r="G15" i="16" s="1"/>
  <c r="G14" i="16" s="1"/>
  <c r="G13" i="16" s="1"/>
  <c r="G12" i="16" s="1"/>
  <c r="G11" i="16" s="1"/>
  <c r="G10" i="16" s="1"/>
  <c r="G9" i="16" s="1"/>
  <c r="G8" i="16" s="1"/>
  <c r="G7" i="16" s="1"/>
  <c r="G6" i="16" s="1"/>
  <c r="G5" i="16" s="1"/>
  <c r="G4" i="16" s="1"/>
  <c r="G3" i="16" s="1"/>
  <c r="J363" i="16"/>
  <c r="O362" i="16"/>
  <c r="O361" i="16" s="1"/>
  <c r="O360" i="16" s="1"/>
  <c r="O359" i="16" s="1"/>
  <c r="O358" i="16" s="1"/>
  <c r="O357" i="16" s="1"/>
  <c r="O356" i="16" s="1"/>
  <c r="O355" i="16" s="1"/>
  <c r="O354" i="16" s="1"/>
  <c r="O353" i="16" s="1"/>
  <c r="O352" i="16" s="1"/>
  <c r="O351" i="16" s="1"/>
  <c r="O350" i="16" s="1"/>
  <c r="O349" i="16" s="1"/>
  <c r="O348" i="16" s="1"/>
  <c r="O347" i="16" s="1"/>
  <c r="O346" i="16" s="1"/>
  <c r="O345" i="16" s="1"/>
  <c r="O344" i="16" s="1"/>
  <c r="O343" i="16" s="1"/>
  <c r="O342" i="16" s="1"/>
  <c r="O341" i="16" s="1"/>
  <c r="O340" i="16" s="1"/>
  <c r="O339" i="16" s="1"/>
  <c r="O338" i="16" s="1"/>
  <c r="O337" i="16" s="1"/>
  <c r="O336" i="16" s="1"/>
  <c r="O335" i="16" s="1"/>
  <c r="O334" i="16" s="1"/>
  <c r="O333" i="16" s="1"/>
  <c r="O332" i="16" s="1"/>
  <c r="O331" i="16" s="1"/>
  <c r="O330" i="16" s="1"/>
  <c r="O329" i="16" s="1"/>
  <c r="O328" i="16" s="1"/>
  <c r="O327" i="16" s="1"/>
  <c r="O326" i="16" s="1"/>
  <c r="O325" i="16" s="1"/>
  <c r="O324" i="16" s="1"/>
  <c r="O323" i="16" s="1"/>
  <c r="O322" i="16" s="1"/>
  <c r="O321" i="16" s="1"/>
  <c r="O320" i="16" s="1"/>
  <c r="O319" i="16" s="1"/>
  <c r="O318" i="16" s="1"/>
  <c r="O317" i="16" s="1"/>
  <c r="O316" i="16" s="1"/>
  <c r="O315" i="16" s="1"/>
  <c r="O314" i="16" s="1"/>
  <c r="O313" i="16" s="1"/>
  <c r="O312" i="16" s="1"/>
  <c r="O311" i="16" s="1"/>
  <c r="O310" i="16" s="1"/>
  <c r="O309" i="16" s="1"/>
  <c r="O308" i="16" s="1"/>
  <c r="O307" i="16" s="1"/>
  <c r="O306" i="16" s="1"/>
  <c r="O305" i="16" s="1"/>
  <c r="O304" i="16" s="1"/>
  <c r="O303" i="16" s="1"/>
  <c r="O302" i="16" s="1"/>
  <c r="O301" i="16" s="1"/>
  <c r="O300" i="16" s="1"/>
  <c r="O299" i="16" s="1"/>
  <c r="O298" i="16" s="1"/>
  <c r="O297" i="16" s="1"/>
  <c r="O296" i="16" s="1"/>
  <c r="O295" i="16" s="1"/>
  <c r="O294" i="16" s="1"/>
  <c r="O293" i="16" s="1"/>
  <c r="O292" i="16" s="1"/>
  <c r="O291" i="16" s="1"/>
  <c r="O290" i="16" s="1"/>
  <c r="O289" i="16" s="1"/>
  <c r="O288" i="16" s="1"/>
  <c r="O287" i="16" s="1"/>
  <c r="O286" i="16" s="1"/>
  <c r="O285" i="16" s="1"/>
  <c r="O284" i="16" s="1"/>
  <c r="O283" i="16" s="1"/>
  <c r="O282" i="16" s="1"/>
  <c r="O281" i="16" s="1"/>
  <c r="O280" i="16" s="1"/>
  <c r="O279" i="16" s="1"/>
  <c r="O278" i="16" s="1"/>
  <c r="O277" i="16" s="1"/>
  <c r="O276" i="16" s="1"/>
  <c r="O275" i="16" s="1"/>
  <c r="O274" i="16" s="1"/>
  <c r="O273" i="16" s="1"/>
  <c r="O272" i="16" s="1"/>
  <c r="O271" i="16" s="1"/>
  <c r="O270" i="16" s="1"/>
  <c r="O269" i="16" s="1"/>
  <c r="O268" i="16" s="1"/>
  <c r="O267" i="16" s="1"/>
  <c r="O266" i="16" s="1"/>
  <c r="O265" i="16" s="1"/>
  <c r="O264" i="16" s="1"/>
  <c r="O263" i="16" s="1"/>
  <c r="O262" i="16" s="1"/>
  <c r="O261" i="16" s="1"/>
  <c r="O260" i="16" s="1"/>
  <c r="O259" i="16" s="1"/>
  <c r="O258" i="16" s="1"/>
  <c r="O257" i="16" s="1"/>
  <c r="O256" i="16" s="1"/>
  <c r="O255" i="16" s="1"/>
  <c r="O254" i="16" s="1"/>
  <c r="O253" i="16" s="1"/>
  <c r="O252" i="16" s="1"/>
  <c r="O251" i="16" s="1"/>
  <c r="O250" i="16" s="1"/>
  <c r="O249" i="16" s="1"/>
  <c r="O248" i="16" s="1"/>
  <c r="O247" i="16" s="1"/>
  <c r="O246" i="16" s="1"/>
  <c r="O245" i="16" s="1"/>
  <c r="O244" i="16" s="1"/>
  <c r="O243" i="16" s="1"/>
  <c r="O242" i="16" s="1"/>
  <c r="O241" i="16" s="1"/>
  <c r="O240" i="16" s="1"/>
  <c r="O239" i="16" s="1"/>
  <c r="O238" i="16" s="1"/>
  <c r="O237" i="16" s="1"/>
  <c r="O236" i="16" s="1"/>
  <c r="O235" i="16" s="1"/>
  <c r="O234" i="16" s="1"/>
  <c r="O233" i="16" s="1"/>
  <c r="O232" i="16" s="1"/>
  <c r="O231" i="16" s="1"/>
  <c r="O230" i="16" s="1"/>
  <c r="O229" i="16" s="1"/>
  <c r="O228" i="16" s="1"/>
  <c r="O227" i="16" s="1"/>
  <c r="O226" i="16" s="1"/>
  <c r="O225" i="16" s="1"/>
  <c r="O224" i="16" s="1"/>
  <c r="O223" i="16" s="1"/>
  <c r="O222" i="16" s="1"/>
  <c r="O221" i="16" s="1"/>
  <c r="O220" i="16" s="1"/>
  <c r="O219" i="16" s="1"/>
  <c r="O218" i="16" s="1"/>
  <c r="O217" i="16" s="1"/>
  <c r="O216" i="16" s="1"/>
  <c r="O215" i="16" s="1"/>
  <c r="O214" i="16" s="1"/>
  <c r="O213" i="16" s="1"/>
  <c r="O212" i="16" s="1"/>
  <c r="O211" i="16" s="1"/>
  <c r="O210" i="16" s="1"/>
  <c r="O209" i="16" s="1"/>
  <c r="O208" i="16" s="1"/>
  <c r="O207" i="16" s="1"/>
  <c r="O206" i="16" s="1"/>
  <c r="O205" i="16" s="1"/>
  <c r="O204" i="16" s="1"/>
  <c r="O203" i="16" s="1"/>
  <c r="O202" i="16" s="1"/>
  <c r="O201" i="16" s="1"/>
  <c r="O200" i="16" s="1"/>
  <c r="O199" i="16" s="1"/>
  <c r="O198" i="16" s="1"/>
  <c r="O197" i="16" s="1"/>
  <c r="O196" i="16" s="1"/>
  <c r="O195" i="16" s="1"/>
  <c r="O194" i="16" s="1"/>
  <c r="O193" i="16" s="1"/>
  <c r="O192" i="16" s="1"/>
  <c r="O191" i="16" s="1"/>
  <c r="O190" i="16" s="1"/>
  <c r="O189" i="16" s="1"/>
  <c r="O188" i="16" s="1"/>
  <c r="O187" i="16" s="1"/>
  <c r="O186" i="16" s="1"/>
  <c r="O185" i="16" s="1"/>
  <c r="O184" i="16" s="1"/>
  <c r="O183" i="16" s="1"/>
  <c r="O182" i="16" s="1"/>
  <c r="O181" i="16" s="1"/>
  <c r="O180" i="16" s="1"/>
  <c r="O179" i="16" s="1"/>
  <c r="O178" i="16" s="1"/>
  <c r="O177" i="16" s="1"/>
  <c r="O176" i="16" s="1"/>
  <c r="O175" i="16" s="1"/>
  <c r="O174" i="16" s="1"/>
  <c r="O173" i="16" s="1"/>
  <c r="O172" i="16" s="1"/>
  <c r="O171" i="16" s="1"/>
  <c r="O170" i="16" s="1"/>
  <c r="O169" i="16" s="1"/>
  <c r="O168" i="16" s="1"/>
  <c r="O167" i="16" s="1"/>
  <c r="O166" i="16" s="1"/>
  <c r="O165" i="16" s="1"/>
  <c r="O164" i="16" s="1"/>
  <c r="O163" i="16" s="1"/>
  <c r="O162" i="16" s="1"/>
  <c r="O161" i="16" s="1"/>
  <c r="O160" i="16" s="1"/>
  <c r="O159" i="16" s="1"/>
  <c r="O158" i="16" s="1"/>
  <c r="O157" i="16" s="1"/>
  <c r="O156" i="16" s="1"/>
  <c r="O155" i="16" s="1"/>
  <c r="O154" i="16" s="1"/>
  <c r="O153" i="16" s="1"/>
  <c r="O152" i="16" s="1"/>
  <c r="O151" i="16" s="1"/>
  <c r="O150" i="16" s="1"/>
  <c r="O149" i="16" s="1"/>
  <c r="O148" i="16" s="1"/>
  <c r="O147" i="16" s="1"/>
  <c r="O146" i="16" s="1"/>
  <c r="O145" i="16" s="1"/>
  <c r="O144" i="16" s="1"/>
  <c r="O143" i="16" s="1"/>
  <c r="O142" i="16" s="1"/>
  <c r="O141" i="16" s="1"/>
  <c r="O140" i="16" s="1"/>
  <c r="O139" i="16" s="1"/>
  <c r="O138" i="16" s="1"/>
  <c r="O137" i="16" s="1"/>
  <c r="O136" i="16" s="1"/>
  <c r="O135" i="16" s="1"/>
  <c r="O134" i="16" s="1"/>
  <c r="O133" i="16" s="1"/>
  <c r="O132" i="16" s="1"/>
  <c r="O131" i="16" s="1"/>
  <c r="O130" i="16" s="1"/>
  <c r="O129" i="16" s="1"/>
  <c r="O128" i="16" s="1"/>
  <c r="O127" i="16" s="1"/>
  <c r="O126" i="16" s="1"/>
  <c r="O125" i="16" s="1"/>
  <c r="O124" i="16" s="1"/>
  <c r="O123" i="16" s="1"/>
  <c r="O122" i="16" s="1"/>
  <c r="O121" i="16" s="1"/>
  <c r="O120" i="16" s="1"/>
  <c r="O119" i="16" s="1"/>
  <c r="O118" i="16" s="1"/>
  <c r="O117" i="16" s="1"/>
  <c r="O116" i="16" s="1"/>
  <c r="O115" i="16" s="1"/>
  <c r="O114" i="16" s="1"/>
  <c r="O113" i="16" s="1"/>
  <c r="O112" i="16" s="1"/>
  <c r="O111" i="16" s="1"/>
  <c r="O110" i="16" s="1"/>
  <c r="O109" i="16" s="1"/>
  <c r="O108" i="16" s="1"/>
  <c r="O107" i="16" s="1"/>
  <c r="O106" i="16" s="1"/>
  <c r="O105" i="16" s="1"/>
  <c r="O104" i="16" s="1"/>
  <c r="O103" i="16" s="1"/>
  <c r="O102" i="16" s="1"/>
  <c r="O101" i="16" s="1"/>
  <c r="O100" i="16" s="1"/>
  <c r="O99" i="16" s="1"/>
  <c r="O98" i="16" s="1"/>
  <c r="O97" i="16" s="1"/>
  <c r="O96" i="16" s="1"/>
  <c r="O95" i="16" s="1"/>
  <c r="O94" i="16" s="1"/>
  <c r="O93" i="16" s="1"/>
  <c r="O92" i="16" s="1"/>
  <c r="O91" i="16" s="1"/>
  <c r="O90" i="16" s="1"/>
  <c r="O89" i="16" s="1"/>
  <c r="O88" i="16" s="1"/>
  <c r="O87" i="16" s="1"/>
  <c r="O86" i="16" s="1"/>
  <c r="O85" i="16" s="1"/>
  <c r="O84" i="16" s="1"/>
  <c r="O83" i="16" s="1"/>
  <c r="O82" i="16" s="1"/>
  <c r="O81" i="16" s="1"/>
  <c r="O80" i="16" s="1"/>
  <c r="O79" i="16" s="1"/>
  <c r="O78" i="16" s="1"/>
  <c r="O77" i="16" s="1"/>
  <c r="O76" i="16" s="1"/>
  <c r="O75" i="16" s="1"/>
  <c r="O74" i="16" s="1"/>
  <c r="O73" i="16" s="1"/>
  <c r="O72" i="16" s="1"/>
  <c r="O71" i="16" s="1"/>
  <c r="O70" i="16" s="1"/>
  <c r="O69" i="16" s="1"/>
  <c r="O68" i="16" s="1"/>
  <c r="O67" i="16" s="1"/>
  <c r="O66" i="16" s="1"/>
  <c r="O65" i="16" s="1"/>
  <c r="O64" i="16" s="1"/>
  <c r="O63" i="16" s="1"/>
  <c r="O62" i="16" s="1"/>
  <c r="O61" i="16" s="1"/>
  <c r="O60" i="16" s="1"/>
  <c r="O59" i="16" s="1"/>
  <c r="O58" i="16" s="1"/>
  <c r="O57" i="16" s="1"/>
  <c r="O56" i="16" s="1"/>
  <c r="O55" i="16" s="1"/>
  <c r="O54" i="16" s="1"/>
  <c r="O53" i="16" s="1"/>
  <c r="O52" i="16" s="1"/>
  <c r="O51" i="16" s="1"/>
  <c r="O50" i="16" s="1"/>
  <c r="O49" i="16" s="1"/>
  <c r="O48" i="16" s="1"/>
  <c r="O47" i="16" s="1"/>
  <c r="O46" i="16" s="1"/>
  <c r="O45" i="16" s="1"/>
  <c r="O44" i="16" s="1"/>
  <c r="O43" i="16" s="1"/>
  <c r="O42" i="16" s="1"/>
  <c r="O41" i="16" s="1"/>
  <c r="O40" i="16" s="1"/>
  <c r="O39" i="16" s="1"/>
  <c r="O38" i="16" s="1"/>
  <c r="O37" i="16" s="1"/>
  <c r="O36" i="16" s="1"/>
  <c r="O35" i="16" s="1"/>
  <c r="O34" i="16" s="1"/>
  <c r="O33" i="16" s="1"/>
  <c r="O32" i="16" s="1"/>
  <c r="O31" i="16" s="1"/>
  <c r="O30" i="16" s="1"/>
  <c r="O29" i="16" s="1"/>
  <c r="O28" i="16" s="1"/>
  <c r="O27" i="16" s="1"/>
  <c r="O26" i="16" s="1"/>
  <c r="O25" i="16" s="1"/>
  <c r="O24" i="16" s="1"/>
  <c r="O23" i="16" s="1"/>
  <c r="O22" i="16" s="1"/>
  <c r="O21" i="16" s="1"/>
  <c r="O20" i="16" s="1"/>
  <c r="O19" i="16" s="1"/>
  <c r="O18" i="16" s="1"/>
  <c r="O17" i="16" s="1"/>
  <c r="O16" i="16" s="1"/>
  <c r="O15" i="16" s="1"/>
  <c r="O14" i="16" s="1"/>
  <c r="O13" i="16" s="1"/>
  <c r="O12" i="16" s="1"/>
  <c r="O11" i="16" s="1"/>
  <c r="O10" i="16" s="1"/>
  <c r="O9" i="16" s="1"/>
  <c r="O8" i="16" s="1"/>
  <c r="O7" i="16" s="1"/>
  <c r="O6" i="16" s="1"/>
  <c r="O5" i="16" s="1"/>
  <c r="O4" i="16" s="1"/>
  <c r="O3" i="16" s="1"/>
  <c r="R363" i="16"/>
  <c r="P363" i="16"/>
  <c r="W363" i="16"/>
  <c r="T362" i="16"/>
  <c r="T361" i="16" s="1"/>
  <c r="T360" i="16" s="1"/>
  <c r="T359" i="16" s="1"/>
  <c r="T358" i="16" s="1"/>
  <c r="T357" i="16" s="1"/>
  <c r="T356" i="16" s="1"/>
  <c r="T355" i="16" s="1"/>
  <c r="T354" i="16" s="1"/>
  <c r="T353" i="16" s="1"/>
  <c r="T352" i="16" s="1"/>
  <c r="T351" i="16" s="1"/>
  <c r="T350" i="16" s="1"/>
  <c r="T349" i="16" s="1"/>
  <c r="T348" i="16" s="1"/>
  <c r="T347" i="16" s="1"/>
  <c r="T346" i="16" s="1"/>
  <c r="T345" i="16" s="1"/>
  <c r="T344" i="16" s="1"/>
  <c r="T343" i="16" s="1"/>
  <c r="T342" i="16" s="1"/>
  <c r="T341" i="16" s="1"/>
  <c r="T340" i="16" s="1"/>
  <c r="T339" i="16" s="1"/>
  <c r="T338" i="16" s="1"/>
  <c r="T337" i="16" s="1"/>
  <c r="T336" i="16" s="1"/>
  <c r="T335" i="16" s="1"/>
  <c r="T334" i="16" s="1"/>
  <c r="T333" i="16" s="1"/>
  <c r="T332" i="16" s="1"/>
  <c r="T331" i="16" s="1"/>
  <c r="T330" i="16" s="1"/>
  <c r="T329" i="16" s="1"/>
  <c r="T328" i="16" s="1"/>
  <c r="T327" i="16" s="1"/>
  <c r="T326" i="16" s="1"/>
  <c r="T325" i="16" s="1"/>
  <c r="T324" i="16" s="1"/>
  <c r="T323" i="16" s="1"/>
  <c r="T322" i="16" s="1"/>
  <c r="T321" i="16" s="1"/>
  <c r="T320" i="16" s="1"/>
  <c r="T319" i="16" s="1"/>
  <c r="T318" i="16" s="1"/>
  <c r="T317" i="16" s="1"/>
  <c r="T316" i="16" s="1"/>
  <c r="T315" i="16" s="1"/>
  <c r="T314" i="16" s="1"/>
  <c r="T313" i="16" s="1"/>
  <c r="T312" i="16" s="1"/>
  <c r="T311" i="16" s="1"/>
  <c r="T310" i="16" s="1"/>
  <c r="T309" i="16" s="1"/>
  <c r="T308" i="16" s="1"/>
  <c r="T307" i="16" s="1"/>
  <c r="T306" i="16" s="1"/>
  <c r="T305" i="16" s="1"/>
  <c r="T304" i="16" s="1"/>
  <c r="T303" i="16" s="1"/>
  <c r="T302" i="16" s="1"/>
  <c r="T301" i="16" s="1"/>
  <c r="T300" i="16" s="1"/>
  <c r="T299" i="16" s="1"/>
  <c r="T298" i="16" s="1"/>
  <c r="T297" i="16" s="1"/>
  <c r="T296" i="16" s="1"/>
  <c r="T295" i="16" s="1"/>
  <c r="T294" i="16" s="1"/>
  <c r="T293" i="16" s="1"/>
  <c r="T292" i="16" s="1"/>
  <c r="T291" i="16" s="1"/>
  <c r="T290" i="16" s="1"/>
  <c r="T289" i="16" s="1"/>
  <c r="T288" i="16" s="1"/>
  <c r="T287" i="16" s="1"/>
  <c r="T286" i="16" s="1"/>
  <c r="T285" i="16" s="1"/>
  <c r="T284" i="16" s="1"/>
  <c r="T283" i="16" s="1"/>
  <c r="T282" i="16" s="1"/>
  <c r="T281" i="16" s="1"/>
  <c r="T280" i="16" s="1"/>
  <c r="T279" i="16" s="1"/>
  <c r="T278" i="16" s="1"/>
  <c r="T277" i="16" s="1"/>
  <c r="T276" i="16" s="1"/>
  <c r="T275" i="16" s="1"/>
  <c r="T274" i="16" s="1"/>
  <c r="T273" i="16" s="1"/>
  <c r="T272" i="16" s="1"/>
  <c r="T271" i="16" s="1"/>
  <c r="T270" i="16" s="1"/>
  <c r="T269" i="16" s="1"/>
  <c r="T268" i="16" s="1"/>
  <c r="T267" i="16" s="1"/>
  <c r="T266" i="16" s="1"/>
  <c r="T265" i="16" s="1"/>
  <c r="T264" i="16" s="1"/>
  <c r="T263" i="16" s="1"/>
  <c r="T262" i="16" s="1"/>
  <c r="T261" i="16" s="1"/>
  <c r="T260" i="16" s="1"/>
  <c r="T259" i="16" s="1"/>
  <c r="T258" i="16" s="1"/>
  <c r="T257" i="16" s="1"/>
  <c r="T256" i="16" s="1"/>
  <c r="T255" i="16" s="1"/>
  <c r="T254" i="16" s="1"/>
  <c r="T253" i="16" s="1"/>
  <c r="T252" i="16" s="1"/>
  <c r="T251" i="16" s="1"/>
  <c r="T250" i="16" s="1"/>
  <c r="T249" i="16" s="1"/>
  <c r="T248" i="16" s="1"/>
  <c r="T247" i="16" s="1"/>
  <c r="T246" i="16" s="1"/>
  <c r="T245" i="16" s="1"/>
  <c r="T244" i="16" s="1"/>
  <c r="T243" i="16" s="1"/>
  <c r="T242" i="16" s="1"/>
  <c r="T241" i="16" s="1"/>
  <c r="T240" i="16" s="1"/>
  <c r="T239" i="16" s="1"/>
  <c r="T238" i="16" s="1"/>
  <c r="T237" i="16" s="1"/>
  <c r="T236" i="16" s="1"/>
  <c r="T235" i="16" s="1"/>
  <c r="T234" i="16" s="1"/>
  <c r="T233" i="16" s="1"/>
  <c r="T232" i="16" s="1"/>
  <c r="T231" i="16" s="1"/>
  <c r="T230" i="16" s="1"/>
  <c r="T229" i="16" s="1"/>
  <c r="T228" i="16" s="1"/>
  <c r="T227" i="16" s="1"/>
  <c r="T226" i="16" s="1"/>
  <c r="T225" i="16" s="1"/>
  <c r="T224" i="16" s="1"/>
  <c r="T223" i="16" s="1"/>
  <c r="T222" i="16" s="1"/>
  <c r="T221" i="16" s="1"/>
  <c r="T220" i="16" s="1"/>
  <c r="T219" i="16" s="1"/>
  <c r="T218" i="16" s="1"/>
  <c r="T217" i="16" s="1"/>
  <c r="T216" i="16" s="1"/>
  <c r="T215" i="16" s="1"/>
  <c r="T214" i="16" s="1"/>
  <c r="T213" i="16" s="1"/>
  <c r="T212" i="16" s="1"/>
  <c r="T211" i="16" s="1"/>
  <c r="T210" i="16" s="1"/>
  <c r="T209" i="16" s="1"/>
  <c r="T208" i="16" s="1"/>
  <c r="T207" i="16" s="1"/>
  <c r="T206" i="16" s="1"/>
  <c r="T205" i="16" s="1"/>
  <c r="T204" i="16" s="1"/>
  <c r="T203" i="16" s="1"/>
  <c r="T202" i="16" s="1"/>
  <c r="T201" i="16" s="1"/>
  <c r="T200" i="16" s="1"/>
  <c r="T199" i="16" s="1"/>
  <c r="T198" i="16" s="1"/>
  <c r="T197" i="16" s="1"/>
  <c r="T196" i="16" s="1"/>
  <c r="T195" i="16" s="1"/>
  <c r="T194" i="16" s="1"/>
  <c r="T193" i="16" s="1"/>
  <c r="T192" i="16" s="1"/>
  <c r="T191" i="16" s="1"/>
  <c r="T190" i="16" s="1"/>
  <c r="T189" i="16" s="1"/>
  <c r="T188" i="16" s="1"/>
  <c r="T187" i="16" s="1"/>
  <c r="T186" i="16" s="1"/>
  <c r="T185" i="16" s="1"/>
  <c r="T184" i="16" s="1"/>
  <c r="T183" i="16" s="1"/>
  <c r="T182" i="16" s="1"/>
  <c r="T181" i="16" s="1"/>
  <c r="T180" i="16" s="1"/>
  <c r="T179" i="16" s="1"/>
  <c r="T178" i="16" s="1"/>
  <c r="T177" i="16" s="1"/>
  <c r="T176" i="16" s="1"/>
  <c r="T175" i="16" s="1"/>
  <c r="T174" i="16" s="1"/>
  <c r="T173" i="16" s="1"/>
  <c r="T172" i="16" s="1"/>
  <c r="T171" i="16" s="1"/>
  <c r="T170" i="16" s="1"/>
  <c r="T169" i="16" s="1"/>
  <c r="T168" i="16" s="1"/>
  <c r="T167" i="16" s="1"/>
  <c r="T166" i="16" s="1"/>
  <c r="T165" i="16" s="1"/>
  <c r="T164" i="16" s="1"/>
  <c r="T163" i="16" s="1"/>
  <c r="T162" i="16" s="1"/>
  <c r="T161" i="16" s="1"/>
  <c r="T160" i="16" s="1"/>
  <c r="T159" i="16" s="1"/>
  <c r="T158" i="16" s="1"/>
  <c r="T157" i="16" s="1"/>
  <c r="T156" i="16" s="1"/>
  <c r="T155" i="16" s="1"/>
  <c r="T154" i="16" s="1"/>
  <c r="T153" i="16" s="1"/>
  <c r="T152" i="16" s="1"/>
  <c r="T151" i="16" s="1"/>
  <c r="T150" i="16" s="1"/>
  <c r="T149" i="16" s="1"/>
  <c r="T148" i="16" s="1"/>
  <c r="T147" i="16" s="1"/>
  <c r="T146" i="16" s="1"/>
  <c r="T145" i="16" s="1"/>
  <c r="T144" i="16" s="1"/>
  <c r="T143" i="16" s="1"/>
  <c r="T142" i="16" s="1"/>
  <c r="T141" i="16" s="1"/>
  <c r="T140" i="16" s="1"/>
  <c r="T139" i="16" s="1"/>
  <c r="T138" i="16" s="1"/>
  <c r="T137" i="16" s="1"/>
  <c r="T136" i="16" s="1"/>
  <c r="T135" i="16" s="1"/>
  <c r="T134" i="16" s="1"/>
  <c r="T133" i="16" s="1"/>
  <c r="T132" i="16" s="1"/>
  <c r="T131" i="16" s="1"/>
  <c r="T130" i="16" s="1"/>
  <c r="T129" i="16" s="1"/>
  <c r="T128" i="16" s="1"/>
  <c r="T127" i="16" s="1"/>
  <c r="T126" i="16" s="1"/>
  <c r="T125" i="16" s="1"/>
  <c r="T124" i="16" s="1"/>
  <c r="T123" i="16" s="1"/>
  <c r="T122" i="16" s="1"/>
  <c r="T121" i="16" s="1"/>
  <c r="T120" i="16" s="1"/>
  <c r="T119" i="16" s="1"/>
  <c r="T118" i="16" s="1"/>
  <c r="T117" i="16" s="1"/>
  <c r="T116" i="16" s="1"/>
  <c r="T115" i="16" s="1"/>
  <c r="T114" i="16" s="1"/>
  <c r="T113" i="16" s="1"/>
  <c r="T112" i="16" s="1"/>
  <c r="T111" i="16" s="1"/>
  <c r="T110" i="16" s="1"/>
  <c r="T109" i="16" s="1"/>
  <c r="T108" i="16" s="1"/>
  <c r="T107" i="16" s="1"/>
  <c r="T106" i="16" s="1"/>
  <c r="T105" i="16" s="1"/>
  <c r="T104" i="16" s="1"/>
  <c r="T103" i="16" s="1"/>
  <c r="T102" i="16" s="1"/>
  <c r="T101" i="16" s="1"/>
  <c r="T100" i="16" s="1"/>
  <c r="T99" i="16" s="1"/>
  <c r="T98" i="16" s="1"/>
  <c r="T97" i="16" s="1"/>
  <c r="T96" i="16" s="1"/>
  <c r="T95" i="16" s="1"/>
  <c r="T94" i="16" s="1"/>
  <c r="T93" i="16" s="1"/>
  <c r="T92" i="16" s="1"/>
  <c r="T91" i="16" s="1"/>
  <c r="T90" i="16" s="1"/>
  <c r="T89" i="16" s="1"/>
  <c r="T88" i="16" s="1"/>
  <c r="T87" i="16" s="1"/>
  <c r="T86" i="16" s="1"/>
  <c r="T85" i="16" s="1"/>
  <c r="T84" i="16" s="1"/>
  <c r="T83" i="16" s="1"/>
  <c r="T82" i="16" s="1"/>
  <c r="T81" i="16" s="1"/>
  <c r="T80" i="16" s="1"/>
  <c r="T79" i="16" s="1"/>
  <c r="T78" i="16" s="1"/>
  <c r="T77" i="16" s="1"/>
  <c r="T76" i="16" s="1"/>
  <c r="T75" i="16" s="1"/>
  <c r="T74" i="16" s="1"/>
  <c r="T73" i="16" s="1"/>
  <c r="T72" i="16" s="1"/>
  <c r="T71" i="16" s="1"/>
  <c r="T70" i="16" s="1"/>
  <c r="T69" i="16" s="1"/>
  <c r="T68" i="16" s="1"/>
  <c r="T67" i="16" s="1"/>
  <c r="T66" i="16" s="1"/>
  <c r="T65" i="16" s="1"/>
  <c r="T64" i="16" s="1"/>
  <c r="T63" i="16" s="1"/>
  <c r="T62" i="16" s="1"/>
  <c r="T61" i="16" s="1"/>
  <c r="T60" i="16" s="1"/>
  <c r="T59" i="16" s="1"/>
  <c r="T58" i="16" s="1"/>
  <c r="T57" i="16" s="1"/>
  <c r="T56" i="16" s="1"/>
  <c r="T55" i="16" s="1"/>
  <c r="T54" i="16" s="1"/>
  <c r="T53" i="16" s="1"/>
  <c r="T52" i="16" s="1"/>
  <c r="T51" i="16" s="1"/>
  <c r="T50" i="16" s="1"/>
  <c r="T49" i="16" s="1"/>
  <c r="T48" i="16" s="1"/>
  <c r="T47" i="16" s="1"/>
  <c r="T46" i="16" s="1"/>
  <c r="T45" i="16" s="1"/>
  <c r="T44" i="16" s="1"/>
  <c r="T43" i="16" s="1"/>
  <c r="T42" i="16" s="1"/>
  <c r="T41" i="16" s="1"/>
  <c r="T40" i="16" s="1"/>
  <c r="T39" i="16" s="1"/>
  <c r="T38" i="16" s="1"/>
  <c r="T37" i="16" s="1"/>
  <c r="T36" i="16" s="1"/>
  <c r="T35" i="16" s="1"/>
  <c r="T34" i="16" s="1"/>
  <c r="T33" i="16" s="1"/>
  <c r="T32" i="16" s="1"/>
  <c r="T31" i="16" s="1"/>
  <c r="T30" i="16" s="1"/>
  <c r="T29" i="16" s="1"/>
  <c r="T28" i="16" s="1"/>
  <c r="T27" i="16" s="1"/>
  <c r="T26" i="16" s="1"/>
  <c r="T25" i="16" s="1"/>
  <c r="T24" i="16" s="1"/>
  <c r="T23" i="16" s="1"/>
  <c r="T22" i="16" s="1"/>
  <c r="T21" i="16" s="1"/>
  <c r="T20" i="16" s="1"/>
  <c r="T19" i="16" s="1"/>
  <c r="T18" i="16" s="1"/>
  <c r="T17" i="16" s="1"/>
  <c r="T16" i="16" s="1"/>
  <c r="T15" i="16" s="1"/>
  <c r="T14" i="16" s="1"/>
  <c r="T13" i="16" s="1"/>
  <c r="T12" i="16" s="1"/>
  <c r="T11" i="16" s="1"/>
  <c r="T10" i="16" s="1"/>
  <c r="T9" i="16" s="1"/>
  <c r="T8" i="16" s="1"/>
  <c r="T7" i="16" s="1"/>
  <c r="T6" i="16" s="1"/>
  <c r="T5" i="16" s="1"/>
  <c r="T4" i="16" s="1"/>
  <c r="T3" i="16" s="1"/>
  <c r="I317" i="14"/>
  <c r="I315" i="14" s="1"/>
  <c r="O309" i="14" s="1"/>
  <c r="H317" i="14"/>
  <c r="H315" i="14" s="1"/>
  <c r="O308" i="14" s="1"/>
  <c r="I277" i="14"/>
  <c r="I275" i="14" s="1"/>
  <c r="O269" i="14" s="1"/>
  <c r="H277" i="14"/>
  <c r="H275" i="14" s="1"/>
  <c r="O268" i="14" s="1"/>
  <c r="I237" i="14"/>
  <c r="I235" i="14" s="1"/>
  <c r="O229" i="14" s="1"/>
  <c r="H237" i="14"/>
  <c r="H235" i="14" s="1"/>
  <c r="O228" i="14" s="1"/>
  <c r="I197" i="14"/>
  <c r="I195" i="14" s="1"/>
  <c r="O189" i="14" s="1"/>
  <c r="H197" i="14"/>
  <c r="H195" i="14" s="1"/>
  <c r="O188" i="14" s="1"/>
  <c r="H71" i="14"/>
  <c r="H69" i="14" s="1"/>
  <c r="O63" i="14" s="1"/>
  <c r="I71" i="14"/>
  <c r="I69" i="14" s="1"/>
  <c r="O64" i="14" s="1"/>
  <c r="O106" i="14"/>
  <c r="K55" i="14"/>
  <c r="I55" i="14"/>
  <c r="L54" i="14"/>
  <c r="J54" i="14"/>
  <c r="H54" i="14"/>
  <c r="O47" i="14"/>
  <c r="L55" i="14"/>
  <c r="J55" i="14"/>
  <c r="H55" i="14"/>
  <c r="K54" i="14"/>
  <c r="I54" i="14"/>
  <c r="O346" i="14"/>
  <c r="L354" i="14"/>
  <c r="O352" i="14"/>
  <c r="L347" i="14"/>
  <c r="O307" i="14"/>
  <c r="O267" i="14"/>
  <c r="O227" i="14"/>
  <c r="O187" i="14"/>
  <c r="I355" i="14"/>
  <c r="O349" i="14" s="1"/>
  <c r="O48" i="14"/>
  <c r="I87" i="14"/>
  <c r="O82" i="14" s="1"/>
  <c r="I337" i="14"/>
  <c r="I335" i="14" s="1"/>
  <c r="O329" i="14" s="1"/>
  <c r="H337" i="14"/>
  <c r="H335" i="14" s="1"/>
  <c r="O328" i="14" s="1"/>
  <c r="I297" i="14"/>
  <c r="I295" i="14" s="1"/>
  <c r="O289" i="14" s="1"/>
  <c r="H297" i="14"/>
  <c r="H295" i="14" s="1"/>
  <c r="O288" i="14" s="1"/>
  <c r="I257" i="14"/>
  <c r="I255" i="14" s="1"/>
  <c r="O249" i="14" s="1"/>
  <c r="H257" i="14"/>
  <c r="H255" i="14" s="1"/>
  <c r="O248" i="14" s="1"/>
  <c r="I217" i="14"/>
  <c r="I215" i="14" s="1"/>
  <c r="O209" i="14" s="1"/>
  <c r="H217" i="14"/>
  <c r="H215" i="14" s="1"/>
  <c r="O208" i="14" s="1"/>
  <c r="L116" i="14"/>
  <c r="J116" i="14"/>
  <c r="H116" i="14"/>
  <c r="K115" i="14"/>
  <c r="I115" i="14"/>
  <c r="K116" i="14"/>
  <c r="I116" i="14"/>
  <c r="L115" i="14"/>
  <c r="J115" i="14"/>
  <c r="H115" i="14"/>
  <c r="O109" i="14"/>
  <c r="O108" i="14"/>
  <c r="K141" i="14"/>
  <c r="I141" i="14"/>
  <c r="L140" i="14"/>
  <c r="J140" i="14"/>
  <c r="H140" i="14"/>
  <c r="O133" i="14"/>
  <c r="L141" i="14"/>
  <c r="J141" i="14"/>
  <c r="H141" i="14"/>
  <c r="K140" i="14"/>
  <c r="I140" i="14"/>
  <c r="O132" i="14"/>
  <c r="O107" i="14"/>
  <c r="O79" i="14"/>
  <c r="L87" i="14"/>
  <c r="L80" i="14"/>
  <c r="O62" i="14"/>
  <c r="O67" i="14" s="1"/>
  <c r="O46" i="14"/>
  <c r="K363" i="13"/>
  <c r="K362" i="13" s="1"/>
  <c r="K361" i="13" s="1"/>
  <c r="K360" i="13" s="1"/>
  <c r="K359" i="13" s="1"/>
  <c r="K358" i="13" s="1"/>
  <c r="K357" i="13" s="1"/>
  <c r="K356" i="13" s="1"/>
  <c r="K355" i="13" s="1"/>
  <c r="K354" i="13" s="1"/>
  <c r="K353" i="13" s="1"/>
  <c r="K352" i="13" s="1"/>
  <c r="K351" i="13" s="1"/>
  <c r="K350" i="13" s="1"/>
  <c r="K349" i="13" s="1"/>
  <c r="K348" i="13" s="1"/>
  <c r="K347" i="13" s="1"/>
  <c r="K346" i="13" s="1"/>
  <c r="K345" i="13" s="1"/>
  <c r="K344" i="13" s="1"/>
  <c r="K343" i="13" s="1"/>
  <c r="K342" i="13" s="1"/>
  <c r="K341" i="13" s="1"/>
  <c r="K340" i="13" s="1"/>
  <c r="K339" i="13" s="1"/>
  <c r="K338" i="13" s="1"/>
  <c r="K337" i="13" s="1"/>
  <c r="K336" i="13" s="1"/>
  <c r="K335" i="13" s="1"/>
  <c r="K334" i="13" s="1"/>
  <c r="K333" i="13" s="1"/>
  <c r="K332" i="13" s="1"/>
  <c r="K331" i="13" s="1"/>
  <c r="K330" i="13" s="1"/>
  <c r="K329" i="13" s="1"/>
  <c r="K328" i="13" s="1"/>
  <c r="K327" i="13" s="1"/>
  <c r="K326" i="13" s="1"/>
  <c r="K325" i="13" s="1"/>
  <c r="K324" i="13" s="1"/>
  <c r="K323" i="13" s="1"/>
  <c r="K322" i="13" s="1"/>
  <c r="K321" i="13" s="1"/>
  <c r="K320" i="13" s="1"/>
  <c r="K319" i="13" s="1"/>
  <c r="K318" i="13" s="1"/>
  <c r="K317" i="13" s="1"/>
  <c r="K316" i="13" s="1"/>
  <c r="K315" i="13" s="1"/>
  <c r="K314" i="13" s="1"/>
  <c r="K313" i="13" s="1"/>
  <c r="K312" i="13" s="1"/>
  <c r="K311" i="13" s="1"/>
  <c r="K310" i="13" s="1"/>
  <c r="K309" i="13" s="1"/>
  <c r="K308" i="13" s="1"/>
  <c r="K307" i="13" s="1"/>
  <c r="K306" i="13" s="1"/>
  <c r="K305" i="13" s="1"/>
  <c r="K304" i="13" s="1"/>
  <c r="K303" i="13" s="1"/>
  <c r="K302" i="13" s="1"/>
  <c r="K301" i="13" s="1"/>
  <c r="K300" i="13" s="1"/>
  <c r="K299" i="13" s="1"/>
  <c r="K298" i="13" s="1"/>
  <c r="K297" i="13" s="1"/>
  <c r="K296" i="13" s="1"/>
  <c r="K295" i="13" s="1"/>
  <c r="K294" i="13" s="1"/>
  <c r="K293" i="13" s="1"/>
  <c r="K292" i="13" s="1"/>
  <c r="K291" i="13" s="1"/>
  <c r="K290" i="13" s="1"/>
  <c r="K289" i="13" s="1"/>
  <c r="K288" i="13" s="1"/>
  <c r="K287" i="13" s="1"/>
  <c r="K286" i="13" s="1"/>
  <c r="K285" i="13" s="1"/>
  <c r="K284" i="13" s="1"/>
  <c r="K283" i="13" s="1"/>
  <c r="K282" i="13" s="1"/>
  <c r="K281" i="13" s="1"/>
  <c r="K280" i="13" s="1"/>
  <c r="K279" i="13" s="1"/>
  <c r="K278" i="13" s="1"/>
  <c r="K277" i="13" s="1"/>
  <c r="K276" i="13" s="1"/>
  <c r="K275" i="13" s="1"/>
  <c r="K274" i="13" s="1"/>
  <c r="K273" i="13" s="1"/>
  <c r="K272" i="13" s="1"/>
  <c r="K271" i="13" s="1"/>
  <c r="K270" i="13" s="1"/>
  <c r="K269" i="13" s="1"/>
  <c r="K268" i="13" s="1"/>
  <c r="K267" i="13" s="1"/>
  <c r="K266" i="13" s="1"/>
  <c r="K265" i="13" s="1"/>
  <c r="K264" i="13" s="1"/>
  <c r="K263" i="13" s="1"/>
  <c r="K262" i="13" s="1"/>
  <c r="K261" i="13" s="1"/>
  <c r="K260" i="13" s="1"/>
  <c r="K259" i="13" s="1"/>
  <c r="K258" i="13" s="1"/>
  <c r="K257" i="13" s="1"/>
  <c r="K256" i="13" s="1"/>
  <c r="K255" i="13" s="1"/>
  <c r="K254" i="13" s="1"/>
  <c r="K253" i="13" s="1"/>
  <c r="K252" i="13" s="1"/>
  <c r="K251" i="13" s="1"/>
  <c r="K250" i="13" s="1"/>
  <c r="K249" i="13" s="1"/>
  <c r="K248" i="13" s="1"/>
  <c r="K247" i="13" s="1"/>
  <c r="K246" i="13" s="1"/>
  <c r="K245" i="13" s="1"/>
  <c r="K244" i="13" s="1"/>
  <c r="K243" i="13" s="1"/>
  <c r="K242" i="13" s="1"/>
  <c r="K241" i="13" s="1"/>
  <c r="K240" i="13" s="1"/>
  <c r="K239" i="13" s="1"/>
  <c r="K238" i="13" s="1"/>
  <c r="K237" i="13" s="1"/>
  <c r="K236" i="13" s="1"/>
  <c r="K235" i="13" s="1"/>
  <c r="K234" i="13" s="1"/>
  <c r="K233" i="13" s="1"/>
  <c r="K232" i="13" s="1"/>
  <c r="K231" i="13" s="1"/>
  <c r="K230" i="13" s="1"/>
  <c r="K229" i="13" s="1"/>
  <c r="K228" i="13" s="1"/>
  <c r="K227" i="13" s="1"/>
  <c r="K226" i="13" s="1"/>
  <c r="K225" i="13" s="1"/>
  <c r="K224" i="13" s="1"/>
  <c r="K223" i="13" s="1"/>
  <c r="K222" i="13" s="1"/>
  <c r="K221" i="13" s="1"/>
  <c r="K220" i="13" s="1"/>
  <c r="K219" i="13" s="1"/>
  <c r="K218" i="13" s="1"/>
  <c r="K217" i="13" s="1"/>
  <c r="K216" i="13" s="1"/>
  <c r="K215" i="13" s="1"/>
  <c r="K214" i="13" s="1"/>
  <c r="K213" i="13" s="1"/>
  <c r="K212" i="13" s="1"/>
  <c r="K211" i="13" s="1"/>
  <c r="K210" i="13" s="1"/>
  <c r="K209" i="13" s="1"/>
  <c r="K208" i="13" s="1"/>
  <c r="K207" i="13" s="1"/>
  <c r="K206" i="13" s="1"/>
  <c r="K205" i="13" s="1"/>
  <c r="K204" i="13" s="1"/>
  <c r="K203" i="13" s="1"/>
  <c r="K202" i="13" s="1"/>
  <c r="K201" i="13" s="1"/>
  <c r="K200" i="13" s="1"/>
  <c r="K199" i="13" s="1"/>
  <c r="K198" i="13" s="1"/>
  <c r="K197" i="13" s="1"/>
  <c r="K196" i="13" s="1"/>
  <c r="K195" i="13" s="1"/>
  <c r="K194" i="13" s="1"/>
  <c r="K193" i="13" s="1"/>
  <c r="K192" i="13" s="1"/>
  <c r="K191" i="13" s="1"/>
  <c r="K190" i="13" s="1"/>
  <c r="K189" i="13" s="1"/>
  <c r="K188" i="13" s="1"/>
  <c r="K187" i="13" s="1"/>
  <c r="K186" i="13" s="1"/>
  <c r="K185" i="13" s="1"/>
  <c r="K184" i="13" s="1"/>
  <c r="K183" i="13" s="1"/>
  <c r="K182" i="13" s="1"/>
  <c r="K181" i="13" s="1"/>
  <c r="K180" i="13" s="1"/>
  <c r="K179" i="13" s="1"/>
  <c r="K178" i="13" s="1"/>
  <c r="K177" i="13" s="1"/>
  <c r="K176" i="13" s="1"/>
  <c r="K175" i="13" s="1"/>
  <c r="K174" i="13" s="1"/>
  <c r="K173" i="13" s="1"/>
  <c r="K172" i="13" s="1"/>
  <c r="K171" i="13" s="1"/>
  <c r="K170" i="13" s="1"/>
  <c r="K169" i="13" s="1"/>
  <c r="K168" i="13" s="1"/>
  <c r="K167" i="13" s="1"/>
  <c r="K166" i="13" s="1"/>
  <c r="K165" i="13" s="1"/>
  <c r="K164" i="13" s="1"/>
  <c r="K163" i="13" s="1"/>
  <c r="K162" i="13" s="1"/>
  <c r="K161" i="13" s="1"/>
  <c r="K160" i="13" s="1"/>
  <c r="K159" i="13" s="1"/>
  <c r="K158" i="13" s="1"/>
  <c r="K157" i="13" s="1"/>
  <c r="K156" i="13" s="1"/>
  <c r="K155" i="13" s="1"/>
  <c r="K154" i="13" s="1"/>
  <c r="K153" i="13" s="1"/>
  <c r="K152" i="13" s="1"/>
  <c r="K151" i="13" s="1"/>
  <c r="K150" i="13" s="1"/>
  <c r="K149" i="13" s="1"/>
  <c r="K148" i="13" s="1"/>
  <c r="K147" i="13" s="1"/>
  <c r="K146" i="13" s="1"/>
  <c r="K145" i="13" s="1"/>
  <c r="K144" i="13" s="1"/>
  <c r="K143" i="13" s="1"/>
  <c r="K142" i="13" s="1"/>
  <c r="K141" i="13" s="1"/>
  <c r="K140" i="13" s="1"/>
  <c r="K139" i="13" s="1"/>
  <c r="K138" i="13" s="1"/>
  <c r="K137" i="13" s="1"/>
  <c r="K136" i="13" s="1"/>
  <c r="K135" i="13" s="1"/>
  <c r="K134" i="13" s="1"/>
  <c r="K133" i="13" s="1"/>
  <c r="K132" i="13" s="1"/>
  <c r="K131" i="13" s="1"/>
  <c r="K130" i="13" s="1"/>
  <c r="K129" i="13" s="1"/>
  <c r="K128" i="13" s="1"/>
  <c r="K127" i="13" s="1"/>
  <c r="K126" i="13" s="1"/>
  <c r="K125" i="13" s="1"/>
  <c r="K124" i="13" s="1"/>
  <c r="K123" i="13" s="1"/>
  <c r="K122" i="13" s="1"/>
  <c r="K121" i="13" s="1"/>
  <c r="K120" i="13" s="1"/>
  <c r="K119" i="13" s="1"/>
  <c r="K118" i="13" s="1"/>
  <c r="K117" i="13" s="1"/>
  <c r="K116" i="13" s="1"/>
  <c r="K115" i="13" s="1"/>
  <c r="K114" i="13" s="1"/>
  <c r="K113" i="13" s="1"/>
  <c r="K112" i="13" s="1"/>
  <c r="K111" i="13" s="1"/>
  <c r="K110" i="13" s="1"/>
  <c r="K109" i="13" s="1"/>
  <c r="K108" i="13" s="1"/>
  <c r="K107" i="13" s="1"/>
  <c r="K106" i="13" s="1"/>
  <c r="K105" i="13" s="1"/>
  <c r="K104" i="13" s="1"/>
  <c r="K103" i="13" s="1"/>
  <c r="K102" i="13" s="1"/>
  <c r="K101" i="13" s="1"/>
  <c r="K100" i="13" s="1"/>
  <c r="K99" i="13" s="1"/>
  <c r="K98" i="13" s="1"/>
  <c r="K97" i="13" s="1"/>
  <c r="K96" i="13" s="1"/>
  <c r="K95" i="13" s="1"/>
  <c r="K94" i="13" s="1"/>
  <c r="K93" i="13" s="1"/>
  <c r="K92" i="13" s="1"/>
  <c r="K91" i="13" s="1"/>
  <c r="K90" i="13" s="1"/>
  <c r="K89" i="13" s="1"/>
  <c r="K88" i="13" s="1"/>
  <c r="K87" i="13" s="1"/>
  <c r="K86" i="13" s="1"/>
  <c r="K85" i="13" s="1"/>
  <c r="K84" i="13" s="1"/>
  <c r="K83" i="13" s="1"/>
  <c r="K82" i="13" s="1"/>
  <c r="K81" i="13" s="1"/>
  <c r="K80" i="13" s="1"/>
  <c r="K79" i="13" s="1"/>
  <c r="K78" i="13" s="1"/>
  <c r="K77" i="13" s="1"/>
  <c r="K76" i="13" s="1"/>
  <c r="K75" i="13" s="1"/>
  <c r="K74" i="13" s="1"/>
  <c r="K73" i="13" s="1"/>
  <c r="K72" i="13" s="1"/>
  <c r="K71" i="13" s="1"/>
  <c r="K70" i="13" s="1"/>
  <c r="K69" i="13" s="1"/>
  <c r="K68" i="13" s="1"/>
  <c r="K67" i="13" s="1"/>
  <c r="K66" i="13" s="1"/>
  <c r="K65" i="13" s="1"/>
  <c r="K64" i="13" s="1"/>
  <c r="K63" i="13" s="1"/>
  <c r="K62" i="13" s="1"/>
  <c r="K61" i="13" s="1"/>
  <c r="K60" i="13" s="1"/>
  <c r="K59" i="13" s="1"/>
  <c r="K58" i="13" s="1"/>
  <c r="K57" i="13" s="1"/>
  <c r="K56" i="13" s="1"/>
  <c r="K55" i="13" s="1"/>
  <c r="K54" i="13" s="1"/>
  <c r="K53" i="13" s="1"/>
  <c r="K52" i="13" s="1"/>
  <c r="K51" i="13" s="1"/>
  <c r="K50" i="13" s="1"/>
  <c r="K49" i="13" s="1"/>
  <c r="K48" i="13" s="1"/>
  <c r="K47" i="13" s="1"/>
  <c r="K46" i="13" s="1"/>
  <c r="K45" i="13" s="1"/>
  <c r="K44" i="13" s="1"/>
  <c r="K43" i="13" s="1"/>
  <c r="K42" i="13" s="1"/>
  <c r="K41" i="13" s="1"/>
  <c r="K40" i="13" s="1"/>
  <c r="K39" i="13" s="1"/>
  <c r="K38" i="13" s="1"/>
  <c r="K37" i="13" s="1"/>
  <c r="K36" i="13" s="1"/>
  <c r="K35" i="13" s="1"/>
  <c r="K34" i="13" s="1"/>
  <c r="K33" i="13" s="1"/>
  <c r="K32" i="13" s="1"/>
  <c r="K31" i="13" s="1"/>
  <c r="K30" i="13" s="1"/>
  <c r="K29" i="13" s="1"/>
  <c r="K28" i="13" s="1"/>
  <c r="K27" i="13" s="1"/>
  <c r="K26" i="13" s="1"/>
  <c r="K25" i="13" s="1"/>
  <c r="K24" i="13" s="1"/>
  <c r="K23" i="13" s="1"/>
  <c r="K22" i="13" s="1"/>
  <c r="K21" i="13" s="1"/>
  <c r="K20" i="13" s="1"/>
  <c r="K19" i="13" s="1"/>
  <c r="K18" i="13" s="1"/>
  <c r="K17" i="13" s="1"/>
  <c r="K16" i="13" s="1"/>
  <c r="K15" i="13" s="1"/>
  <c r="K14" i="13" s="1"/>
  <c r="K13" i="13" s="1"/>
  <c r="K12" i="13" s="1"/>
  <c r="K11" i="13" s="1"/>
  <c r="K10" i="13" s="1"/>
  <c r="K9" i="13" s="1"/>
  <c r="K8" i="13" s="1"/>
  <c r="K7" i="13" s="1"/>
  <c r="K6" i="13" s="1"/>
  <c r="K5" i="13" s="1"/>
  <c r="K4" i="13" s="1"/>
  <c r="K3" i="13" s="1"/>
  <c r="H362" i="13"/>
  <c r="H361" i="13" s="1"/>
  <c r="H360" i="13" s="1"/>
  <c r="H359" i="13" s="1"/>
  <c r="H358" i="13" s="1"/>
  <c r="H357" i="13" s="1"/>
  <c r="H356" i="13" s="1"/>
  <c r="H355" i="13" s="1"/>
  <c r="H354" i="13" s="1"/>
  <c r="H353" i="13" s="1"/>
  <c r="H352" i="13" s="1"/>
  <c r="H351" i="13" s="1"/>
  <c r="H350" i="13" s="1"/>
  <c r="H349" i="13" s="1"/>
  <c r="H348" i="13" s="1"/>
  <c r="H347" i="13" s="1"/>
  <c r="H346" i="13" s="1"/>
  <c r="H345" i="13" s="1"/>
  <c r="H344" i="13" s="1"/>
  <c r="H343" i="13" s="1"/>
  <c r="H342" i="13" s="1"/>
  <c r="H341" i="13" s="1"/>
  <c r="H340" i="13" s="1"/>
  <c r="H339" i="13" s="1"/>
  <c r="H338" i="13" s="1"/>
  <c r="H337" i="13" s="1"/>
  <c r="H336" i="13" s="1"/>
  <c r="H335" i="13" s="1"/>
  <c r="H334" i="13" s="1"/>
  <c r="H333" i="13" s="1"/>
  <c r="H332" i="13" s="1"/>
  <c r="H331" i="13" s="1"/>
  <c r="H330" i="13" s="1"/>
  <c r="H329" i="13" s="1"/>
  <c r="H328" i="13" s="1"/>
  <c r="H327" i="13" s="1"/>
  <c r="H326" i="13" s="1"/>
  <c r="H325" i="13" s="1"/>
  <c r="H324" i="13" s="1"/>
  <c r="H323" i="13" s="1"/>
  <c r="H322" i="13" s="1"/>
  <c r="H321" i="13" s="1"/>
  <c r="H320" i="13" s="1"/>
  <c r="H319" i="13" s="1"/>
  <c r="H318" i="13" s="1"/>
  <c r="H317" i="13" s="1"/>
  <c r="H316" i="13" s="1"/>
  <c r="H315" i="13" s="1"/>
  <c r="H314" i="13" s="1"/>
  <c r="H313" i="13" s="1"/>
  <c r="H312" i="13" s="1"/>
  <c r="H311" i="13" s="1"/>
  <c r="H310" i="13" s="1"/>
  <c r="H309" i="13" s="1"/>
  <c r="H308" i="13" s="1"/>
  <c r="H307" i="13" s="1"/>
  <c r="H306" i="13" s="1"/>
  <c r="H305" i="13" s="1"/>
  <c r="H304" i="13" s="1"/>
  <c r="H303" i="13" s="1"/>
  <c r="H302" i="13" s="1"/>
  <c r="H301" i="13" s="1"/>
  <c r="H300" i="13" s="1"/>
  <c r="H299" i="13" s="1"/>
  <c r="H298" i="13" s="1"/>
  <c r="H297" i="13" s="1"/>
  <c r="H296" i="13" s="1"/>
  <c r="H295" i="13" s="1"/>
  <c r="H294" i="13" s="1"/>
  <c r="H293" i="13" s="1"/>
  <c r="H292" i="13" s="1"/>
  <c r="H291" i="13" s="1"/>
  <c r="H290" i="13" s="1"/>
  <c r="H289" i="13" s="1"/>
  <c r="H288" i="13" s="1"/>
  <c r="H287" i="13" s="1"/>
  <c r="H286" i="13" s="1"/>
  <c r="H285" i="13" s="1"/>
  <c r="H284" i="13" s="1"/>
  <c r="H283" i="13" s="1"/>
  <c r="H282" i="13" s="1"/>
  <c r="H281" i="13" s="1"/>
  <c r="H280" i="13" s="1"/>
  <c r="H279" i="13" s="1"/>
  <c r="H278" i="13" s="1"/>
  <c r="H277" i="13" s="1"/>
  <c r="H276" i="13" s="1"/>
  <c r="H275" i="13" s="1"/>
  <c r="H274" i="13" s="1"/>
  <c r="H273" i="13" s="1"/>
  <c r="H272" i="13" s="1"/>
  <c r="H271" i="13" s="1"/>
  <c r="H270" i="13" s="1"/>
  <c r="H269" i="13" s="1"/>
  <c r="H268" i="13" s="1"/>
  <c r="H267" i="13" s="1"/>
  <c r="H266" i="13" s="1"/>
  <c r="H265" i="13" s="1"/>
  <c r="H264" i="13" s="1"/>
  <c r="H263" i="13" s="1"/>
  <c r="H262" i="13" s="1"/>
  <c r="H261" i="13" s="1"/>
  <c r="H260" i="13" s="1"/>
  <c r="H259" i="13" s="1"/>
  <c r="H258" i="13" s="1"/>
  <c r="H257" i="13" s="1"/>
  <c r="H256" i="13" s="1"/>
  <c r="H255" i="13" s="1"/>
  <c r="H254" i="13" s="1"/>
  <c r="H253" i="13" s="1"/>
  <c r="H252" i="13" s="1"/>
  <c r="H251" i="13" s="1"/>
  <c r="H250" i="13" s="1"/>
  <c r="H249" i="13" s="1"/>
  <c r="H248" i="13" s="1"/>
  <c r="H247" i="13" s="1"/>
  <c r="H246" i="13" s="1"/>
  <c r="H245" i="13" s="1"/>
  <c r="H244" i="13" s="1"/>
  <c r="H243" i="13" s="1"/>
  <c r="H242" i="13" s="1"/>
  <c r="H241" i="13" s="1"/>
  <c r="H240" i="13" s="1"/>
  <c r="H239" i="13" s="1"/>
  <c r="H238" i="13" s="1"/>
  <c r="H237" i="13" s="1"/>
  <c r="H236" i="13" s="1"/>
  <c r="H235" i="13" s="1"/>
  <c r="H234" i="13" s="1"/>
  <c r="H233" i="13" s="1"/>
  <c r="H232" i="13" s="1"/>
  <c r="H231" i="13" s="1"/>
  <c r="H230" i="13" s="1"/>
  <c r="H229" i="13" s="1"/>
  <c r="H228" i="13" s="1"/>
  <c r="H227" i="13" s="1"/>
  <c r="H226" i="13" s="1"/>
  <c r="H225" i="13" s="1"/>
  <c r="H224" i="13" s="1"/>
  <c r="H223" i="13" s="1"/>
  <c r="H222" i="13" s="1"/>
  <c r="H221" i="13" s="1"/>
  <c r="H220" i="13" s="1"/>
  <c r="H219" i="13" s="1"/>
  <c r="H218" i="13" s="1"/>
  <c r="H217" i="13" s="1"/>
  <c r="H216" i="13" s="1"/>
  <c r="H215" i="13" s="1"/>
  <c r="H214" i="13" s="1"/>
  <c r="H213" i="13" s="1"/>
  <c r="H212" i="13" s="1"/>
  <c r="H211" i="13" s="1"/>
  <c r="H210" i="13" s="1"/>
  <c r="H209" i="13" s="1"/>
  <c r="H208" i="13" s="1"/>
  <c r="H207" i="13" s="1"/>
  <c r="H206" i="13" s="1"/>
  <c r="H205" i="13" s="1"/>
  <c r="H204" i="13" s="1"/>
  <c r="H203" i="13" s="1"/>
  <c r="H202" i="13" s="1"/>
  <c r="H201" i="13" s="1"/>
  <c r="H200" i="13" s="1"/>
  <c r="H199" i="13" s="1"/>
  <c r="H198" i="13" s="1"/>
  <c r="H197" i="13" s="1"/>
  <c r="H196" i="13" s="1"/>
  <c r="H195" i="13" s="1"/>
  <c r="H194" i="13" s="1"/>
  <c r="H193" i="13" s="1"/>
  <c r="H192" i="13" s="1"/>
  <c r="H191" i="13" s="1"/>
  <c r="H190" i="13" s="1"/>
  <c r="H189" i="13" s="1"/>
  <c r="H188" i="13" s="1"/>
  <c r="H187" i="13" s="1"/>
  <c r="H186" i="13" s="1"/>
  <c r="H185" i="13" s="1"/>
  <c r="H184" i="13" s="1"/>
  <c r="H183" i="13" s="1"/>
  <c r="H182" i="13" s="1"/>
  <c r="H181" i="13" s="1"/>
  <c r="H180" i="13" s="1"/>
  <c r="H179" i="13" s="1"/>
  <c r="H178" i="13" s="1"/>
  <c r="H177" i="13" s="1"/>
  <c r="H176" i="13" s="1"/>
  <c r="H175" i="13" s="1"/>
  <c r="H174" i="13" s="1"/>
  <c r="H173" i="13" s="1"/>
  <c r="H172" i="13" s="1"/>
  <c r="H171" i="13" s="1"/>
  <c r="H170" i="13" s="1"/>
  <c r="H169" i="13" s="1"/>
  <c r="H168" i="13" s="1"/>
  <c r="H167" i="13" s="1"/>
  <c r="H166" i="13" s="1"/>
  <c r="H165" i="13" s="1"/>
  <c r="H164" i="13" s="1"/>
  <c r="H163" i="13" s="1"/>
  <c r="H162" i="13" s="1"/>
  <c r="H161" i="13" s="1"/>
  <c r="H160" i="13" s="1"/>
  <c r="H159" i="13" s="1"/>
  <c r="H158" i="13" s="1"/>
  <c r="H157" i="13" s="1"/>
  <c r="H156" i="13" s="1"/>
  <c r="H155" i="13" s="1"/>
  <c r="H154" i="13" s="1"/>
  <c r="H153" i="13" s="1"/>
  <c r="H152" i="13" s="1"/>
  <c r="H151" i="13" s="1"/>
  <c r="H150" i="13" s="1"/>
  <c r="H149" i="13" s="1"/>
  <c r="H148" i="13" s="1"/>
  <c r="H147" i="13" s="1"/>
  <c r="H146" i="13" s="1"/>
  <c r="H145" i="13" s="1"/>
  <c r="H144" i="13" s="1"/>
  <c r="H143" i="13" s="1"/>
  <c r="H142" i="13" s="1"/>
  <c r="H141" i="13" s="1"/>
  <c r="H140" i="13" s="1"/>
  <c r="H139" i="13" s="1"/>
  <c r="H138" i="13" s="1"/>
  <c r="H137" i="13" s="1"/>
  <c r="H136" i="13" s="1"/>
  <c r="H135" i="13" s="1"/>
  <c r="H134" i="13" s="1"/>
  <c r="H133" i="13" s="1"/>
  <c r="H132" i="13" s="1"/>
  <c r="H131" i="13" s="1"/>
  <c r="H130" i="13" s="1"/>
  <c r="H129" i="13" s="1"/>
  <c r="H128" i="13" s="1"/>
  <c r="H127" i="13" s="1"/>
  <c r="H126" i="13" s="1"/>
  <c r="H125" i="13" s="1"/>
  <c r="H124" i="13" s="1"/>
  <c r="H123" i="13" s="1"/>
  <c r="H122" i="13" s="1"/>
  <c r="H121" i="13" s="1"/>
  <c r="H120" i="13" s="1"/>
  <c r="H119" i="13" s="1"/>
  <c r="H118" i="13" s="1"/>
  <c r="H117" i="13" s="1"/>
  <c r="H116" i="13" s="1"/>
  <c r="H115" i="13" s="1"/>
  <c r="H114" i="13" s="1"/>
  <c r="H113" i="13" s="1"/>
  <c r="H112" i="13" s="1"/>
  <c r="H111" i="13" s="1"/>
  <c r="H110" i="13" s="1"/>
  <c r="H109" i="13" s="1"/>
  <c r="H108" i="13" s="1"/>
  <c r="H107" i="13" s="1"/>
  <c r="H106" i="13" s="1"/>
  <c r="H105" i="13" s="1"/>
  <c r="H104" i="13" s="1"/>
  <c r="H103" i="13" s="1"/>
  <c r="H102" i="13" s="1"/>
  <c r="H101" i="13" s="1"/>
  <c r="H100" i="13" s="1"/>
  <c r="H99" i="13" s="1"/>
  <c r="H98" i="13" s="1"/>
  <c r="H97" i="13" s="1"/>
  <c r="H96" i="13" s="1"/>
  <c r="H95" i="13" s="1"/>
  <c r="H94" i="13" s="1"/>
  <c r="H93" i="13" s="1"/>
  <c r="H92" i="13" s="1"/>
  <c r="H91" i="13" s="1"/>
  <c r="H90" i="13" s="1"/>
  <c r="H89" i="13" s="1"/>
  <c r="H88" i="13" s="1"/>
  <c r="H87" i="13" s="1"/>
  <c r="H86" i="13" s="1"/>
  <c r="H85" i="13" s="1"/>
  <c r="H84" i="13" s="1"/>
  <c r="H83" i="13" s="1"/>
  <c r="H82" i="13" s="1"/>
  <c r="H81" i="13" s="1"/>
  <c r="H80" i="13" s="1"/>
  <c r="H79" i="13" s="1"/>
  <c r="H78" i="13" s="1"/>
  <c r="H77" i="13" s="1"/>
  <c r="H76" i="13" s="1"/>
  <c r="H75" i="13" s="1"/>
  <c r="H74" i="13" s="1"/>
  <c r="H73" i="13" s="1"/>
  <c r="H72" i="13" s="1"/>
  <c r="H71" i="13" s="1"/>
  <c r="H70" i="13" s="1"/>
  <c r="H69" i="13" s="1"/>
  <c r="H68" i="13" s="1"/>
  <c r="H67" i="13" s="1"/>
  <c r="H66" i="13" s="1"/>
  <c r="H65" i="13" s="1"/>
  <c r="H64" i="13" s="1"/>
  <c r="H63" i="13" s="1"/>
  <c r="H62" i="13" s="1"/>
  <c r="H61" i="13" s="1"/>
  <c r="H60" i="13" s="1"/>
  <c r="H59" i="13" s="1"/>
  <c r="H58" i="13" s="1"/>
  <c r="H57" i="13" s="1"/>
  <c r="H56" i="13" s="1"/>
  <c r="H55" i="13" s="1"/>
  <c r="H54" i="13" s="1"/>
  <c r="H53" i="13" s="1"/>
  <c r="H52" i="13" s="1"/>
  <c r="H51" i="13" s="1"/>
  <c r="H50" i="13" s="1"/>
  <c r="H49" i="13" s="1"/>
  <c r="H48" i="13" s="1"/>
  <c r="H47" i="13" s="1"/>
  <c r="H46" i="13" s="1"/>
  <c r="H45" i="13" s="1"/>
  <c r="H44" i="13" s="1"/>
  <c r="H43" i="13" s="1"/>
  <c r="H42" i="13" s="1"/>
  <c r="H41" i="13" s="1"/>
  <c r="H40" i="13" s="1"/>
  <c r="H39" i="13" s="1"/>
  <c r="H38" i="13" s="1"/>
  <c r="H37" i="13" s="1"/>
  <c r="H36" i="13" s="1"/>
  <c r="H35" i="13" s="1"/>
  <c r="H34" i="13" s="1"/>
  <c r="H33" i="13" s="1"/>
  <c r="H32" i="13" s="1"/>
  <c r="H31" i="13" s="1"/>
  <c r="H30" i="13" s="1"/>
  <c r="H29" i="13" s="1"/>
  <c r="H28" i="13" s="1"/>
  <c r="H27" i="13" s="1"/>
  <c r="H26" i="13" s="1"/>
  <c r="H25" i="13" s="1"/>
  <c r="H24" i="13" s="1"/>
  <c r="H23" i="13" s="1"/>
  <c r="H22" i="13" s="1"/>
  <c r="H21" i="13" s="1"/>
  <c r="H20" i="13" s="1"/>
  <c r="H19" i="13" s="1"/>
  <c r="H18" i="13" s="1"/>
  <c r="H17" i="13" s="1"/>
  <c r="H16" i="13" s="1"/>
  <c r="H15" i="13" s="1"/>
  <c r="H14" i="13" s="1"/>
  <c r="H13" i="13" s="1"/>
  <c r="H12" i="13" s="1"/>
  <c r="H11" i="13" s="1"/>
  <c r="H10" i="13" s="1"/>
  <c r="H9" i="13" s="1"/>
  <c r="H8" i="13" s="1"/>
  <c r="H7" i="13" s="1"/>
  <c r="H6" i="13" s="1"/>
  <c r="H5" i="13" s="1"/>
  <c r="H4" i="13" s="1"/>
  <c r="H3" i="13" s="1"/>
  <c r="G362" i="13"/>
  <c r="G361" i="13" s="1"/>
  <c r="G360" i="13" s="1"/>
  <c r="G359" i="13" s="1"/>
  <c r="G358" i="13" s="1"/>
  <c r="G357" i="13" s="1"/>
  <c r="G356" i="13" s="1"/>
  <c r="G355" i="13" s="1"/>
  <c r="G354" i="13" s="1"/>
  <c r="G353" i="13" s="1"/>
  <c r="G352" i="13" s="1"/>
  <c r="G351" i="13" s="1"/>
  <c r="G350" i="13" s="1"/>
  <c r="G349" i="13" s="1"/>
  <c r="G348" i="13" s="1"/>
  <c r="G347" i="13" s="1"/>
  <c r="G346" i="13" s="1"/>
  <c r="G345" i="13" s="1"/>
  <c r="G344" i="13" s="1"/>
  <c r="G343" i="13" s="1"/>
  <c r="G342" i="13" s="1"/>
  <c r="G341" i="13" s="1"/>
  <c r="G340" i="13" s="1"/>
  <c r="G339" i="13" s="1"/>
  <c r="G338" i="13" s="1"/>
  <c r="G337" i="13" s="1"/>
  <c r="G336" i="13" s="1"/>
  <c r="G335" i="13" s="1"/>
  <c r="G334" i="13" s="1"/>
  <c r="G333" i="13" s="1"/>
  <c r="G332" i="13" s="1"/>
  <c r="G331" i="13" s="1"/>
  <c r="G330" i="13" s="1"/>
  <c r="G329" i="13" s="1"/>
  <c r="G328" i="13" s="1"/>
  <c r="G327" i="13" s="1"/>
  <c r="G326" i="13" s="1"/>
  <c r="G325" i="13" s="1"/>
  <c r="G324" i="13" s="1"/>
  <c r="G323" i="13" s="1"/>
  <c r="G322" i="13" s="1"/>
  <c r="G321" i="13" s="1"/>
  <c r="G320" i="13" s="1"/>
  <c r="G319" i="13" s="1"/>
  <c r="G318" i="13" s="1"/>
  <c r="G317" i="13" s="1"/>
  <c r="G316" i="13" s="1"/>
  <c r="G315" i="13" s="1"/>
  <c r="G314" i="13" s="1"/>
  <c r="G313" i="13" s="1"/>
  <c r="G312" i="13" s="1"/>
  <c r="G311" i="13" s="1"/>
  <c r="G310" i="13" s="1"/>
  <c r="G309" i="13" s="1"/>
  <c r="G308" i="13" s="1"/>
  <c r="G307" i="13" s="1"/>
  <c r="G306" i="13" s="1"/>
  <c r="G305" i="13" s="1"/>
  <c r="G304" i="13" s="1"/>
  <c r="G303" i="13" s="1"/>
  <c r="G302" i="13" s="1"/>
  <c r="G301" i="13" s="1"/>
  <c r="G300" i="13" s="1"/>
  <c r="G299" i="13" s="1"/>
  <c r="G298" i="13" s="1"/>
  <c r="G297" i="13" s="1"/>
  <c r="G296" i="13" s="1"/>
  <c r="G295" i="13" s="1"/>
  <c r="G294" i="13" s="1"/>
  <c r="G293" i="13" s="1"/>
  <c r="G292" i="13" s="1"/>
  <c r="G291" i="13" s="1"/>
  <c r="G290" i="13" s="1"/>
  <c r="G289" i="13" s="1"/>
  <c r="G288" i="13" s="1"/>
  <c r="G287" i="13" s="1"/>
  <c r="G286" i="13" s="1"/>
  <c r="G285" i="13" s="1"/>
  <c r="G284" i="13" s="1"/>
  <c r="G283" i="13" s="1"/>
  <c r="G282" i="13" s="1"/>
  <c r="G281" i="13" s="1"/>
  <c r="G280" i="13" s="1"/>
  <c r="G279" i="13" s="1"/>
  <c r="G278" i="13" s="1"/>
  <c r="G277" i="13" s="1"/>
  <c r="G276" i="13" s="1"/>
  <c r="G275" i="13" s="1"/>
  <c r="G274" i="13" s="1"/>
  <c r="G273" i="13" s="1"/>
  <c r="G272" i="13" s="1"/>
  <c r="G271" i="13" s="1"/>
  <c r="G270" i="13" s="1"/>
  <c r="G269" i="13" s="1"/>
  <c r="G268" i="13" s="1"/>
  <c r="G267" i="13" s="1"/>
  <c r="G266" i="13" s="1"/>
  <c r="G265" i="13" s="1"/>
  <c r="G264" i="13" s="1"/>
  <c r="G263" i="13" s="1"/>
  <c r="G262" i="13" s="1"/>
  <c r="G261" i="13" s="1"/>
  <c r="G260" i="13" s="1"/>
  <c r="G259" i="13" s="1"/>
  <c r="G258" i="13" s="1"/>
  <c r="G257" i="13" s="1"/>
  <c r="G256" i="13" s="1"/>
  <c r="G255" i="13" s="1"/>
  <c r="G254" i="13" s="1"/>
  <c r="G253" i="13" s="1"/>
  <c r="G252" i="13" s="1"/>
  <c r="G251" i="13" s="1"/>
  <c r="G250" i="13" s="1"/>
  <c r="G249" i="13" s="1"/>
  <c r="G248" i="13" s="1"/>
  <c r="G247" i="13" s="1"/>
  <c r="G246" i="13" s="1"/>
  <c r="G245" i="13" s="1"/>
  <c r="G244" i="13" s="1"/>
  <c r="G243" i="13" s="1"/>
  <c r="G242" i="13" s="1"/>
  <c r="G241" i="13" s="1"/>
  <c r="G240" i="13" s="1"/>
  <c r="G239" i="13" s="1"/>
  <c r="G238" i="13" s="1"/>
  <c r="G237" i="13" s="1"/>
  <c r="G236" i="13" s="1"/>
  <c r="G235" i="13" s="1"/>
  <c r="G234" i="13" s="1"/>
  <c r="G233" i="13" s="1"/>
  <c r="G232" i="13" s="1"/>
  <c r="G231" i="13" s="1"/>
  <c r="G230" i="13" s="1"/>
  <c r="G229" i="13" s="1"/>
  <c r="G228" i="13" s="1"/>
  <c r="G227" i="13" s="1"/>
  <c r="G226" i="13" s="1"/>
  <c r="G225" i="13" s="1"/>
  <c r="G224" i="13" s="1"/>
  <c r="G223" i="13" s="1"/>
  <c r="G222" i="13" s="1"/>
  <c r="G221" i="13" s="1"/>
  <c r="G220" i="13" s="1"/>
  <c r="G219" i="13" s="1"/>
  <c r="G218" i="13" s="1"/>
  <c r="G217" i="13" s="1"/>
  <c r="G216" i="13" s="1"/>
  <c r="G215" i="13" s="1"/>
  <c r="G214" i="13" s="1"/>
  <c r="G213" i="13" s="1"/>
  <c r="G212" i="13" s="1"/>
  <c r="G211" i="13" s="1"/>
  <c r="G210" i="13" s="1"/>
  <c r="G209" i="13" s="1"/>
  <c r="G208" i="13" s="1"/>
  <c r="G207" i="13" s="1"/>
  <c r="G206" i="13" s="1"/>
  <c r="G205" i="13" s="1"/>
  <c r="G204" i="13" s="1"/>
  <c r="G203" i="13" s="1"/>
  <c r="G202" i="13" s="1"/>
  <c r="G201" i="13" s="1"/>
  <c r="G200" i="13" s="1"/>
  <c r="G199" i="13" s="1"/>
  <c r="G198" i="13" s="1"/>
  <c r="G197" i="13" s="1"/>
  <c r="G196" i="13" s="1"/>
  <c r="G195" i="13" s="1"/>
  <c r="G194" i="13" s="1"/>
  <c r="G193" i="13" s="1"/>
  <c r="G192" i="13" s="1"/>
  <c r="G191" i="13" s="1"/>
  <c r="G190" i="13" s="1"/>
  <c r="G189" i="13" s="1"/>
  <c r="G188" i="13" s="1"/>
  <c r="G187" i="13" s="1"/>
  <c r="G186" i="13" s="1"/>
  <c r="G185" i="13" s="1"/>
  <c r="G184" i="13" s="1"/>
  <c r="G183" i="13" s="1"/>
  <c r="G182" i="13" s="1"/>
  <c r="G181" i="13" s="1"/>
  <c r="G180" i="13" s="1"/>
  <c r="G179" i="13" s="1"/>
  <c r="G178" i="13" s="1"/>
  <c r="G177" i="13" s="1"/>
  <c r="G176" i="13" s="1"/>
  <c r="G175" i="13" s="1"/>
  <c r="G174" i="13" s="1"/>
  <c r="G173" i="13" s="1"/>
  <c r="G172" i="13" s="1"/>
  <c r="G171" i="13" s="1"/>
  <c r="G170" i="13" s="1"/>
  <c r="G169" i="13" s="1"/>
  <c r="G168" i="13" s="1"/>
  <c r="G167" i="13" s="1"/>
  <c r="G166" i="13" s="1"/>
  <c r="G165" i="13" s="1"/>
  <c r="G164" i="13" s="1"/>
  <c r="G163" i="13" s="1"/>
  <c r="G162" i="13" s="1"/>
  <c r="G161" i="13" s="1"/>
  <c r="G160" i="13" s="1"/>
  <c r="G159" i="13" s="1"/>
  <c r="G158" i="13" s="1"/>
  <c r="G157" i="13" s="1"/>
  <c r="G156" i="13" s="1"/>
  <c r="G155" i="13" s="1"/>
  <c r="G154" i="13" s="1"/>
  <c r="G153" i="13" s="1"/>
  <c r="G152" i="13" s="1"/>
  <c r="G151" i="13" s="1"/>
  <c r="G150" i="13" s="1"/>
  <c r="G149" i="13" s="1"/>
  <c r="G148" i="13" s="1"/>
  <c r="G147" i="13" s="1"/>
  <c r="G146" i="13" s="1"/>
  <c r="G145" i="13" s="1"/>
  <c r="G144" i="13" s="1"/>
  <c r="G143" i="13" s="1"/>
  <c r="G142" i="13" s="1"/>
  <c r="G141" i="13" s="1"/>
  <c r="G140" i="13" s="1"/>
  <c r="G139" i="13" s="1"/>
  <c r="G138" i="13" s="1"/>
  <c r="G137" i="13" s="1"/>
  <c r="G136" i="13" s="1"/>
  <c r="G135" i="13" s="1"/>
  <c r="G134" i="13" s="1"/>
  <c r="G133" i="13" s="1"/>
  <c r="G132" i="13" s="1"/>
  <c r="G131" i="13" s="1"/>
  <c r="G130" i="13" s="1"/>
  <c r="G129" i="13" s="1"/>
  <c r="G128" i="13" s="1"/>
  <c r="G127" i="13" s="1"/>
  <c r="G126" i="13" s="1"/>
  <c r="G125" i="13" s="1"/>
  <c r="G124" i="13" s="1"/>
  <c r="G123" i="13" s="1"/>
  <c r="G122" i="13" s="1"/>
  <c r="G121" i="13" s="1"/>
  <c r="G120" i="13" s="1"/>
  <c r="G119" i="13" s="1"/>
  <c r="G118" i="13" s="1"/>
  <c r="G117" i="13" s="1"/>
  <c r="G116" i="13" s="1"/>
  <c r="G115" i="13" s="1"/>
  <c r="G114" i="13" s="1"/>
  <c r="G113" i="13" s="1"/>
  <c r="G112" i="13" s="1"/>
  <c r="G111" i="13" s="1"/>
  <c r="G110" i="13" s="1"/>
  <c r="G109" i="13" s="1"/>
  <c r="G108" i="13" s="1"/>
  <c r="G107" i="13" s="1"/>
  <c r="G106" i="13" s="1"/>
  <c r="G105" i="13" s="1"/>
  <c r="G104" i="13" s="1"/>
  <c r="G103" i="13" s="1"/>
  <c r="G102" i="13" s="1"/>
  <c r="G101" i="13" s="1"/>
  <c r="G100" i="13" s="1"/>
  <c r="G99" i="13" s="1"/>
  <c r="G98" i="13" s="1"/>
  <c r="G97" i="13" s="1"/>
  <c r="G96" i="13" s="1"/>
  <c r="G95" i="13" s="1"/>
  <c r="G94" i="13" s="1"/>
  <c r="G93" i="13" s="1"/>
  <c r="G92" i="13" s="1"/>
  <c r="G91" i="13" s="1"/>
  <c r="G90" i="13" s="1"/>
  <c r="G89" i="13" s="1"/>
  <c r="G88" i="13" s="1"/>
  <c r="G87" i="13" s="1"/>
  <c r="G86" i="13" s="1"/>
  <c r="G85" i="13" s="1"/>
  <c r="G84" i="13" s="1"/>
  <c r="G83" i="13" s="1"/>
  <c r="G82" i="13" s="1"/>
  <c r="G81" i="13" s="1"/>
  <c r="G80" i="13" s="1"/>
  <c r="G79" i="13" s="1"/>
  <c r="G78" i="13" s="1"/>
  <c r="G77" i="13" s="1"/>
  <c r="G76" i="13" s="1"/>
  <c r="G75" i="13" s="1"/>
  <c r="G74" i="13" s="1"/>
  <c r="G73" i="13" s="1"/>
  <c r="G72" i="13" s="1"/>
  <c r="G71" i="13" s="1"/>
  <c r="G70" i="13" s="1"/>
  <c r="G69" i="13" s="1"/>
  <c r="G68" i="13" s="1"/>
  <c r="G67" i="13" s="1"/>
  <c r="G66" i="13" s="1"/>
  <c r="G65" i="13" s="1"/>
  <c r="G64" i="13" s="1"/>
  <c r="G63" i="13" s="1"/>
  <c r="G62" i="13" s="1"/>
  <c r="G61" i="13" s="1"/>
  <c r="G60" i="13" s="1"/>
  <c r="G59" i="13" s="1"/>
  <c r="G58" i="13" s="1"/>
  <c r="G57" i="13" s="1"/>
  <c r="G56" i="13" s="1"/>
  <c r="G55" i="13" s="1"/>
  <c r="G54" i="13" s="1"/>
  <c r="G53" i="13" s="1"/>
  <c r="G52" i="13" s="1"/>
  <c r="G51" i="13" s="1"/>
  <c r="G50" i="13" s="1"/>
  <c r="G49" i="13" s="1"/>
  <c r="G48" i="13" s="1"/>
  <c r="G47" i="13" s="1"/>
  <c r="G46" i="13" s="1"/>
  <c r="G45" i="13" s="1"/>
  <c r="G44" i="13" s="1"/>
  <c r="G43" i="13" s="1"/>
  <c r="G42" i="13" s="1"/>
  <c r="G41" i="13" s="1"/>
  <c r="G40" i="13" s="1"/>
  <c r="G39" i="13" s="1"/>
  <c r="G38" i="13" s="1"/>
  <c r="G37" i="13" s="1"/>
  <c r="G36" i="13" s="1"/>
  <c r="G35" i="13" s="1"/>
  <c r="G34" i="13" s="1"/>
  <c r="G33" i="13" s="1"/>
  <c r="G32" i="13" s="1"/>
  <c r="G31" i="13" s="1"/>
  <c r="G30" i="13" s="1"/>
  <c r="G29" i="13" s="1"/>
  <c r="G28" i="13" s="1"/>
  <c r="G27" i="13" s="1"/>
  <c r="G26" i="13" s="1"/>
  <c r="G25" i="13" s="1"/>
  <c r="G24" i="13" s="1"/>
  <c r="G23" i="13" s="1"/>
  <c r="G22" i="13" s="1"/>
  <c r="G21" i="13" s="1"/>
  <c r="G20" i="13" s="1"/>
  <c r="G19" i="13" s="1"/>
  <c r="G18" i="13" s="1"/>
  <c r="G17" i="13" s="1"/>
  <c r="G16" i="13" s="1"/>
  <c r="G15" i="13" s="1"/>
  <c r="G14" i="13" s="1"/>
  <c r="G13" i="13" s="1"/>
  <c r="G12" i="13" s="1"/>
  <c r="G11" i="13" s="1"/>
  <c r="G10" i="13" s="1"/>
  <c r="G9" i="13" s="1"/>
  <c r="G8" i="13" s="1"/>
  <c r="G7" i="13" s="1"/>
  <c r="G6" i="13" s="1"/>
  <c r="G5" i="13" s="1"/>
  <c r="G4" i="13" s="1"/>
  <c r="G3" i="13" s="1"/>
  <c r="J363" i="13"/>
  <c r="O362" i="13"/>
  <c r="O361" i="13" s="1"/>
  <c r="O360" i="13" s="1"/>
  <c r="O359" i="13" s="1"/>
  <c r="O358" i="13" s="1"/>
  <c r="O357" i="13" s="1"/>
  <c r="O356" i="13" s="1"/>
  <c r="O355" i="13" s="1"/>
  <c r="O354" i="13" s="1"/>
  <c r="O353" i="13" s="1"/>
  <c r="O352" i="13" s="1"/>
  <c r="O351" i="13" s="1"/>
  <c r="O350" i="13" s="1"/>
  <c r="O349" i="13" s="1"/>
  <c r="O348" i="13" s="1"/>
  <c r="O347" i="13" s="1"/>
  <c r="O346" i="13" s="1"/>
  <c r="O345" i="13" s="1"/>
  <c r="O344" i="13" s="1"/>
  <c r="O343" i="13" s="1"/>
  <c r="O342" i="13" s="1"/>
  <c r="O341" i="13" s="1"/>
  <c r="O340" i="13" s="1"/>
  <c r="O339" i="13" s="1"/>
  <c r="O338" i="13" s="1"/>
  <c r="O337" i="13" s="1"/>
  <c r="O336" i="13" s="1"/>
  <c r="O335" i="13" s="1"/>
  <c r="O334" i="13" s="1"/>
  <c r="O333" i="13" s="1"/>
  <c r="O332" i="13" s="1"/>
  <c r="O331" i="13" s="1"/>
  <c r="O330" i="13" s="1"/>
  <c r="O329" i="13" s="1"/>
  <c r="O328" i="13" s="1"/>
  <c r="O327" i="13" s="1"/>
  <c r="O326" i="13" s="1"/>
  <c r="O325" i="13" s="1"/>
  <c r="O324" i="13" s="1"/>
  <c r="O323" i="13" s="1"/>
  <c r="O322" i="13" s="1"/>
  <c r="O321" i="13" s="1"/>
  <c r="O320" i="13" s="1"/>
  <c r="O319" i="13" s="1"/>
  <c r="O318" i="13" s="1"/>
  <c r="O317" i="13" s="1"/>
  <c r="O316" i="13" s="1"/>
  <c r="O315" i="13" s="1"/>
  <c r="O314" i="13" s="1"/>
  <c r="O313" i="13" s="1"/>
  <c r="O312" i="13" s="1"/>
  <c r="O311" i="13" s="1"/>
  <c r="O310" i="13" s="1"/>
  <c r="O309" i="13" s="1"/>
  <c r="O308" i="13" s="1"/>
  <c r="O307" i="13" s="1"/>
  <c r="O306" i="13" s="1"/>
  <c r="O305" i="13" s="1"/>
  <c r="O304" i="13" s="1"/>
  <c r="O303" i="13" s="1"/>
  <c r="O302" i="13" s="1"/>
  <c r="O301" i="13" s="1"/>
  <c r="O300" i="13" s="1"/>
  <c r="O299" i="13" s="1"/>
  <c r="O298" i="13" s="1"/>
  <c r="O297" i="13" s="1"/>
  <c r="O296" i="13" s="1"/>
  <c r="O295" i="13" s="1"/>
  <c r="O294" i="13" s="1"/>
  <c r="O293" i="13" s="1"/>
  <c r="O292" i="13" s="1"/>
  <c r="O291" i="13" s="1"/>
  <c r="O290" i="13" s="1"/>
  <c r="O289" i="13" s="1"/>
  <c r="O288" i="13" s="1"/>
  <c r="O287" i="13" s="1"/>
  <c r="O286" i="13" s="1"/>
  <c r="O285" i="13" s="1"/>
  <c r="O284" i="13" s="1"/>
  <c r="O283" i="13" s="1"/>
  <c r="O282" i="13" s="1"/>
  <c r="O281" i="13" s="1"/>
  <c r="O280" i="13" s="1"/>
  <c r="O279" i="13" s="1"/>
  <c r="O278" i="13" s="1"/>
  <c r="O277" i="13" s="1"/>
  <c r="O276" i="13" s="1"/>
  <c r="O275" i="13" s="1"/>
  <c r="O274" i="13" s="1"/>
  <c r="O273" i="13" s="1"/>
  <c r="O272" i="13" s="1"/>
  <c r="O271" i="13" s="1"/>
  <c r="O270" i="13" s="1"/>
  <c r="O269" i="13" s="1"/>
  <c r="O268" i="13" s="1"/>
  <c r="O267" i="13" s="1"/>
  <c r="O266" i="13" s="1"/>
  <c r="O265" i="13" s="1"/>
  <c r="O264" i="13" s="1"/>
  <c r="O263" i="13" s="1"/>
  <c r="O262" i="13" s="1"/>
  <c r="O261" i="13" s="1"/>
  <c r="O260" i="13" s="1"/>
  <c r="O259" i="13" s="1"/>
  <c r="O258" i="13" s="1"/>
  <c r="O257" i="13" s="1"/>
  <c r="O256" i="13" s="1"/>
  <c r="O255" i="13" s="1"/>
  <c r="O254" i="13" s="1"/>
  <c r="O253" i="13" s="1"/>
  <c r="O252" i="13" s="1"/>
  <c r="O251" i="13" s="1"/>
  <c r="O250" i="13" s="1"/>
  <c r="O249" i="13" s="1"/>
  <c r="O248" i="13" s="1"/>
  <c r="O247" i="13" s="1"/>
  <c r="O246" i="13" s="1"/>
  <c r="O245" i="13" s="1"/>
  <c r="O244" i="13" s="1"/>
  <c r="O243" i="13" s="1"/>
  <c r="O242" i="13" s="1"/>
  <c r="O241" i="13" s="1"/>
  <c r="O240" i="13" s="1"/>
  <c r="O239" i="13" s="1"/>
  <c r="O238" i="13" s="1"/>
  <c r="O237" i="13" s="1"/>
  <c r="O236" i="13" s="1"/>
  <c r="O235" i="13" s="1"/>
  <c r="O234" i="13" s="1"/>
  <c r="O233" i="13" s="1"/>
  <c r="O232" i="13" s="1"/>
  <c r="O231" i="13" s="1"/>
  <c r="O230" i="13" s="1"/>
  <c r="O229" i="13" s="1"/>
  <c r="O228" i="13" s="1"/>
  <c r="O227" i="13" s="1"/>
  <c r="O226" i="13" s="1"/>
  <c r="O225" i="13" s="1"/>
  <c r="O224" i="13" s="1"/>
  <c r="O223" i="13" s="1"/>
  <c r="O222" i="13" s="1"/>
  <c r="O221" i="13" s="1"/>
  <c r="O220" i="13" s="1"/>
  <c r="O219" i="13" s="1"/>
  <c r="O218" i="13" s="1"/>
  <c r="O217" i="13" s="1"/>
  <c r="O216" i="13" s="1"/>
  <c r="O215" i="13" s="1"/>
  <c r="O214" i="13" s="1"/>
  <c r="O213" i="13" s="1"/>
  <c r="O212" i="13" s="1"/>
  <c r="O211" i="13" s="1"/>
  <c r="O210" i="13" s="1"/>
  <c r="O209" i="13" s="1"/>
  <c r="O208" i="13" s="1"/>
  <c r="O207" i="13" s="1"/>
  <c r="O206" i="13" s="1"/>
  <c r="O205" i="13" s="1"/>
  <c r="O204" i="13" s="1"/>
  <c r="O203" i="13" s="1"/>
  <c r="O202" i="13" s="1"/>
  <c r="O201" i="13" s="1"/>
  <c r="O200" i="13" s="1"/>
  <c r="O199" i="13" s="1"/>
  <c r="O198" i="13" s="1"/>
  <c r="O197" i="13" s="1"/>
  <c r="O196" i="13" s="1"/>
  <c r="O195" i="13" s="1"/>
  <c r="O194" i="13" s="1"/>
  <c r="O193" i="13" s="1"/>
  <c r="O192" i="13" s="1"/>
  <c r="O191" i="13" s="1"/>
  <c r="O190" i="13" s="1"/>
  <c r="O189" i="13" s="1"/>
  <c r="O188" i="13" s="1"/>
  <c r="O187" i="13" s="1"/>
  <c r="O186" i="13" s="1"/>
  <c r="O185" i="13" s="1"/>
  <c r="O184" i="13" s="1"/>
  <c r="O183" i="13" s="1"/>
  <c r="O182" i="13" s="1"/>
  <c r="O181" i="13" s="1"/>
  <c r="O180" i="13" s="1"/>
  <c r="O179" i="13" s="1"/>
  <c r="O178" i="13" s="1"/>
  <c r="O177" i="13" s="1"/>
  <c r="O176" i="13" s="1"/>
  <c r="O175" i="13" s="1"/>
  <c r="O174" i="13" s="1"/>
  <c r="O173" i="13" s="1"/>
  <c r="O172" i="13" s="1"/>
  <c r="O171" i="13" s="1"/>
  <c r="O170" i="13" s="1"/>
  <c r="O169" i="13" s="1"/>
  <c r="O168" i="13" s="1"/>
  <c r="O167" i="13" s="1"/>
  <c r="O166" i="13" s="1"/>
  <c r="O165" i="13" s="1"/>
  <c r="O164" i="13" s="1"/>
  <c r="O163" i="13" s="1"/>
  <c r="O162" i="13" s="1"/>
  <c r="O161" i="13" s="1"/>
  <c r="O160" i="13" s="1"/>
  <c r="O159" i="13" s="1"/>
  <c r="O158" i="13" s="1"/>
  <c r="O157" i="13" s="1"/>
  <c r="O156" i="13" s="1"/>
  <c r="O155" i="13" s="1"/>
  <c r="O154" i="13" s="1"/>
  <c r="O153" i="13" s="1"/>
  <c r="O152" i="13" s="1"/>
  <c r="O151" i="13" s="1"/>
  <c r="O150" i="13" s="1"/>
  <c r="O149" i="13" s="1"/>
  <c r="O148" i="13" s="1"/>
  <c r="O147" i="13" s="1"/>
  <c r="O146" i="13" s="1"/>
  <c r="O145" i="13" s="1"/>
  <c r="O144" i="13" s="1"/>
  <c r="O143" i="13" s="1"/>
  <c r="O142" i="13" s="1"/>
  <c r="O141" i="13" s="1"/>
  <c r="O140" i="13" s="1"/>
  <c r="O139" i="13" s="1"/>
  <c r="O138" i="13" s="1"/>
  <c r="O137" i="13" s="1"/>
  <c r="O136" i="13" s="1"/>
  <c r="O135" i="13" s="1"/>
  <c r="O134" i="13" s="1"/>
  <c r="O133" i="13" s="1"/>
  <c r="O132" i="13" s="1"/>
  <c r="O131" i="13" s="1"/>
  <c r="O130" i="13" s="1"/>
  <c r="O129" i="13" s="1"/>
  <c r="O128" i="13" s="1"/>
  <c r="O127" i="13" s="1"/>
  <c r="O126" i="13" s="1"/>
  <c r="O125" i="13" s="1"/>
  <c r="O124" i="13" s="1"/>
  <c r="O123" i="13" s="1"/>
  <c r="O122" i="13" s="1"/>
  <c r="O121" i="13" s="1"/>
  <c r="O120" i="13" s="1"/>
  <c r="O119" i="13" s="1"/>
  <c r="O118" i="13" s="1"/>
  <c r="O117" i="13" s="1"/>
  <c r="O116" i="13" s="1"/>
  <c r="O115" i="13" s="1"/>
  <c r="O114" i="13" s="1"/>
  <c r="O113" i="13" s="1"/>
  <c r="O112" i="13" s="1"/>
  <c r="O111" i="13" s="1"/>
  <c r="O110" i="13" s="1"/>
  <c r="O109" i="13" s="1"/>
  <c r="O108" i="13" s="1"/>
  <c r="O107" i="13" s="1"/>
  <c r="O106" i="13" s="1"/>
  <c r="O105" i="13" s="1"/>
  <c r="O104" i="13" s="1"/>
  <c r="O103" i="13" s="1"/>
  <c r="O102" i="13" s="1"/>
  <c r="O101" i="13" s="1"/>
  <c r="O100" i="13" s="1"/>
  <c r="O99" i="13" s="1"/>
  <c r="O98" i="13" s="1"/>
  <c r="O97" i="13" s="1"/>
  <c r="O96" i="13" s="1"/>
  <c r="O95" i="13" s="1"/>
  <c r="O94" i="13" s="1"/>
  <c r="O93" i="13" s="1"/>
  <c r="O92" i="13" s="1"/>
  <c r="O91" i="13" s="1"/>
  <c r="O90" i="13" s="1"/>
  <c r="O89" i="13" s="1"/>
  <c r="O88" i="13" s="1"/>
  <c r="O87" i="13" s="1"/>
  <c r="O86" i="13" s="1"/>
  <c r="O85" i="13" s="1"/>
  <c r="O84" i="13" s="1"/>
  <c r="O83" i="13" s="1"/>
  <c r="O82" i="13" s="1"/>
  <c r="O81" i="13" s="1"/>
  <c r="O80" i="13" s="1"/>
  <c r="O79" i="13" s="1"/>
  <c r="O78" i="13" s="1"/>
  <c r="O77" i="13" s="1"/>
  <c r="O76" i="13" s="1"/>
  <c r="O75" i="13" s="1"/>
  <c r="O74" i="13" s="1"/>
  <c r="O73" i="13" s="1"/>
  <c r="O72" i="13" s="1"/>
  <c r="O71" i="13" s="1"/>
  <c r="O70" i="13" s="1"/>
  <c r="O69" i="13" s="1"/>
  <c r="O68" i="13" s="1"/>
  <c r="O67" i="13" s="1"/>
  <c r="O66" i="13" s="1"/>
  <c r="O65" i="13" s="1"/>
  <c r="O64" i="13" s="1"/>
  <c r="O63" i="13" s="1"/>
  <c r="O62" i="13" s="1"/>
  <c r="O61" i="13" s="1"/>
  <c r="O60" i="13" s="1"/>
  <c r="O59" i="13" s="1"/>
  <c r="O58" i="13" s="1"/>
  <c r="O57" i="13" s="1"/>
  <c r="O56" i="13" s="1"/>
  <c r="O55" i="13" s="1"/>
  <c r="O54" i="13" s="1"/>
  <c r="O53" i="13" s="1"/>
  <c r="O52" i="13" s="1"/>
  <c r="O51" i="13" s="1"/>
  <c r="O50" i="13" s="1"/>
  <c r="O49" i="13" s="1"/>
  <c r="O48" i="13" s="1"/>
  <c r="O47" i="13" s="1"/>
  <c r="O46" i="13" s="1"/>
  <c r="O45" i="13" s="1"/>
  <c r="O44" i="13" s="1"/>
  <c r="O43" i="13" s="1"/>
  <c r="O42" i="13" s="1"/>
  <c r="O41" i="13" s="1"/>
  <c r="O40" i="13" s="1"/>
  <c r="O39" i="13" s="1"/>
  <c r="O38" i="13" s="1"/>
  <c r="O37" i="13" s="1"/>
  <c r="O36" i="13" s="1"/>
  <c r="O35" i="13" s="1"/>
  <c r="O34" i="13" s="1"/>
  <c r="O33" i="13" s="1"/>
  <c r="O32" i="13" s="1"/>
  <c r="O31" i="13" s="1"/>
  <c r="O30" i="13" s="1"/>
  <c r="O29" i="13" s="1"/>
  <c r="O28" i="13" s="1"/>
  <c r="O27" i="13" s="1"/>
  <c r="O26" i="13" s="1"/>
  <c r="O25" i="13" s="1"/>
  <c r="O24" i="13" s="1"/>
  <c r="O23" i="13" s="1"/>
  <c r="O22" i="13" s="1"/>
  <c r="O21" i="13" s="1"/>
  <c r="O20" i="13" s="1"/>
  <c r="O19" i="13" s="1"/>
  <c r="O18" i="13" s="1"/>
  <c r="O17" i="13" s="1"/>
  <c r="O16" i="13" s="1"/>
  <c r="O15" i="13" s="1"/>
  <c r="O14" i="13" s="1"/>
  <c r="O13" i="13" s="1"/>
  <c r="O12" i="13" s="1"/>
  <c r="O11" i="13" s="1"/>
  <c r="O10" i="13" s="1"/>
  <c r="O9" i="13" s="1"/>
  <c r="O8" i="13" s="1"/>
  <c r="O7" i="13" s="1"/>
  <c r="O6" i="13" s="1"/>
  <c r="O5" i="13" s="1"/>
  <c r="O4" i="13" s="1"/>
  <c r="O3" i="13" s="1"/>
  <c r="R363" i="13"/>
  <c r="P363" i="13"/>
  <c r="W363" i="13"/>
  <c r="T362" i="13"/>
  <c r="T361" i="13" s="1"/>
  <c r="T360" i="13" s="1"/>
  <c r="T359" i="13" s="1"/>
  <c r="T358" i="13" s="1"/>
  <c r="T357" i="13" s="1"/>
  <c r="T356" i="13" s="1"/>
  <c r="T355" i="13" s="1"/>
  <c r="T354" i="13" s="1"/>
  <c r="T353" i="13" s="1"/>
  <c r="T352" i="13" s="1"/>
  <c r="T351" i="13" s="1"/>
  <c r="T350" i="13" s="1"/>
  <c r="T349" i="13" s="1"/>
  <c r="T348" i="13" s="1"/>
  <c r="T347" i="13" s="1"/>
  <c r="T346" i="13" s="1"/>
  <c r="T345" i="13" s="1"/>
  <c r="T344" i="13" s="1"/>
  <c r="T343" i="13" s="1"/>
  <c r="T342" i="13" s="1"/>
  <c r="T341" i="13" s="1"/>
  <c r="T340" i="13" s="1"/>
  <c r="T339" i="13" s="1"/>
  <c r="T338" i="13" s="1"/>
  <c r="T337" i="13" s="1"/>
  <c r="T336" i="13" s="1"/>
  <c r="T335" i="13" s="1"/>
  <c r="T334" i="13" s="1"/>
  <c r="T333" i="13" s="1"/>
  <c r="T332" i="13" s="1"/>
  <c r="T331" i="13" s="1"/>
  <c r="T330" i="13" s="1"/>
  <c r="T329" i="13" s="1"/>
  <c r="T328" i="13" s="1"/>
  <c r="T327" i="13" s="1"/>
  <c r="T326" i="13" s="1"/>
  <c r="T325" i="13" s="1"/>
  <c r="T324" i="13" s="1"/>
  <c r="T323" i="13" s="1"/>
  <c r="T322" i="13" s="1"/>
  <c r="T321" i="13" s="1"/>
  <c r="T320" i="13" s="1"/>
  <c r="T319" i="13" s="1"/>
  <c r="T318" i="13" s="1"/>
  <c r="T317" i="13" s="1"/>
  <c r="T316" i="13" s="1"/>
  <c r="T315" i="13" s="1"/>
  <c r="T314" i="13" s="1"/>
  <c r="T313" i="13" s="1"/>
  <c r="T312" i="13" s="1"/>
  <c r="T311" i="13" s="1"/>
  <c r="T310" i="13" s="1"/>
  <c r="T309" i="13" s="1"/>
  <c r="T308" i="13" s="1"/>
  <c r="T307" i="13" s="1"/>
  <c r="T306" i="13" s="1"/>
  <c r="T305" i="13" s="1"/>
  <c r="T304" i="13" s="1"/>
  <c r="T303" i="13" s="1"/>
  <c r="T302" i="13" s="1"/>
  <c r="T301" i="13" s="1"/>
  <c r="T300" i="13" s="1"/>
  <c r="T299" i="13" s="1"/>
  <c r="T298" i="13" s="1"/>
  <c r="T297" i="13" s="1"/>
  <c r="T296" i="13" s="1"/>
  <c r="T295" i="13" s="1"/>
  <c r="T294" i="13" s="1"/>
  <c r="T293" i="13" s="1"/>
  <c r="T292" i="13" s="1"/>
  <c r="T291" i="13" s="1"/>
  <c r="T290" i="13" s="1"/>
  <c r="T289" i="13" s="1"/>
  <c r="T288" i="13" s="1"/>
  <c r="T287" i="13" s="1"/>
  <c r="T286" i="13" s="1"/>
  <c r="T285" i="13" s="1"/>
  <c r="T284" i="13" s="1"/>
  <c r="T283" i="13" s="1"/>
  <c r="T282" i="13" s="1"/>
  <c r="T281" i="13" s="1"/>
  <c r="T280" i="13" s="1"/>
  <c r="T279" i="13" s="1"/>
  <c r="T278" i="13" s="1"/>
  <c r="T277" i="13" s="1"/>
  <c r="T276" i="13" s="1"/>
  <c r="T275" i="13" s="1"/>
  <c r="T274" i="13" s="1"/>
  <c r="T273" i="13" s="1"/>
  <c r="T272" i="13" s="1"/>
  <c r="T271" i="13" s="1"/>
  <c r="T270" i="13" s="1"/>
  <c r="T269" i="13" s="1"/>
  <c r="T268" i="13" s="1"/>
  <c r="T267" i="13" s="1"/>
  <c r="T266" i="13" s="1"/>
  <c r="T265" i="13" s="1"/>
  <c r="T264" i="13" s="1"/>
  <c r="T263" i="13" s="1"/>
  <c r="T262" i="13" s="1"/>
  <c r="T261" i="13" s="1"/>
  <c r="T260" i="13" s="1"/>
  <c r="T259" i="13" s="1"/>
  <c r="T258" i="13" s="1"/>
  <c r="T257" i="13" s="1"/>
  <c r="T256" i="13" s="1"/>
  <c r="T255" i="13" s="1"/>
  <c r="T254" i="13" s="1"/>
  <c r="T253" i="13" s="1"/>
  <c r="T252" i="13" s="1"/>
  <c r="T251" i="13" s="1"/>
  <c r="T250" i="13" s="1"/>
  <c r="T249" i="13" s="1"/>
  <c r="T248" i="13" s="1"/>
  <c r="T247" i="13" s="1"/>
  <c r="T246" i="13" s="1"/>
  <c r="T245" i="13" s="1"/>
  <c r="T244" i="13" s="1"/>
  <c r="T243" i="13" s="1"/>
  <c r="T242" i="13" s="1"/>
  <c r="T241" i="13" s="1"/>
  <c r="T240" i="13" s="1"/>
  <c r="T239" i="13" s="1"/>
  <c r="T238" i="13" s="1"/>
  <c r="T237" i="13" s="1"/>
  <c r="T236" i="13" s="1"/>
  <c r="T235" i="13" s="1"/>
  <c r="T234" i="13" s="1"/>
  <c r="T233" i="13" s="1"/>
  <c r="T232" i="13" s="1"/>
  <c r="T231" i="13" s="1"/>
  <c r="T230" i="13" s="1"/>
  <c r="T229" i="13" s="1"/>
  <c r="T228" i="13" s="1"/>
  <c r="T227" i="13" s="1"/>
  <c r="T226" i="13" s="1"/>
  <c r="T225" i="13" s="1"/>
  <c r="T224" i="13" s="1"/>
  <c r="T223" i="13" s="1"/>
  <c r="T222" i="13" s="1"/>
  <c r="T221" i="13" s="1"/>
  <c r="T220" i="13" s="1"/>
  <c r="T219" i="13" s="1"/>
  <c r="T218" i="13" s="1"/>
  <c r="T217" i="13" s="1"/>
  <c r="T216" i="13" s="1"/>
  <c r="T215" i="13" s="1"/>
  <c r="T214" i="13" s="1"/>
  <c r="T213" i="13" s="1"/>
  <c r="T212" i="13" s="1"/>
  <c r="T211" i="13" s="1"/>
  <c r="T210" i="13" s="1"/>
  <c r="T209" i="13" s="1"/>
  <c r="T208" i="13" s="1"/>
  <c r="T207" i="13" s="1"/>
  <c r="T206" i="13" s="1"/>
  <c r="T205" i="13" s="1"/>
  <c r="T204" i="13" s="1"/>
  <c r="T203" i="13" s="1"/>
  <c r="T202" i="13" s="1"/>
  <c r="T201" i="13" s="1"/>
  <c r="T200" i="13" s="1"/>
  <c r="T199" i="13" s="1"/>
  <c r="T198" i="13" s="1"/>
  <c r="T197" i="13" s="1"/>
  <c r="T196" i="13" s="1"/>
  <c r="T195" i="13" s="1"/>
  <c r="T194" i="13" s="1"/>
  <c r="T193" i="13" s="1"/>
  <c r="T192" i="13" s="1"/>
  <c r="T191" i="13" s="1"/>
  <c r="T190" i="13" s="1"/>
  <c r="T189" i="13" s="1"/>
  <c r="T188" i="13" s="1"/>
  <c r="T187" i="13" s="1"/>
  <c r="T186" i="13" s="1"/>
  <c r="T185" i="13" s="1"/>
  <c r="T184" i="13" s="1"/>
  <c r="T183" i="13" s="1"/>
  <c r="T182" i="13" s="1"/>
  <c r="T181" i="13" s="1"/>
  <c r="T180" i="13" s="1"/>
  <c r="T179" i="13" s="1"/>
  <c r="T178" i="13" s="1"/>
  <c r="T177" i="13" s="1"/>
  <c r="T176" i="13" s="1"/>
  <c r="T175" i="13" s="1"/>
  <c r="T174" i="13" s="1"/>
  <c r="T173" i="13" s="1"/>
  <c r="T172" i="13" s="1"/>
  <c r="T171" i="13" s="1"/>
  <c r="T170" i="13" s="1"/>
  <c r="T169" i="13" s="1"/>
  <c r="T168" i="13" s="1"/>
  <c r="T167" i="13" s="1"/>
  <c r="T166" i="13" s="1"/>
  <c r="T165" i="13" s="1"/>
  <c r="T164" i="13" s="1"/>
  <c r="T163" i="13" s="1"/>
  <c r="T162" i="13" s="1"/>
  <c r="T161" i="13" s="1"/>
  <c r="T160" i="13" s="1"/>
  <c r="T159" i="13" s="1"/>
  <c r="T158" i="13" s="1"/>
  <c r="T157" i="13" s="1"/>
  <c r="T156" i="13" s="1"/>
  <c r="T155" i="13" s="1"/>
  <c r="T154" i="13" s="1"/>
  <c r="T153" i="13" s="1"/>
  <c r="T152" i="13" s="1"/>
  <c r="T151" i="13" s="1"/>
  <c r="T150" i="13" s="1"/>
  <c r="T149" i="13" s="1"/>
  <c r="T148" i="13" s="1"/>
  <c r="T147" i="13" s="1"/>
  <c r="T146" i="13" s="1"/>
  <c r="T145" i="13" s="1"/>
  <c r="T144" i="13" s="1"/>
  <c r="T143" i="13" s="1"/>
  <c r="T142" i="13" s="1"/>
  <c r="T141" i="13" s="1"/>
  <c r="T140" i="13" s="1"/>
  <c r="T139" i="13" s="1"/>
  <c r="T138" i="13" s="1"/>
  <c r="T137" i="13" s="1"/>
  <c r="T136" i="13" s="1"/>
  <c r="T135" i="13" s="1"/>
  <c r="T134" i="13" s="1"/>
  <c r="T133" i="13" s="1"/>
  <c r="T132" i="13" s="1"/>
  <c r="T131" i="13" s="1"/>
  <c r="T130" i="13" s="1"/>
  <c r="T129" i="13" s="1"/>
  <c r="T128" i="13" s="1"/>
  <c r="T127" i="13" s="1"/>
  <c r="T126" i="13" s="1"/>
  <c r="T125" i="13" s="1"/>
  <c r="T124" i="13" s="1"/>
  <c r="T123" i="13" s="1"/>
  <c r="T122" i="13" s="1"/>
  <c r="T121" i="13" s="1"/>
  <c r="T120" i="13" s="1"/>
  <c r="T119" i="13" s="1"/>
  <c r="T118" i="13" s="1"/>
  <c r="T117" i="13" s="1"/>
  <c r="T116" i="13" s="1"/>
  <c r="T115" i="13" s="1"/>
  <c r="T114" i="13" s="1"/>
  <c r="T113" i="13" s="1"/>
  <c r="T112" i="13" s="1"/>
  <c r="T111" i="13" s="1"/>
  <c r="T110" i="13" s="1"/>
  <c r="T109" i="13" s="1"/>
  <c r="T108" i="13" s="1"/>
  <c r="T107" i="13" s="1"/>
  <c r="T106" i="13" s="1"/>
  <c r="T105" i="13" s="1"/>
  <c r="T104" i="13" s="1"/>
  <c r="T103" i="13" s="1"/>
  <c r="T102" i="13" s="1"/>
  <c r="T101" i="13" s="1"/>
  <c r="T100" i="13" s="1"/>
  <c r="T99" i="13" s="1"/>
  <c r="T98" i="13" s="1"/>
  <c r="T97" i="13" s="1"/>
  <c r="T96" i="13" s="1"/>
  <c r="T95" i="13" s="1"/>
  <c r="T94" i="13" s="1"/>
  <c r="T93" i="13" s="1"/>
  <c r="T92" i="13" s="1"/>
  <c r="T91" i="13" s="1"/>
  <c r="T90" i="13" s="1"/>
  <c r="T89" i="13" s="1"/>
  <c r="T88" i="13" s="1"/>
  <c r="T87" i="13" s="1"/>
  <c r="T86" i="13" s="1"/>
  <c r="T85" i="13" s="1"/>
  <c r="T84" i="13" s="1"/>
  <c r="T83" i="13" s="1"/>
  <c r="T82" i="13" s="1"/>
  <c r="T81" i="13" s="1"/>
  <c r="T80" i="13" s="1"/>
  <c r="T79" i="13" s="1"/>
  <c r="T78" i="13" s="1"/>
  <c r="T77" i="13" s="1"/>
  <c r="T76" i="13" s="1"/>
  <c r="T75" i="13" s="1"/>
  <c r="T74" i="13" s="1"/>
  <c r="T73" i="13" s="1"/>
  <c r="T72" i="13" s="1"/>
  <c r="T71" i="13" s="1"/>
  <c r="T70" i="13" s="1"/>
  <c r="T69" i="13" s="1"/>
  <c r="T68" i="13" s="1"/>
  <c r="T67" i="13" s="1"/>
  <c r="T66" i="13" s="1"/>
  <c r="T65" i="13" s="1"/>
  <c r="T64" i="13" s="1"/>
  <c r="T63" i="13" s="1"/>
  <c r="T62" i="13" s="1"/>
  <c r="T61" i="13" s="1"/>
  <c r="T60" i="13" s="1"/>
  <c r="T59" i="13" s="1"/>
  <c r="T58" i="13" s="1"/>
  <c r="T57" i="13" s="1"/>
  <c r="T56" i="13" s="1"/>
  <c r="T55" i="13" s="1"/>
  <c r="T54" i="13" s="1"/>
  <c r="T53" i="13" s="1"/>
  <c r="T52" i="13" s="1"/>
  <c r="T51" i="13" s="1"/>
  <c r="T50" i="13" s="1"/>
  <c r="T49" i="13" s="1"/>
  <c r="T48" i="13" s="1"/>
  <c r="T47" i="13" s="1"/>
  <c r="T46" i="13" s="1"/>
  <c r="T45" i="13" s="1"/>
  <c r="T44" i="13" s="1"/>
  <c r="T43" i="13" s="1"/>
  <c r="T42" i="13" s="1"/>
  <c r="T41" i="13" s="1"/>
  <c r="T40" i="13" s="1"/>
  <c r="T39" i="13" s="1"/>
  <c r="T38" i="13" s="1"/>
  <c r="T37" i="13" s="1"/>
  <c r="T36" i="13" s="1"/>
  <c r="T35" i="13" s="1"/>
  <c r="T34" i="13" s="1"/>
  <c r="T33" i="13" s="1"/>
  <c r="T32" i="13" s="1"/>
  <c r="T31" i="13" s="1"/>
  <c r="T30" i="13" s="1"/>
  <c r="T29" i="13" s="1"/>
  <c r="T28" i="13" s="1"/>
  <c r="T27" i="13" s="1"/>
  <c r="T26" i="13" s="1"/>
  <c r="T25" i="13" s="1"/>
  <c r="T24" i="13" s="1"/>
  <c r="T23" i="13" s="1"/>
  <c r="T22" i="13" s="1"/>
  <c r="T21" i="13" s="1"/>
  <c r="T20" i="13" s="1"/>
  <c r="T19" i="13" s="1"/>
  <c r="T18" i="13" s="1"/>
  <c r="T17" i="13" s="1"/>
  <c r="T16" i="13" s="1"/>
  <c r="T15" i="13" s="1"/>
  <c r="T14" i="13" s="1"/>
  <c r="T13" i="13" s="1"/>
  <c r="T12" i="13" s="1"/>
  <c r="T11" i="13" s="1"/>
  <c r="T10" i="13" s="1"/>
  <c r="T9" i="13" s="1"/>
  <c r="T8" i="13" s="1"/>
  <c r="T7" i="13" s="1"/>
  <c r="T6" i="13" s="1"/>
  <c r="T5" i="13" s="1"/>
  <c r="T4" i="13" s="1"/>
  <c r="T3" i="13" s="1"/>
  <c r="L141" i="11"/>
  <c r="J141" i="11"/>
  <c r="H141" i="11"/>
  <c r="K140" i="11"/>
  <c r="I140" i="11"/>
  <c r="I141" i="11"/>
  <c r="L140" i="11"/>
  <c r="H140" i="11"/>
  <c r="O134" i="11"/>
  <c r="O132" i="11"/>
  <c r="K141" i="11"/>
  <c r="J140" i="11"/>
  <c r="O133" i="11"/>
  <c r="L55" i="11"/>
  <c r="J55" i="11"/>
  <c r="H55" i="11"/>
  <c r="K54" i="11"/>
  <c r="I54" i="11"/>
  <c r="K55" i="11"/>
  <c r="J54" i="11"/>
  <c r="I55" i="11"/>
  <c r="L54" i="11"/>
  <c r="H54" i="11"/>
  <c r="O48" i="11"/>
  <c r="O47" i="11"/>
  <c r="L156" i="11"/>
  <c r="I71" i="11"/>
  <c r="I69" i="11" s="1"/>
  <c r="O64" i="11" s="1"/>
  <c r="H71" i="11"/>
  <c r="H69" i="11" s="1"/>
  <c r="O63" i="11" s="1"/>
  <c r="O62" i="11"/>
  <c r="O67" i="11" s="1"/>
  <c r="I26" i="11"/>
  <c r="O21" i="11" s="1"/>
  <c r="O45" i="11"/>
  <c r="O131" i="11"/>
  <c r="G362" i="10"/>
  <c r="G361" i="10" s="1"/>
  <c r="G360" i="10" s="1"/>
  <c r="G359" i="10" s="1"/>
  <c r="G358" i="10" s="1"/>
  <c r="G357" i="10" s="1"/>
  <c r="G356" i="10" s="1"/>
  <c r="G355" i="10" s="1"/>
  <c r="G354" i="10" s="1"/>
  <c r="G353" i="10" s="1"/>
  <c r="G352" i="10" s="1"/>
  <c r="G351" i="10" s="1"/>
  <c r="G350" i="10" s="1"/>
  <c r="G349" i="10" s="1"/>
  <c r="G348" i="10" s="1"/>
  <c r="G347" i="10" s="1"/>
  <c r="G346" i="10" s="1"/>
  <c r="G345" i="10" s="1"/>
  <c r="G344" i="10" s="1"/>
  <c r="G343" i="10" s="1"/>
  <c r="G342" i="10" s="1"/>
  <c r="G341" i="10" s="1"/>
  <c r="G340" i="10" s="1"/>
  <c r="G339" i="10" s="1"/>
  <c r="G338" i="10" s="1"/>
  <c r="G337" i="10" s="1"/>
  <c r="G336" i="10" s="1"/>
  <c r="G335" i="10" s="1"/>
  <c r="G334" i="10" s="1"/>
  <c r="G333" i="10" s="1"/>
  <c r="G332" i="10" s="1"/>
  <c r="G331" i="10" s="1"/>
  <c r="G330" i="10" s="1"/>
  <c r="G329" i="10" s="1"/>
  <c r="G328" i="10" s="1"/>
  <c r="G327" i="10" s="1"/>
  <c r="G326" i="10" s="1"/>
  <c r="G325" i="10" s="1"/>
  <c r="G324" i="10" s="1"/>
  <c r="G323" i="10" s="1"/>
  <c r="G322" i="10" s="1"/>
  <c r="G321" i="10" s="1"/>
  <c r="G320" i="10" s="1"/>
  <c r="G319" i="10" s="1"/>
  <c r="G318" i="10" s="1"/>
  <c r="G317" i="10" s="1"/>
  <c r="G316" i="10" s="1"/>
  <c r="G315" i="10" s="1"/>
  <c r="G314" i="10" s="1"/>
  <c r="G313" i="10" s="1"/>
  <c r="G312" i="10" s="1"/>
  <c r="G311" i="10" s="1"/>
  <c r="G310" i="10" s="1"/>
  <c r="G309" i="10" s="1"/>
  <c r="G308" i="10" s="1"/>
  <c r="G307" i="10" s="1"/>
  <c r="G306" i="10" s="1"/>
  <c r="G305" i="10" s="1"/>
  <c r="G304" i="10" s="1"/>
  <c r="G303" i="10" s="1"/>
  <c r="G302" i="10" s="1"/>
  <c r="G301" i="10" s="1"/>
  <c r="G300" i="10" s="1"/>
  <c r="G299" i="10" s="1"/>
  <c r="G298" i="10" s="1"/>
  <c r="G297" i="10" s="1"/>
  <c r="G296" i="10" s="1"/>
  <c r="G295" i="10" s="1"/>
  <c r="G294" i="10" s="1"/>
  <c r="G293" i="10" s="1"/>
  <c r="G292" i="10" s="1"/>
  <c r="G291" i="10" s="1"/>
  <c r="G290" i="10" s="1"/>
  <c r="G289" i="10" s="1"/>
  <c r="G288" i="10" s="1"/>
  <c r="G287" i="10" s="1"/>
  <c r="G286" i="10" s="1"/>
  <c r="G285" i="10" s="1"/>
  <c r="G284" i="10" s="1"/>
  <c r="G283" i="10" s="1"/>
  <c r="G282" i="10" s="1"/>
  <c r="G281" i="10" s="1"/>
  <c r="G280" i="10" s="1"/>
  <c r="G279" i="10" s="1"/>
  <c r="G278" i="10" s="1"/>
  <c r="G277" i="10" s="1"/>
  <c r="G276" i="10" s="1"/>
  <c r="G275" i="10" s="1"/>
  <c r="G274" i="10" s="1"/>
  <c r="G273" i="10" s="1"/>
  <c r="G272" i="10" s="1"/>
  <c r="G271" i="10" s="1"/>
  <c r="G270" i="10" s="1"/>
  <c r="G269" i="10" s="1"/>
  <c r="G268" i="10" s="1"/>
  <c r="G267" i="10" s="1"/>
  <c r="G266" i="10" s="1"/>
  <c r="G265" i="10" s="1"/>
  <c r="G264" i="10" s="1"/>
  <c r="G263" i="10" s="1"/>
  <c r="G262" i="10" s="1"/>
  <c r="G261" i="10" s="1"/>
  <c r="G260" i="10" s="1"/>
  <c r="G259" i="10" s="1"/>
  <c r="G258" i="10" s="1"/>
  <c r="G257" i="10" s="1"/>
  <c r="G256" i="10" s="1"/>
  <c r="G255" i="10" s="1"/>
  <c r="G254" i="10" s="1"/>
  <c r="G253" i="10" s="1"/>
  <c r="G252" i="10" s="1"/>
  <c r="G251" i="10" s="1"/>
  <c r="G250" i="10" s="1"/>
  <c r="G249" i="10" s="1"/>
  <c r="G248" i="10" s="1"/>
  <c r="G247" i="10" s="1"/>
  <c r="G246" i="10" s="1"/>
  <c r="G245" i="10" s="1"/>
  <c r="G244" i="10" s="1"/>
  <c r="G243" i="10" s="1"/>
  <c r="G242" i="10" s="1"/>
  <c r="G241" i="10" s="1"/>
  <c r="G240" i="10" s="1"/>
  <c r="G239" i="10" s="1"/>
  <c r="G238" i="10" s="1"/>
  <c r="G237" i="10" s="1"/>
  <c r="G236" i="10" s="1"/>
  <c r="G235" i="10" s="1"/>
  <c r="G234" i="10" s="1"/>
  <c r="G233" i="10" s="1"/>
  <c r="G232" i="10" s="1"/>
  <c r="G231" i="10" s="1"/>
  <c r="G230" i="10" s="1"/>
  <c r="G229" i="10" s="1"/>
  <c r="G228" i="10" s="1"/>
  <c r="G227" i="10" s="1"/>
  <c r="G226" i="10" s="1"/>
  <c r="G225" i="10" s="1"/>
  <c r="G224" i="10" s="1"/>
  <c r="G223" i="10" s="1"/>
  <c r="G222" i="10" s="1"/>
  <c r="G221" i="10" s="1"/>
  <c r="G220" i="10" s="1"/>
  <c r="G219" i="10" s="1"/>
  <c r="G218" i="10" s="1"/>
  <c r="G217" i="10" s="1"/>
  <c r="G216" i="10" s="1"/>
  <c r="G215" i="10" s="1"/>
  <c r="G214" i="10" s="1"/>
  <c r="G213" i="10" s="1"/>
  <c r="G212" i="10" s="1"/>
  <c r="G211" i="10" s="1"/>
  <c r="G210" i="10" s="1"/>
  <c r="G209" i="10" s="1"/>
  <c r="G208" i="10" s="1"/>
  <c r="G207" i="10" s="1"/>
  <c r="G206" i="10" s="1"/>
  <c r="G205" i="10" s="1"/>
  <c r="G204" i="10" s="1"/>
  <c r="G203" i="10" s="1"/>
  <c r="G202" i="10" s="1"/>
  <c r="G201" i="10" s="1"/>
  <c r="G200" i="10" s="1"/>
  <c r="G199" i="10" s="1"/>
  <c r="G198" i="10" s="1"/>
  <c r="G197" i="10" s="1"/>
  <c r="G196" i="10" s="1"/>
  <c r="G195" i="10" s="1"/>
  <c r="G194" i="10" s="1"/>
  <c r="G193" i="10" s="1"/>
  <c r="G192" i="10" s="1"/>
  <c r="G191" i="10" s="1"/>
  <c r="G190" i="10" s="1"/>
  <c r="G189" i="10" s="1"/>
  <c r="G188" i="10" s="1"/>
  <c r="G187" i="10" s="1"/>
  <c r="G186" i="10" s="1"/>
  <c r="G185" i="10" s="1"/>
  <c r="G184" i="10" s="1"/>
  <c r="G183" i="10" s="1"/>
  <c r="G182" i="10" s="1"/>
  <c r="G181" i="10" s="1"/>
  <c r="G180" i="10" s="1"/>
  <c r="G179" i="10" s="1"/>
  <c r="G178" i="10" s="1"/>
  <c r="G177" i="10" s="1"/>
  <c r="G176" i="10" s="1"/>
  <c r="G175" i="10" s="1"/>
  <c r="G174" i="10" s="1"/>
  <c r="G173" i="10" s="1"/>
  <c r="G172" i="10" s="1"/>
  <c r="G171" i="10" s="1"/>
  <c r="G170" i="10" s="1"/>
  <c r="G169" i="10" s="1"/>
  <c r="G168" i="10" s="1"/>
  <c r="G167" i="10" s="1"/>
  <c r="G166" i="10" s="1"/>
  <c r="G165" i="10" s="1"/>
  <c r="G164" i="10" s="1"/>
  <c r="G163" i="10" s="1"/>
  <c r="G162" i="10" s="1"/>
  <c r="G161" i="10" s="1"/>
  <c r="G160" i="10" s="1"/>
  <c r="G159" i="10" s="1"/>
  <c r="G158" i="10" s="1"/>
  <c r="G157" i="10" s="1"/>
  <c r="G156" i="10" s="1"/>
  <c r="G155" i="10" s="1"/>
  <c r="G154" i="10" s="1"/>
  <c r="G153" i="10" s="1"/>
  <c r="G152" i="10" s="1"/>
  <c r="G151" i="10" s="1"/>
  <c r="G150" i="10" s="1"/>
  <c r="G149" i="10" s="1"/>
  <c r="G148" i="10" s="1"/>
  <c r="G147" i="10" s="1"/>
  <c r="G146" i="10" s="1"/>
  <c r="G145" i="10" s="1"/>
  <c r="G144" i="10" s="1"/>
  <c r="G143" i="10" s="1"/>
  <c r="G142" i="10" s="1"/>
  <c r="G141" i="10" s="1"/>
  <c r="G140" i="10" s="1"/>
  <c r="G139" i="10" s="1"/>
  <c r="G138" i="10" s="1"/>
  <c r="G137" i="10" s="1"/>
  <c r="G136" i="10" s="1"/>
  <c r="G135" i="10" s="1"/>
  <c r="G134" i="10" s="1"/>
  <c r="G133" i="10" s="1"/>
  <c r="G132" i="10" s="1"/>
  <c r="G131" i="10" s="1"/>
  <c r="G130" i="10" s="1"/>
  <c r="G129" i="10" s="1"/>
  <c r="G128" i="10" s="1"/>
  <c r="G127" i="10" s="1"/>
  <c r="G126" i="10" s="1"/>
  <c r="G125" i="10" s="1"/>
  <c r="G124" i="10" s="1"/>
  <c r="G123" i="10" s="1"/>
  <c r="G122" i="10" s="1"/>
  <c r="G121" i="10" s="1"/>
  <c r="G120" i="10" s="1"/>
  <c r="G119" i="10" s="1"/>
  <c r="G118" i="10" s="1"/>
  <c r="G117" i="10" s="1"/>
  <c r="G116" i="10" s="1"/>
  <c r="G115" i="10" s="1"/>
  <c r="G114" i="10" s="1"/>
  <c r="G113" i="10" s="1"/>
  <c r="G112" i="10" s="1"/>
  <c r="G111" i="10" s="1"/>
  <c r="G110" i="10" s="1"/>
  <c r="G109" i="10" s="1"/>
  <c r="G108" i="10" s="1"/>
  <c r="G107" i="10" s="1"/>
  <c r="G106" i="10" s="1"/>
  <c r="G105" i="10" s="1"/>
  <c r="G104" i="10" s="1"/>
  <c r="G103" i="10" s="1"/>
  <c r="G102" i="10" s="1"/>
  <c r="G101" i="10" s="1"/>
  <c r="G100" i="10" s="1"/>
  <c r="G99" i="10" s="1"/>
  <c r="G98" i="10" s="1"/>
  <c r="G97" i="10" s="1"/>
  <c r="G96" i="10" s="1"/>
  <c r="G95" i="10" s="1"/>
  <c r="G94" i="10" s="1"/>
  <c r="G93" i="10" s="1"/>
  <c r="G92" i="10" s="1"/>
  <c r="G91" i="10" s="1"/>
  <c r="G90" i="10" s="1"/>
  <c r="G89" i="10" s="1"/>
  <c r="G88" i="10" s="1"/>
  <c r="G87" i="10" s="1"/>
  <c r="G86" i="10" s="1"/>
  <c r="G85" i="10" s="1"/>
  <c r="G84" i="10" s="1"/>
  <c r="G83" i="10" s="1"/>
  <c r="G82" i="10" s="1"/>
  <c r="G81" i="10" s="1"/>
  <c r="G80" i="10" s="1"/>
  <c r="G79" i="10" s="1"/>
  <c r="G78" i="10" s="1"/>
  <c r="G77" i="10" s="1"/>
  <c r="G76" i="10" s="1"/>
  <c r="G75" i="10" s="1"/>
  <c r="G74" i="10" s="1"/>
  <c r="G73" i="10" s="1"/>
  <c r="G72" i="10" s="1"/>
  <c r="G71" i="10" s="1"/>
  <c r="G70" i="10" s="1"/>
  <c r="G69" i="10" s="1"/>
  <c r="G68" i="10" s="1"/>
  <c r="G67" i="10" s="1"/>
  <c r="G66" i="10" s="1"/>
  <c r="G65" i="10" s="1"/>
  <c r="G64" i="10" s="1"/>
  <c r="G63" i="10" s="1"/>
  <c r="G62" i="10" s="1"/>
  <c r="G61" i="10" s="1"/>
  <c r="G60" i="10" s="1"/>
  <c r="G59" i="10" s="1"/>
  <c r="G58" i="10" s="1"/>
  <c r="G57" i="10" s="1"/>
  <c r="G56" i="10" s="1"/>
  <c r="G55" i="10" s="1"/>
  <c r="G54" i="10" s="1"/>
  <c r="G53" i="10" s="1"/>
  <c r="G52" i="10" s="1"/>
  <c r="G51" i="10" s="1"/>
  <c r="G50" i="10" s="1"/>
  <c r="G49" i="10" s="1"/>
  <c r="G48" i="10" s="1"/>
  <c r="G47" i="10" s="1"/>
  <c r="G46" i="10" s="1"/>
  <c r="G45" i="10" s="1"/>
  <c r="G44" i="10" s="1"/>
  <c r="G43" i="10" s="1"/>
  <c r="G42" i="10" s="1"/>
  <c r="G41" i="10" s="1"/>
  <c r="G40" i="10" s="1"/>
  <c r="G39" i="10" s="1"/>
  <c r="G38" i="10" s="1"/>
  <c r="G37" i="10" s="1"/>
  <c r="G36" i="10" s="1"/>
  <c r="G35" i="10" s="1"/>
  <c r="G34" i="10" s="1"/>
  <c r="G33" i="10" s="1"/>
  <c r="G32" i="10" s="1"/>
  <c r="G31" i="10" s="1"/>
  <c r="G30" i="10" s="1"/>
  <c r="G29" i="10" s="1"/>
  <c r="G28" i="10" s="1"/>
  <c r="G27" i="10" s="1"/>
  <c r="G26" i="10" s="1"/>
  <c r="G25" i="10" s="1"/>
  <c r="G24" i="10" s="1"/>
  <c r="G23" i="10" s="1"/>
  <c r="G22" i="10" s="1"/>
  <c r="G21" i="10" s="1"/>
  <c r="G20" i="10" s="1"/>
  <c r="G19" i="10" s="1"/>
  <c r="G18" i="10" s="1"/>
  <c r="G17" i="10" s="1"/>
  <c r="G16" i="10" s="1"/>
  <c r="G15" i="10" s="1"/>
  <c r="G14" i="10" s="1"/>
  <c r="G13" i="10" s="1"/>
  <c r="G12" i="10" s="1"/>
  <c r="G11" i="10" s="1"/>
  <c r="G10" i="10" s="1"/>
  <c r="G9" i="10" s="1"/>
  <c r="G8" i="10" s="1"/>
  <c r="G7" i="10" s="1"/>
  <c r="G6" i="10" s="1"/>
  <c r="G5" i="10" s="1"/>
  <c r="G4" i="10" s="1"/>
  <c r="G3" i="10" s="1"/>
  <c r="J363" i="10"/>
  <c r="O362" i="10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O6" i="10" s="1"/>
  <c r="O5" i="10" s="1"/>
  <c r="O4" i="10" s="1"/>
  <c r="O3" i="10" s="1"/>
  <c r="R363" i="10"/>
  <c r="P363" i="10"/>
  <c r="W363" i="10"/>
  <c r="T362" i="10"/>
  <c r="T361" i="10" s="1"/>
  <c r="T360" i="10" s="1"/>
  <c r="T359" i="10" s="1"/>
  <c r="T358" i="10" s="1"/>
  <c r="T357" i="10" s="1"/>
  <c r="T356" i="10" s="1"/>
  <c r="T355" i="10" s="1"/>
  <c r="T354" i="10" s="1"/>
  <c r="T353" i="10" s="1"/>
  <c r="T352" i="10" s="1"/>
  <c r="T351" i="10" s="1"/>
  <c r="T350" i="10" s="1"/>
  <c r="T349" i="10" s="1"/>
  <c r="T348" i="10" s="1"/>
  <c r="T347" i="10" s="1"/>
  <c r="T346" i="10" s="1"/>
  <c r="T345" i="10" s="1"/>
  <c r="T344" i="10" s="1"/>
  <c r="T343" i="10" s="1"/>
  <c r="T342" i="10" s="1"/>
  <c r="T341" i="10" s="1"/>
  <c r="T340" i="10" s="1"/>
  <c r="T339" i="10" s="1"/>
  <c r="T338" i="10" s="1"/>
  <c r="T337" i="10" s="1"/>
  <c r="T336" i="10" s="1"/>
  <c r="T335" i="10" s="1"/>
  <c r="T334" i="10" s="1"/>
  <c r="T333" i="10" s="1"/>
  <c r="T332" i="10" s="1"/>
  <c r="T331" i="10" s="1"/>
  <c r="T330" i="10" s="1"/>
  <c r="T329" i="10" s="1"/>
  <c r="T328" i="10" s="1"/>
  <c r="T327" i="10" s="1"/>
  <c r="T326" i="10" s="1"/>
  <c r="T325" i="10" s="1"/>
  <c r="T324" i="10" s="1"/>
  <c r="T323" i="10" s="1"/>
  <c r="T322" i="10" s="1"/>
  <c r="T321" i="10" s="1"/>
  <c r="T320" i="10" s="1"/>
  <c r="T319" i="10" s="1"/>
  <c r="T318" i="10" s="1"/>
  <c r="T317" i="10" s="1"/>
  <c r="T316" i="10" s="1"/>
  <c r="T315" i="10" s="1"/>
  <c r="T314" i="10" s="1"/>
  <c r="T313" i="10" s="1"/>
  <c r="T312" i="10" s="1"/>
  <c r="T311" i="10" s="1"/>
  <c r="T310" i="10" s="1"/>
  <c r="T309" i="10" s="1"/>
  <c r="T308" i="10" s="1"/>
  <c r="T307" i="10" s="1"/>
  <c r="T306" i="10" s="1"/>
  <c r="T305" i="10" s="1"/>
  <c r="T304" i="10" s="1"/>
  <c r="T303" i="10" s="1"/>
  <c r="T302" i="10" s="1"/>
  <c r="T301" i="10" s="1"/>
  <c r="T300" i="10" s="1"/>
  <c r="T299" i="10" s="1"/>
  <c r="T298" i="10" s="1"/>
  <c r="T297" i="10" s="1"/>
  <c r="T296" i="10" s="1"/>
  <c r="T295" i="10" s="1"/>
  <c r="T294" i="10" s="1"/>
  <c r="T293" i="10" s="1"/>
  <c r="T292" i="10" s="1"/>
  <c r="T291" i="10" s="1"/>
  <c r="T290" i="10" s="1"/>
  <c r="T289" i="10" s="1"/>
  <c r="T288" i="10" s="1"/>
  <c r="T287" i="10" s="1"/>
  <c r="T286" i="10" s="1"/>
  <c r="T285" i="10" s="1"/>
  <c r="T284" i="10" s="1"/>
  <c r="T283" i="10" s="1"/>
  <c r="T282" i="10" s="1"/>
  <c r="T281" i="10" s="1"/>
  <c r="T280" i="10" s="1"/>
  <c r="T279" i="10" s="1"/>
  <c r="T278" i="10" s="1"/>
  <c r="T277" i="10" s="1"/>
  <c r="T276" i="10" s="1"/>
  <c r="T275" i="10" s="1"/>
  <c r="T274" i="10" s="1"/>
  <c r="T273" i="10" s="1"/>
  <c r="T272" i="10" s="1"/>
  <c r="T271" i="10" s="1"/>
  <c r="T270" i="10" s="1"/>
  <c r="T269" i="10" s="1"/>
  <c r="T268" i="10" s="1"/>
  <c r="T267" i="10" s="1"/>
  <c r="T266" i="10" s="1"/>
  <c r="T265" i="10" s="1"/>
  <c r="T264" i="10" s="1"/>
  <c r="T263" i="10" s="1"/>
  <c r="T262" i="10" s="1"/>
  <c r="T261" i="10" s="1"/>
  <c r="T260" i="10" s="1"/>
  <c r="T259" i="10" s="1"/>
  <c r="T258" i="10" s="1"/>
  <c r="T257" i="10" s="1"/>
  <c r="T256" i="10" s="1"/>
  <c r="T255" i="10" s="1"/>
  <c r="T254" i="10" s="1"/>
  <c r="T253" i="10" s="1"/>
  <c r="T252" i="10" s="1"/>
  <c r="T251" i="10" s="1"/>
  <c r="T250" i="10" s="1"/>
  <c r="T249" i="10" s="1"/>
  <c r="T248" i="10" s="1"/>
  <c r="T247" i="10" s="1"/>
  <c r="T246" i="10" s="1"/>
  <c r="T245" i="10" s="1"/>
  <c r="T244" i="10" s="1"/>
  <c r="T243" i="10" s="1"/>
  <c r="T242" i="10" s="1"/>
  <c r="T241" i="10" s="1"/>
  <c r="T240" i="10" s="1"/>
  <c r="T239" i="10" s="1"/>
  <c r="T238" i="10" s="1"/>
  <c r="T237" i="10" s="1"/>
  <c r="T236" i="10" s="1"/>
  <c r="T235" i="10" s="1"/>
  <c r="T234" i="10" s="1"/>
  <c r="T233" i="10" s="1"/>
  <c r="T232" i="10" s="1"/>
  <c r="T231" i="10" s="1"/>
  <c r="T230" i="10" s="1"/>
  <c r="T229" i="10" s="1"/>
  <c r="T228" i="10" s="1"/>
  <c r="T227" i="10" s="1"/>
  <c r="T226" i="10" s="1"/>
  <c r="T225" i="10" s="1"/>
  <c r="T224" i="10" s="1"/>
  <c r="T223" i="10" s="1"/>
  <c r="T222" i="10" s="1"/>
  <c r="T221" i="10" s="1"/>
  <c r="T220" i="10" s="1"/>
  <c r="T219" i="10" s="1"/>
  <c r="T218" i="10" s="1"/>
  <c r="T217" i="10" s="1"/>
  <c r="T216" i="10" s="1"/>
  <c r="T215" i="10" s="1"/>
  <c r="T214" i="10" s="1"/>
  <c r="T213" i="10" s="1"/>
  <c r="T212" i="10" s="1"/>
  <c r="T211" i="10" s="1"/>
  <c r="T210" i="10" s="1"/>
  <c r="T209" i="10" s="1"/>
  <c r="T208" i="10" s="1"/>
  <c r="T207" i="10" s="1"/>
  <c r="T206" i="10" s="1"/>
  <c r="T205" i="10" s="1"/>
  <c r="T204" i="10" s="1"/>
  <c r="T203" i="10" s="1"/>
  <c r="T202" i="10" s="1"/>
  <c r="T201" i="10" s="1"/>
  <c r="T200" i="10" s="1"/>
  <c r="T199" i="10" s="1"/>
  <c r="T198" i="10" s="1"/>
  <c r="T197" i="10" s="1"/>
  <c r="T196" i="10" s="1"/>
  <c r="T195" i="10" s="1"/>
  <c r="T194" i="10" s="1"/>
  <c r="T193" i="10" s="1"/>
  <c r="T192" i="10" s="1"/>
  <c r="T191" i="10" s="1"/>
  <c r="T190" i="10" s="1"/>
  <c r="T189" i="10" s="1"/>
  <c r="T188" i="10" s="1"/>
  <c r="T187" i="10" s="1"/>
  <c r="T186" i="10" s="1"/>
  <c r="T185" i="10" s="1"/>
  <c r="T184" i="10" s="1"/>
  <c r="T183" i="10" s="1"/>
  <c r="T182" i="10" s="1"/>
  <c r="T181" i="10" s="1"/>
  <c r="T180" i="10" s="1"/>
  <c r="T179" i="10" s="1"/>
  <c r="T178" i="10" s="1"/>
  <c r="T177" i="10" s="1"/>
  <c r="T176" i="10" s="1"/>
  <c r="T175" i="10" s="1"/>
  <c r="T174" i="10" s="1"/>
  <c r="T173" i="10" s="1"/>
  <c r="T172" i="10" s="1"/>
  <c r="T171" i="10" s="1"/>
  <c r="T170" i="10" s="1"/>
  <c r="T169" i="10" s="1"/>
  <c r="T168" i="10" s="1"/>
  <c r="T167" i="10" s="1"/>
  <c r="T166" i="10" s="1"/>
  <c r="T165" i="10" s="1"/>
  <c r="T164" i="10" s="1"/>
  <c r="T163" i="10" s="1"/>
  <c r="T162" i="10" s="1"/>
  <c r="T161" i="10" s="1"/>
  <c r="T160" i="10" s="1"/>
  <c r="T159" i="10" s="1"/>
  <c r="T158" i="10" s="1"/>
  <c r="T157" i="10" s="1"/>
  <c r="T156" i="10" s="1"/>
  <c r="T155" i="10" s="1"/>
  <c r="T154" i="10" s="1"/>
  <c r="T153" i="10" s="1"/>
  <c r="T152" i="10" s="1"/>
  <c r="T151" i="10" s="1"/>
  <c r="T150" i="10" s="1"/>
  <c r="T149" i="10" s="1"/>
  <c r="T148" i="10" s="1"/>
  <c r="T147" i="10" s="1"/>
  <c r="T146" i="10" s="1"/>
  <c r="T145" i="10" s="1"/>
  <c r="T144" i="10" s="1"/>
  <c r="T143" i="10" s="1"/>
  <c r="T142" i="10" s="1"/>
  <c r="T141" i="10" s="1"/>
  <c r="T140" i="10" s="1"/>
  <c r="T139" i="10" s="1"/>
  <c r="T138" i="10" s="1"/>
  <c r="T137" i="10" s="1"/>
  <c r="T136" i="10" s="1"/>
  <c r="T135" i="10" s="1"/>
  <c r="T134" i="10" s="1"/>
  <c r="T133" i="10" s="1"/>
  <c r="T132" i="10" s="1"/>
  <c r="T131" i="10" s="1"/>
  <c r="T130" i="10" s="1"/>
  <c r="T129" i="10" s="1"/>
  <c r="T128" i="10" s="1"/>
  <c r="T127" i="10" s="1"/>
  <c r="T126" i="10" s="1"/>
  <c r="T125" i="10" s="1"/>
  <c r="T124" i="10" s="1"/>
  <c r="T123" i="10" s="1"/>
  <c r="T122" i="10" s="1"/>
  <c r="T121" i="10" s="1"/>
  <c r="T120" i="10" s="1"/>
  <c r="T119" i="10" s="1"/>
  <c r="T118" i="10" s="1"/>
  <c r="T117" i="10" s="1"/>
  <c r="T116" i="10" s="1"/>
  <c r="T115" i="10" s="1"/>
  <c r="T114" i="10" s="1"/>
  <c r="T113" i="10" s="1"/>
  <c r="T112" i="10" s="1"/>
  <c r="T111" i="10" s="1"/>
  <c r="T110" i="10" s="1"/>
  <c r="T109" i="10" s="1"/>
  <c r="T108" i="10" s="1"/>
  <c r="T107" i="10" s="1"/>
  <c r="T106" i="10" s="1"/>
  <c r="T105" i="10" s="1"/>
  <c r="T104" i="10" s="1"/>
  <c r="T103" i="10" s="1"/>
  <c r="T102" i="10" s="1"/>
  <c r="T101" i="10" s="1"/>
  <c r="T100" i="10" s="1"/>
  <c r="T99" i="10" s="1"/>
  <c r="T98" i="10" s="1"/>
  <c r="T97" i="10" s="1"/>
  <c r="T96" i="10" s="1"/>
  <c r="T95" i="10" s="1"/>
  <c r="T94" i="10" s="1"/>
  <c r="T93" i="10" s="1"/>
  <c r="T92" i="10" s="1"/>
  <c r="T91" i="10" s="1"/>
  <c r="T90" i="10" s="1"/>
  <c r="T89" i="10" s="1"/>
  <c r="T88" i="10" s="1"/>
  <c r="T87" i="10" s="1"/>
  <c r="T86" i="10" s="1"/>
  <c r="T85" i="10" s="1"/>
  <c r="T84" i="10" s="1"/>
  <c r="T83" i="10" s="1"/>
  <c r="T82" i="10" s="1"/>
  <c r="T81" i="10" s="1"/>
  <c r="T80" i="10" s="1"/>
  <c r="T79" i="10" s="1"/>
  <c r="T78" i="10" s="1"/>
  <c r="T77" i="10" s="1"/>
  <c r="T76" i="10" s="1"/>
  <c r="T75" i="10" s="1"/>
  <c r="T74" i="10" s="1"/>
  <c r="T73" i="10" s="1"/>
  <c r="T72" i="10" s="1"/>
  <c r="T71" i="10" s="1"/>
  <c r="T70" i="10" s="1"/>
  <c r="T69" i="10" s="1"/>
  <c r="T68" i="10" s="1"/>
  <c r="T67" i="10" s="1"/>
  <c r="T66" i="10" s="1"/>
  <c r="T65" i="10" s="1"/>
  <c r="T64" i="10" s="1"/>
  <c r="T63" i="10" s="1"/>
  <c r="T62" i="10" s="1"/>
  <c r="T61" i="10" s="1"/>
  <c r="T60" i="10" s="1"/>
  <c r="T59" i="10" s="1"/>
  <c r="T58" i="10" s="1"/>
  <c r="T57" i="10" s="1"/>
  <c r="T56" i="10" s="1"/>
  <c r="T55" i="10" s="1"/>
  <c r="T54" i="10" s="1"/>
  <c r="T53" i="10" s="1"/>
  <c r="T52" i="10" s="1"/>
  <c r="T51" i="10" s="1"/>
  <c r="T50" i="10" s="1"/>
  <c r="T49" i="10" s="1"/>
  <c r="T48" i="10" s="1"/>
  <c r="T47" i="10" s="1"/>
  <c r="T46" i="10" s="1"/>
  <c r="T45" i="10" s="1"/>
  <c r="T44" i="10" s="1"/>
  <c r="T43" i="10" s="1"/>
  <c r="T42" i="10" s="1"/>
  <c r="T41" i="10" s="1"/>
  <c r="T40" i="10" s="1"/>
  <c r="T39" i="10" s="1"/>
  <c r="T38" i="10" s="1"/>
  <c r="T37" i="10" s="1"/>
  <c r="T36" i="10" s="1"/>
  <c r="T35" i="10" s="1"/>
  <c r="T34" i="10" s="1"/>
  <c r="T33" i="10" s="1"/>
  <c r="T32" i="10" s="1"/>
  <c r="T31" i="10" s="1"/>
  <c r="T30" i="10" s="1"/>
  <c r="T29" i="10" s="1"/>
  <c r="T28" i="10" s="1"/>
  <c r="T27" i="10" s="1"/>
  <c r="T26" i="10" s="1"/>
  <c r="T25" i="10" s="1"/>
  <c r="T24" i="10" s="1"/>
  <c r="T23" i="10" s="1"/>
  <c r="T22" i="10" s="1"/>
  <c r="T21" i="10" s="1"/>
  <c r="T20" i="10" s="1"/>
  <c r="T19" i="10" s="1"/>
  <c r="T18" i="10" s="1"/>
  <c r="T17" i="10" s="1"/>
  <c r="T16" i="10" s="1"/>
  <c r="T15" i="10" s="1"/>
  <c r="T14" i="10" s="1"/>
  <c r="T13" i="10" s="1"/>
  <c r="T12" i="10" s="1"/>
  <c r="T11" i="10" s="1"/>
  <c r="T10" i="10" s="1"/>
  <c r="T9" i="10" s="1"/>
  <c r="T8" i="10" s="1"/>
  <c r="T7" i="10" s="1"/>
  <c r="T6" i="10" s="1"/>
  <c r="T5" i="10" s="1"/>
  <c r="T4" i="10" s="1"/>
  <c r="T3" i="10" s="1"/>
  <c r="I317" i="8"/>
  <c r="I315" i="8" s="1"/>
  <c r="O309" i="8" s="1"/>
  <c r="O307" i="8"/>
  <c r="H317" i="8"/>
  <c r="H315" i="8" s="1"/>
  <c r="O308" i="8" s="1"/>
  <c r="I277" i="8"/>
  <c r="I275" i="8" s="1"/>
  <c r="O269" i="8" s="1"/>
  <c r="O267" i="8"/>
  <c r="H277" i="8"/>
  <c r="H275" i="8" s="1"/>
  <c r="O268" i="8" s="1"/>
  <c r="I237" i="8"/>
  <c r="I235" i="8" s="1"/>
  <c r="O229" i="8" s="1"/>
  <c r="O227" i="8"/>
  <c r="H237" i="8"/>
  <c r="H235" i="8" s="1"/>
  <c r="O228" i="8" s="1"/>
  <c r="I197" i="8"/>
  <c r="I195" i="8" s="1"/>
  <c r="O189" i="8" s="1"/>
  <c r="O187" i="8"/>
  <c r="H197" i="8"/>
  <c r="H195" i="8" s="1"/>
  <c r="O188" i="8" s="1"/>
  <c r="L140" i="8"/>
  <c r="J140" i="8"/>
  <c r="H140" i="8"/>
  <c r="O134" i="8"/>
  <c r="L141" i="8"/>
  <c r="K140" i="8"/>
  <c r="O106" i="8"/>
  <c r="I28" i="8"/>
  <c r="I26" i="8" s="1"/>
  <c r="O21" i="8" s="1"/>
  <c r="H28" i="8"/>
  <c r="O45" i="8"/>
  <c r="O132" i="8"/>
  <c r="O174" i="8"/>
  <c r="L87" i="8"/>
  <c r="L80" i="8"/>
  <c r="O79" i="8"/>
  <c r="O19" i="8"/>
  <c r="O346" i="8"/>
  <c r="L354" i="8"/>
  <c r="O352" i="8"/>
  <c r="L347" i="8"/>
  <c r="I337" i="8"/>
  <c r="I335" i="8" s="1"/>
  <c r="O329" i="8" s="1"/>
  <c r="O327" i="8"/>
  <c r="H337" i="8"/>
  <c r="H335" i="8" s="1"/>
  <c r="O328" i="8" s="1"/>
  <c r="I297" i="8"/>
  <c r="I295" i="8" s="1"/>
  <c r="O289" i="8" s="1"/>
  <c r="O287" i="8"/>
  <c r="H297" i="8"/>
  <c r="H295" i="8" s="1"/>
  <c r="O288" i="8" s="1"/>
  <c r="O247" i="8"/>
  <c r="I217" i="8"/>
  <c r="I215" i="8" s="1"/>
  <c r="O209" i="8" s="1"/>
  <c r="O207" i="8"/>
  <c r="H217" i="8"/>
  <c r="H215" i="8" s="1"/>
  <c r="O208" i="8" s="1"/>
  <c r="L116" i="8"/>
  <c r="J116" i="8"/>
  <c r="H116" i="8"/>
  <c r="K115" i="8"/>
  <c r="I115" i="8"/>
  <c r="K116" i="8"/>
  <c r="I116" i="8"/>
  <c r="L115" i="8"/>
  <c r="J115" i="8"/>
  <c r="H115" i="8"/>
  <c r="O108" i="8"/>
  <c r="K55" i="8"/>
  <c r="L54" i="8"/>
  <c r="J54" i="8"/>
  <c r="O47" i="8"/>
  <c r="L55" i="8"/>
  <c r="K54" i="8"/>
  <c r="I54" i="8"/>
  <c r="O48" i="8"/>
  <c r="I71" i="8"/>
  <c r="I69" i="8" s="1"/>
  <c r="O64" i="8" s="1"/>
  <c r="H71" i="8"/>
  <c r="H69" i="8" s="1"/>
  <c r="O63" i="8" s="1"/>
  <c r="O62" i="8"/>
  <c r="O67" i="8" s="1"/>
  <c r="O109" i="8"/>
  <c r="L231" i="8" l="1"/>
  <c r="O235" i="8" s="1"/>
  <c r="K367" i="8"/>
  <c r="K372" i="8" s="1"/>
  <c r="G378" i="8" s="1"/>
  <c r="O20" i="20" s="1"/>
  <c r="K368" i="8"/>
  <c r="K370" i="8" s="1"/>
  <c r="H372" i="8"/>
  <c r="V378" i="8" s="1"/>
  <c r="V377" i="8" s="1"/>
  <c r="K379" i="8" s="1"/>
  <c r="N369" i="8" s="1"/>
  <c r="H367" i="8" s="1"/>
  <c r="O166" i="14"/>
  <c r="H174" i="8"/>
  <c r="O167" i="8" s="1"/>
  <c r="L161" i="8"/>
  <c r="L156" i="8"/>
  <c r="L160" i="8" s="1"/>
  <c r="N155" i="8" s="1"/>
  <c r="H106" i="8"/>
  <c r="O99" i="8" s="1"/>
  <c r="H174" i="14"/>
  <c r="O167" i="14" s="1"/>
  <c r="H106" i="14"/>
  <c r="O99" i="14" s="1"/>
  <c r="L84" i="14"/>
  <c r="L89" i="14" s="1"/>
  <c r="L91" i="14" s="1"/>
  <c r="L211" i="8"/>
  <c r="L331" i="8"/>
  <c r="L328" i="8" s="1"/>
  <c r="L311" i="8"/>
  <c r="L308" i="8" s="1"/>
  <c r="L23" i="14"/>
  <c r="L291" i="8"/>
  <c r="L296" i="8" s="1"/>
  <c r="L298" i="8" s="1"/>
  <c r="L271" i="8"/>
  <c r="L275" i="8" s="1"/>
  <c r="L191" i="8"/>
  <c r="L195" i="8" s="1"/>
  <c r="L251" i="8"/>
  <c r="O255" i="8" s="1"/>
  <c r="F37" i="9" s="1"/>
  <c r="O123" i="14"/>
  <c r="O128" i="14" s="1"/>
  <c r="I174" i="8"/>
  <c r="O168" i="8" s="1"/>
  <c r="L157" i="14"/>
  <c r="L161" i="14" s="1"/>
  <c r="I174" i="14"/>
  <c r="O168" i="14" s="1"/>
  <c r="L160" i="14"/>
  <c r="H150" i="14" s="1"/>
  <c r="O151" i="14"/>
  <c r="L149" i="14" s="1"/>
  <c r="H26" i="8"/>
  <c r="O20" i="8" s="1"/>
  <c r="L23" i="8" s="1"/>
  <c r="L28" i="8" s="1"/>
  <c r="L87" i="11"/>
  <c r="O85" i="11"/>
  <c r="O212" i="11"/>
  <c r="O151" i="8"/>
  <c r="L149" i="8" s="1"/>
  <c r="L151" i="8" s="1"/>
  <c r="O37" i="14"/>
  <c r="O98" i="14"/>
  <c r="L105" i="14" s="1"/>
  <c r="L351" i="14"/>
  <c r="L355" i="14" s="1"/>
  <c r="L357" i="14" s="1"/>
  <c r="L207" i="11"/>
  <c r="O206" i="11"/>
  <c r="L84" i="11"/>
  <c r="L89" i="11" s="1"/>
  <c r="L93" i="11" s="1"/>
  <c r="I82" i="11" s="1"/>
  <c r="L251" i="11"/>
  <c r="L255" i="11" s="1"/>
  <c r="L259" i="11" s="1"/>
  <c r="H249" i="11" s="1"/>
  <c r="L331" i="11"/>
  <c r="L328" i="11" s="1"/>
  <c r="L170" i="11"/>
  <c r="L181" i="11" s="1"/>
  <c r="N9" i="12" s="1"/>
  <c r="O9" i="12" s="1"/>
  <c r="H173" i="11" s="1"/>
  <c r="O169" i="11" s="1"/>
  <c r="O123" i="8"/>
  <c r="O128" i="8" s="1"/>
  <c r="O166" i="8"/>
  <c r="I106" i="11"/>
  <c r="O100" i="11" s="1"/>
  <c r="L191" i="11"/>
  <c r="L196" i="11" s="1"/>
  <c r="L198" i="11" s="1"/>
  <c r="L271" i="11"/>
  <c r="O275" i="11" s="1"/>
  <c r="J31" i="12" s="1"/>
  <c r="K31" i="12" s="1"/>
  <c r="H274" i="11" s="1"/>
  <c r="O270" i="11" s="1"/>
  <c r="L351" i="11"/>
  <c r="L348" i="11" s="1"/>
  <c r="L291" i="11"/>
  <c r="L295" i="11" s="1"/>
  <c r="L297" i="11" s="1"/>
  <c r="H131" i="11"/>
  <c r="O124" i="11" s="1"/>
  <c r="H45" i="11"/>
  <c r="O38" i="11" s="1"/>
  <c r="L161" i="11"/>
  <c r="O155" i="11" s="1"/>
  <c r="L211" i="11"/>
  <c r="L215" i="11" s="1"/>
  <c r="L217" i="11" s="1"/>
  <c r="L23" i="11"/>
  <c r="L28" i="11" s="1"/>
  <c r="L30" i="11" s="1"/>
  <c r="L351" i="8"/>
  <c r="O355" i="8" s="1"/>
  <c r="N21" i="9" s="1"/>
  <c r="P21" i="9" s="1"/>
  <c r="I354" i="8" s="1"/>
  <c r="O351" i="8" s="1"/>
  <c r="H45" i="8"/>
  <c r="O38" i="8" s="1"/>
  <c r="H131" i="8"/>
  <c r="O124" i="8" s="1"/>
  <c r="H45" i="14"/>
  <c r="O38" i="14" s="1"/>
  <c r="H131" i="14"/>
  <c r="O124" i="14" s="1"/>
  <c r="L84" i="8"/>
  <c r="L89" i="8" s="1"/>
  <c r="L91" i="8" s="1"/>
  <c r="H106" i="11"/>
  <c r="O99" i="11" s="1"/>
  <c r="I45" i="11"/>
  <c r="O39" i="11" s="1"/>
  <c r="I106" i="8"/>
  <c r="O100" i="8" s="1"/>
  <c r="I106" i="14"/>
  <c r="O100" i="14" s="1"/>
  <c r="O37" i="8"/>
  <c r="I131" i="8"/>
  <c r="O125" i="8" s="1"/>
  <c r="I45" i="14"/>
  <c r="O39" i="14" s="1"/>
  <c r="I45" i="8"/>
  <c r="O39" i="8" s="1"/>
  <c r="I131" i="11"/>
  <c r="O125" i="11" s="1"/>
  <c r="I131" i="14"/>
  <c r="O125" i="14" s="1"/>
  <c r="O37" i="11"/>
  <c r="L44" i="11" s="1"/>
  <c r="O123" i="11"/>
  <c r="O98" i="11"/>
  <c r="O103" i="11" s="1"/>
  <c r="O98" i="8"/>
  <c r="L105" i="8" s="1"/>
  <c r="O79" i="11"/>
  <c r="O152" i="11"/>
  <c r="L149" i="11" s="1"/>
  <c r="L150" i="11" s="1"/>
  <c r="L160" i="11"/>
  <c r="N155" i="11" s="1"/>
  <c r="L80" i="11"/>
  <c r="O165" i="11"/>
  <c r="L173" i="11"/>
  <c r="O171" i="11"/>
  <c r="L191" i="14"/>
  <c r="L196" i="14" s="1"/>
  <c r="L231" i="14"/>
  <c r="L271" i="14"/>
  <c r="L311" i="14"/>
  <c r="L308" i="14" s="1"/>
  <c r="L231" i="11"/>
  <c r="L311" i="11"/>
  <c r="L66" i="8"/>
  <c r="L70" i="8" s="1"/>
  <c r="L72" i="8" s="1"/>
  <c r="L66" i="11"/>
  <c r="L71" i="11" s="1"/>
  <c r="L211" i="14"/>
  <c r="L216" i="14" s="1"/>
  <c r="L218" i="14" s="1"/>
  <c r="L251" i="14"/>
  <c r="L291" i="14"/>
  <c r="L331" i="14"/>
  <c r="L328" i="14" s="1"/>
  <c r="L66" i="14"/>
  <c r="O61" i="14"/>
  <c r="L69" i="14"/>
  <c r="L62" i="14"/>
  <c r="O226" i="14"/>
  <c r="L234" i="14"/>
  <c r="O232" i="14"/>
  <c r="L227" i="14"/>
  <c r="O306" i="14"/>
  <c r="L314" i="14"/>
  <c r="O312" i="14"/>
  <c r="L307" i="14"/>
  <c r="S363" i="16"/>
  <c r="P362" i="16"/>
  <c r="P361" i="16" s="1"/>
  <c r="P360" i="16" s="1"/>
  <c r="P359" i="16" s="1"/>
  <c r="P358" i="16" s="1"/>
  <c r="P357" i="16" s="1"/>
  <c r="P356" i="16" s="1"/>
  <c r="P355" i="16" s="1"/>
  <c r="P354" i="16" s="1"/>
  <c r="P353" i="16" s="1"/>
  <c r="P352" i="16" s="1"/>
  <c r="P351" i="16" s="1"/>
  <c r="P350" i="16" s="1"/>
  <c r="P349" i="16" s="1"/>
  <c r="P348" i="16" s="1"/>
  <c r="P347" i="16" s="1"/>
  <c r="P346" i="16" s="1"/>
  <c r="P345" i="16" s="1"/>
  <c r="P344" i="16" s="1"/>
  <c r="P343" i="16" s="1"/>
  <c r="P342" i="16" s="1"/>
  <c r="P341" i="16" s="1"/>
  <c r="P340" i="16" s="1"/>
  <c r="P339" i="16" s="1"/>
  <c r="P338" i="16" s="1"/>
  <c r="P337" i="16" s="1"/>
  <c r="P336" i="16" s="1"/>
  <c r="P335" i="16" s="1"/>
  <c r="P334" i="16" s="1"/>
  <c r="P333" i="16" s="1"/>
  <c r="P332" i="16" s="1"/>
  <c r="P331" i="16" s="1"/>
  <c r="P330" i="16" s="1"/>
  <c r="P329" i="16" s="1"/>
  <c r="P328" i="16" s="1"/>
  <c r="P327" i="16" s="1"/>
  <c r="P326" i="16" s="1"/>
  <c r="P325" i="16" s="1"/>
  <c r="P324" i="16" s="1"/>
  <c r="P323" i="16" s="1"/>
  <c r="P322" i="16" s="1"/>
  <c r="P321" i="16" s="1"/>
  <c r="P320" i="16" s="1"/>
  <c r="P319" i="16" s="1"/>
  <c r="P318" i="16" s="1"/>
  <c r="P317" i="16" s="1"/>
  <c r="P316" i="16" s="1"/>
  <c r="P315" i="16" s="1"/>
  <c r="P314" i="16" s="1"/>
  <c r="P313" i="16" s="1"/>
  <c r="P312" i="16" s="1"/>
  <c r="P311" i="16" s="1"/>
  <c r="P310" i="16" s="1"/>
  <c r="P309" i="16" s="1"/>
  <c r="P308" i="16" s="1"/>
  <c r="P307" i="16" s="1"/>
  <c r="P306" i="16" s="1"/>
  <c r="P305" i="16" s="1"/>
  <c r="P304" i="16" s="1"/>
  <c r="P303" i="16" s="1"/>
  <c r="P302" i="16" s="1"/>
  <c r="P301" i="16" s="1"/>
  <c r="P300" i="16" s="1"/>
  <c r="P299" i="16" s="1"/>
  <c r="P298" i="16" s="1"/>
  <c r="P297" i="16" s="1"/>
  <c r="P296" i="16" s="1"/>
  <c r="P295" i="16" s="1"/>
  <c r="P294" i="16" s="1"/>
  <c r="P293" i="16" s="1"/>
  <c r="P292" i="16" s="1"/>
  <c r="P291" i="16" s="1"/>
  <c r="P290" i="16" s="1"/>
  <c r="P289" i="16" s="1"/>
  <c r="P288" i="16" s="1"/>
  <c r="P287" i="16" s="1"/>
  <c r="P286" i="16" s="1"/>
  <c r="P285" i="16" s="1"/>
  <c r="P284" i="16" s="1"/>
  <c r="P283" i="16" s="1"/>
  <c r="P282" i="16" s="1"/>
  <c r="P281" i="16" s="1"/>
  <c r="P280" i="16" s="1"/>
  <c r="P279" i="16" s="1"/>
  <c r="P278" i="16" s="1"/>
  <c r="P277" i="16" s="1"/>
  <c r="P276" i="16" s="1"/>
  <c r="P275" i="16" s="1"/>
  <c r="P274" i="16" s="1"/>
  <c r="P273" i="16" s="1"/>
  <c r="P272" i="16" s="1"/>
  <c r="P271" i="16" s="1"/>
  <c r="P270" i="16" s="1"/>
  <c r="P269" i="16" s="1"/>
  <c r="P268" i="16" s="1"/>
  <c r="P267" i="16" s="1"/>
  <c r="P266" i="16" s="1"/>
  <c r="P265" i="16" s="1"/>
  <c r="P264" i="16" s="1"/>
  <c r="P263" i="16" s="1"/>
  <c r="P262" i="16" s="1"/>
  <c r="P261" i="16" s="1"/>
  <c r="P260" i="16" s="1"/>
  <c r="P259" i="16" s="1"/>
  <c r="P258" i="16" s="1"/>
  <c r="P257" i="16" s="1"/>
  <c r="P256" i="16" s="1"/>
  <c r="P255" i="16" s="1"/>
  <c r="P254" i="16" s="1"/>
  <c r="P253" i="16" s="1"/>
  <c r="P252" i="16" s="1"/>
  <c r="P251" i="16" s="1"/>
  <c r="P250" i="16" s="1"/>
  <c r="P249" i="16" s="1"/>
  <c r="P248" i="16" s="1"/>
  <c r="P247" i="16" s="1"/>
  <c r="P246" i="16" s="1"/>
  <c r="P245" i="16" s="1"/>
  <c r="P244" i="16" s="1"/>
  <c r="P243" i="16" s="1"/>
  <c r="P242" i="16" s="1"/>
  <c r="P241" i="16" s="1"/>
  <c r="P240" i="16" s="1"/>
  <c r="P239" i="16" s="1"/>
  <c r="P238" i="16" s="1"/>
  <c r="P237" i="16" s="1"/>
  <c r="P236" i="16" s="1"/>
  <c r="P235" i="16" s="1"/>
  <c r="P234" i="16" s="1"/>
  <c r="P233" i="16" s="1"/>
  <c r="P232" i="16" s="1"/>
  <c r="P231" i="16" s="1"/>
  <c r="P230" i="16" s="1"/>
  <c r="P229" i="16" s="1"/>
  <c r="P228" i="16" s="1"/>
  <c r="P227" i="16" s="1"/>
  <c r="P226" i="16" s="1"/>
  <c r="P225" i="16" s="1"/>
  <c r="P224" i="16" s="1"/>
  <c r="P223" i="16" s="1"/>
  <c r="P222" i="16" s="1"/>
  <c r="P221" i="16" s="1"/>
  <c r="P220" i="16" s="1"/>
  <c r="P219" i="16" s="1"/>
  <c r="P218" i="16" s="1"/>
  <c r="P217" i="16" s="1"/>
  <c r="P216" i="16" s="1"/>
  <c r="P215" i="16" s="1"/>
  <c r="P214" i="16" s="1"/>
  <c r="P213" i="16" s="1"/>
  <c r="P212" i="16" s="1"/>
  <c r="P211" i="16" s="1"/>
  <c r="P210" i="16" s="1"/>
  <c r="P209" i="16" s="1"/>
  <c r="P208" i="16" s="1"/>
  <c r="P207" i="16" s="1"/>
  <c r="P206" i="16" s="1"/>
  <c r="P205" i="16" s="1"/>
  <c r="P204" i="16" s="1"/>
  <c r="P203" i="16" s="1"/>
  <c r="P202" i="16" s="1"/>
  <c r="P201" i="16" s="1"/>
  <c r="P200" i="16" s="1"/>
  <c r="P199" i="16" s="1"/>
  <c r="P198" i="16" s="1"/>
  <c r="P197" i="16" s="1"/>
  <c r="P196" i="16" s="1"/>
  <c r="P195" i="16" s="1"/>
  <c r="P194" i="16" s="1"/>
  <c r="P193" i="16" s="1"/>
  <c r="P192" i="16" s="1"/>
  <c r="P191" i="16" s="1"/>
  <c r="P190" i="16" s="1"/>
  <c r="P189" i="16" s="1"/>
  <c r="P188" i="16" s="1"/>
  <c r="P187" i="16" s="1"/>
  <c r="P186" i="16" s="1"/>
  <c r="P185" i="16" s="1"/>
  <c r="P184" i="16" s="1"/>
  <c r="P183" i="16" s="1"/>
  <c r="P182" i="16" s="1"/>
  <c r="P181" i="16" s="1"/>
  <c r="P180" i="16" s="1"/>
  <c r="P179" i="16" s="1"/>
  <c r="P178" i="16" s="1"/>
  <c r="P177" i="16" s="1"/>
  <c r="P176" i="16" s="1"/>
  <c r="P175" i="16" s="1"/>
  <c r="P174" i="16" s="1"/>
  <c r="P173" i="16" s="1"/>
  <c r="P172" i="16" s="1"/>
  <c r="P171" i="16" s="1"/>
  <c r="P170" i="16" s="1"/>
  <c r="P169" i="16" s="1"/>
  <c r="P168" i="16" s="1"/>
  <c r="P167" i="16" s="1"/>
  <c r="P166" i="16" s="1"/>
  <c r="P165" i="16" s="1"/>
  <c r="P164" i="16" s="1"/>
  <c r="P163" i="16" s="1"/>
  <c r="P162" i="16" s="1"/>
  <c r="P161" i="16" s="1"/>
  <c r="P160" i="16" s="1"/>
  <c r="P159" i="16" s="1"/>
  <c r="P158" i="16" s="1"/>
  <c r="P157" i="16" s="1"/>
  <c r="P156" i="16" s="1"/>
  <c r="P155" i="16" s="1"/>
  <c r="P154" i="16" s="1"/>
  <c r="P153" i="16" s="1"/>
  <c r="P152" i="16" s="1"/>
  <c r="P151" i="16" s="1"/>
  <c r="P150" i="16" s="1"/>
  <c r="P149" i="16" s="1"/>
  <c r="P148" i="16" s="1"/>
  <c r="P147" i="16" s="1"/>
  <c r="P146" i="16" s="1"/>
  <c r="P145" i="16" s="1"/>
  <c r="P144" i="16" s="1"/>
  <c r="P143" i="16" s="1"/>
  <c r="P142" i="16" s="1"/>
  <c r="P141" i="16" s="1"/>
  <c r="P140" i="16" s="1"/>
  <c r="P139" i="16" s="1"/>
  <c r="P138" i="16" s="1"/>
  <c r="P137" i="16" s="1"/>
  <c r="P136" i="16" s="1"/>
  <c r="P135" i="16" s="1"/>
  <c r="P134" i="16" s="1"/>
  <c r="P133" i="16" s="1"/>
  <c r="P132" i="16" s="1"/>
  <c r="P131" i="16" s="1"/>
  <c r="P130" i="16" s="1"/>
  <c r="P129" i="16" s="1"/>
  <c r="P128" i="16" s="1"/>
  <c r="P127" i="16" s="1"/>
  <c r="P126" i="16" s="1"/>
  <c r="P125" i="16" s="1"/>
  <c r="P124" i="16" s="1"/>
  <c r="P123" i="16" s="1"/>
  <c r="P122" i="16" s="1"/>
  <c r="P121" i="16" s="1"/>
  <c r="P120" i="16" s="1"/>
  <c r="P119" i="16" s="1"/>
  <c r="P118" i="16" s="1"/>
  <c r="P117" i="16" s="1"/>
  <c r="P116" i="16" s="1"/>
  <c r="P115" i="16" s="1"/>
  <c r="P114" i="16" s="1"/>
  <c r="P113" i="16" s="1"/>
  <c r="P112" i="16" s="1"/>
  <c r="P111" i="16" s="1"/>
  <c r="P110" i="16" s="1"/>
  <c r="P109" i="16" s="1"/>
  <c r="P108" i="16" s="1"/>
  <c r="P107" i="16" s="1"/>
  <c r="P106" i="16" s="1"/>
  <c r="P105" i="16" s="1"/>
  <c r="P104" i="16" s="1"/>
  <c r="P103" i="16" s="1"/>
  <c r="P102" i="16" s="1"/>
  <c r="P101" i="16" s="1"/>
  <c r="P100" i="16" s="1"/>
  <c r="P99" i="16" s="1"/>
  <c r="P98" i="16" s="1"/>
  <c r="P97" i="16" s="1"/>
  <c r="P96" i="16" s="1"/>
  <c r="P95" i="16" s="1"/>
  <c r="P94" i="16" s="1"/>
  <c r="P93" i="16" s="1"/>
  <c r="P92" i="16" s="1"/>
  <c r="P91" i="16" s="1"/>
  <c r="P90" i="16" s="1"/>
  <c r="P89" i="16" s="1"/>
  <c r="P88" i="16" s="1"/>
  <c r="P87" i="16" s="1"/>
  <c r="P86" i="16" s="1"/>
  <c r="P85" i="16" s="1"/>
  <c r="P84" i="16" s="1"/>
  <c r="P83" i="16" s="1"/>
  <c r="P82" i="16" s="1"/>
  <c r="P81" i="16" s="1"/>
  <c r="P80" i="16" s="1"/>
  <c r="P79" i="16" s="1"/>
  <c r="P78" i="16" s="1"/>
  <c r="P77" i="16" s="1"/>
  <c r="P76" i="16" s="1"/>
  <c r="P75" i="16" s="1"/>
  <c r="P74" i="16" s="1"/>
  <c r="P73" i="16" s="1"/>
  <c r="P72" i="16" s="1"/>
  <c r="P71" i="16" s="1"/>
  <c r="P70" i="16" s="1"/>
  <c r="P69" i="16" s="1"/>
  <c r="P68" i="16" s="1"/>
  <c r="P67" i="16" s="1"/>
  <c r="P66" i="16" s="1"/>
  <c r="P65" i="16" s="1"/>
  <c r="P64" i="16" s="1"/>
  <c r="P63" i="16" s="1"/>
  <c r="P62" i="16" s="1"/>
  <c r="P61" i="16" s="1"/>
  <c r="P60" i="16" s="1"/>
  <c r="P59" i="16" s="1"/>
  <c r="P58" i="16" s="1"/>
  <c r="P57" i="16" s="1"/>
  <c r="P56" i="16" s="1"/>
  <c r="P55" i="16" s="1"/>
  <c r="P54" i="16" s="1"/>
  <c r="P53" i="16" s="1"/>
  <c r="P52" i="16" s="1"/>
  <c r="P51" i="16" s="1"/>
  <c r="P50" i="16" s="1"/>
  <c r="P49" i="16" s="1"/>
  <c r="P48" i="16" s="1"/>
  <c r="P47" i="16" s="1"/>
  <c r="P46" i="16" s="1"/>
  <c r="P45" i="16" s="1"/>
  <c r="P44" i="16" s="1"/>
  <c r="P43" i="16" s="1"/>
  <c r="P42" i="16" s="1"/>
  <c r="P41" i="16" s="1"/>
  <c r="P40" i="16" s="1"/>
  <c r="P39" i="16" s="1"/>
  <c r="P38" i="16" s="1"/>
  <c r="P37" i="16" s="1"/>
  <c r="P36" i="16" s="1"/>
  <c r="P35" i="16" s="1"/>
  <c r="P34" i="16" s="1"/>
  <c r="P33" i="16" s="1"/>
  <c r="P32" i="16" s="1"/>
  <c r="P31" i="16" s="1"/>
  <c r="P30" i="16" s="1"/>
  <c r="P29" i="16" s="1"/>
  <c r="P28" i="16" s="1"/>
  <c r="P27" i="16" s="1"/>
  <c r="P26" i="16" s="1"/>
  <c r="P25" i="16" s="1"/>
  <c r="P24" i="16" s="1"/>
  <c r="P23" i="16" s="1"/>
  <c r="P22" i="16" s="1"/>
  <c r="P21" i="16" s="1"/>
  <c r="P20" i="16" s="1"/>
  <c r="P19" i="16" s="1"/>
  <c r="P18" i="16" s="1"/>
  <c r="P17" i="16" s="1"/>
  <c r="P16" i="16" s="1"/>
  <c r="P15" i="16" s="1"/>
  <c r="P14" i="16" s="1"/>
  <c r="P13" i="16" s="1"/>
  <c r="P12" i="16" s="1"/>
  <c r="P11" i="16" s="1"/>
  <c r="P10" i="16" s="1"/>
  <c r="P9" i="16" s="1"/>
  <c r="P8" i="16" s="1"/>
  <c r="P7" i="16" s="1"/>
  <c r="P6" i="16" s="1"/>
  <c r="P5" i="16" s="1"/>
  <c r="P4" i="16" s="1"/>
  <c r="P3" i="16" s="1"/>
  <c r="O186" i="14"/>
  <c r="L194" i="14"/>
  <c r="O192" i="14"/>
  <c r="L187" i="14"/>
  <c r="O266" i="14"/>
  <c r="L274" i="14"/>
  <c r="O272" i="14"/>
  <c r="L267" i="14"/>
  <c r="W362" i="16"/>
  <c r="W361" i="16" s="1"/>
  <c r="W360" i="16" s="1"/>
  <c r="W359" i="16" s="1"/>
  <c r="W358" i="16" s="1"/>
  <c r="W357" i="16" s="1"/>
  <c r="W356" i="16" s="1"/>
  <c r="W355" i="16" s="1"/>
  <c r="W354" i="16" s="1"/>
  <c r="W353" i="16" s="1"/>
  <c r="W352" i="16" s="1"/>
  <c r="W351" i="16" s="1"/>
  <c r="W350" i="16" s="1"/>
  <c r="W349" i="16" s="1"/>
  <c r="W348" i="16" s="1"/>
  <c r="W347" i="16" s="1"/>
  <c r="W346" i="16" s="1"/>
  <c r="W345" i="16" s="1"/>
  <c r="W344" i="16" s="1"/>
  <c r="W343" i="16" s="1"/>
  <c r="W342" i="16" s="1"/>
  <c r="W341" i="16" s="1"/>
  <c r="W340" i="16" s="1"/>
  <c r="W339" i="16" s="1"/>
  <c r="W338" i="16" s="1"/>
  <c r="W337" i="16" s="1"/>
  <c r="W336" i="16" s="1"/>
  <c r="W335" i="16" s="1"/>
  <c r="W334" i="16" s="1"/>
  <c r="W333" i="16" s="1"/>
  <c r="W332" i="16" s="1"/>
  <c r="W331" i="16" s="1"/>
  <c r="W330" i="16" s="1"/>
  <c r="W329" i="16" s="1"/>
  <c r="W328" i="16" s="1"/>
  <c r="W327" i="16" s="1"/>
  <c r="W326" i="16" s="1"/>
  <c r="W325" i="16" s="1"/>
  <c r="W324" i="16" s="1"/>
  <c r="W323" i="16" s="1"/>
  <c r="W322" i="16" s="1"/>
  <c r="W321" i="16" s="1"/>
  <c r="W320" i="16" s="1"/>
  <c r="W319" i="16" s="1"/>
  <c r="W318" i="16" s="1"/>
  <c r="W317" i="16" s="1"/>
  <c r="W316" i="16" s="1"/>
  <c r="W315" i="16" s="1"/>
  <c r="W314" i="16" s="1"/>
  <c r="W313" i="16" s="1"/>
  <c r="W312" i="16" s="1"/>
  <c r="W311" i="16" s="1"/>
  <c r="W310" i="16" s="1"/>
  <c r="W309" i="16" s="1"/>
  <c r="W308" i="16" s="1"/>
  <c r="W307" i="16" s="1"/>
  <c r="W306" i="16" s="1"/>
  <c r="W305" i="16" s="1"/>
  <c r="W304" i="16" s="1"/>
  <c r="W303" i="16" s="1"/>
  <c r="W302" i="16" s="1"/>
  <c r="W301" i="16" s="1"/>
  <c r="W300" i="16" s="1"/>
  <c r="W299" i="16" s="1"/>
  <c r="W298" i="16" s="1"/>
  <c r="W297" i="16" s="1"/>
  <c r="W296" i="16" s="1"/>
  <c r="W295" i="16" s="1"/>
  <c r="W294" i="16" s="1"/>
  <c r="W293" i="16" s="1"/>
  <c r="W292" i="16" s="1"/>
  <c r="W291" i="16" s="1"/>
  <c r="W290" i="16" s="1"/>
  <c r="W289" i="16" s="1"/>
  <c r="W288" i="16" s="1"/>
  <c r="W287" i="16" s="1"/>
  <c r="W286" i="16" s="1"/>
  <c r="W285" i="16" s="1"/>
  <c r="W284" i="16" s="1"/>
  <c r="W283" i="16" s="1"/>
  <c r="W282" i="16" s="1"/>
  <c r="W281" i="16" s="1"/>
  <c r="W280" i="16" s="1"/>
  <c r="W279" i="16" s="1"/>
  <c r="W278" i="16" s="1"/>
  <c r="W277" i="16" s="1"/>
  <c r="W276" i="16" s="1"/>
  <c r="W275" i="16" s="1"/>
  <c r="W274" i="16" s="1"/>
  <c r="W273" i="16" s="1"/>
  <c r="W272" i="16" s="1"/>
  <c r="W271" i="16" s="1"/>
  <c r="W270" i="16" s="1"/>
  <c r="W269" i="16" s="1"/>
  <c r="W268" i="16" s="1"/>
  <c r="W267" i="16" s="1"/>
  <c r="W266" i="16" s="1"/>
  <c r="W265" i="16" s="1"/>
  <c r="W264" i="16" s="1"/>
  <c r="W263" i="16" s="1"/>
  <c r="W262" i="16" s="1"/>
  <c r="W261" i="16" s="1"/>
  <c r="W260" i="16" s="1"/>
  <c r="W259" i="16" s="1"/>
  <c r="W258" i="16" s="1"/>
  <c r="W257" i="16" s="1"/>
  <c r="W256" i="16" s="1"/>
  <c r="W255" i="16" s="1"/>
  <c r="W254" i="16" s="1"/>
  <c r="W253" i="16" s="1"/>
  <c r="W252" i="16" s="1"/>
  <c r="W251" i="16" s="1"/>
  <c r="W250" i="16" s="1"/>
  <c r="W249" i="16" s="1"/>
  <c r="W248" i="16" s="1"/>
  <c r="W247" i="16" s="1"/>
  <c r="W246" i="16" s="1"/>
  <c r="W245" i="16" s="1"/>
  <c r="W244" i="16" s="1"/>
  <c r="W243" i="16" s="1"/>
  <c r="W242" i="16" s="1"/>
  <c r="W241" i="16" s="1"/>
  <c r="W240" i="16" s="1"/>
  <c r="W239" i="16" s="1"/>
  <c r="W238" i="16" s="1"/>
  <c r="W237" i="16" s="1"/>
  <c r="W236" i="16" s="1"/>
  <c r="W235" i="16" s="1"/>
  <c r="W234" i="16" s="1"/>
  <c r="W233" i="16" s="1"/>
  <c r="W232" i="16" s="1"/>
  <c r="W231" i="16" s="1"/>
  <c r="W230" i="16" s="1"/>
  <c r="W229" i="16" s="1"/>
  <c r="W228" i="16" s="1"/>
  <c r="W227" i="16" s="1"/>
  <c r="W226" i="16" s="1"/>
  <c r="W225" i="16" s="1"/>
  <c r="W224" i="16" s="1"/>
  <c r="W223" i="16" s="1"/>
  <c r="W222" i="16" s="1"/>
  <c r="W221" i="16" s="1"/>
  <c r="W220" i="16" s="1"/>
  <c r="W219" i="16" s="1"/>
  <c r="W218" i="16" s="1"/>
  <c r="W217" i="16" s="1"/>
  <c r="W216" i="16" s="1"/>
  <c r="W215" i="16" s="1"/>
  <c r="W214" i="16" s="1"/>
  <c r="W213" i="16" s="1"/>
  <c r="W212" i="16" s="1"/>
  <c r="W211" i="16" s="1"/>
  <c r="W210" i="16" s="1"/>
  <c r="W209" i="16" s="1"/>
  <c r="W208" i="16" s="1"/>
  <c r="W207" i="16" s="1"/>
  <c r="W206" i="16" s="1"/>
  <c r="W205" i="16" s="1"/>
  <c r="W204" i="16" s="1"/>
  <c r="W203" i="16" s="1"/>
  <c r="W202" i="16" s="1"/>
  <c r="W201" i="16" s="1"/>
  <c r="W200" i="16" s="1"/>
  <c r="W199" i="16" s="1"/>
  <c r="W198" i="16" s="1"/>
  <c r="W197" i="16" s="1"/>
  <c r="W196" i="16" s="1"/>
  <c r="W195" i="16" s="1"/>
  <c r="W194" i="16" s="1"/>
  <c r="W193" i="16" s="1"/>
  <c r="W192" i="16" s="1"/>
  <c r="W191" i="16" s="1"/>
  <c r="W190" i="16" s="1"/>
  <c r="W189" i="16" s="1"/>
  <c r="W188" i="16" s="1"/>
  <c r="W187" i="16" s="1"/>
  <c r="W186" i="16" s="1"/>
  <c r="W185" i="16" s="1"/>
  <c r="W184" i="16" s="1"/>
  <c r="W183" i="16" s="1"/>
  <c r="W182" i="16" s="1"/>
  <c r="W181" i="16" s="1"/>
  <c r="W180" i="16" s="1"/>
  <c r="W179" i="16" s="1"/>
  <c r="W178" i="16" s="1"/>
  <c r="W177" i="16" s="1"/>
  <c r="W176" i="16" s="1"/>
  <c r="W175" i="16" s="1"/>
  <c r="W174" i="16" s="1"/>
  <c r="W173" i="16" s="1"/>
  <c r="W172" i="16" s="1"/>
  <c r="W171" i="16" s="1"/>
  <c r="W170" i="16" s="1"/>
  <c r="W169" i="16" s="1"/>
  <c r="W168" i="16" s="1"/>
  <c r="W167" i="16" s="1"/>
  <c r="W166" i="16" s="1"/>
  <c r="W165" i="16" s="1"/>
  <c r="W164" i="16" s="1"/>
  <c r="W163" i="16" s="1"/>
  <c r="W162" i="16" s="1"/>
  <c r="W161" i="16" s="1"/>
  <c r="W160" i="16" s="1"/>
  <c r="W159" i="16" s="1"/>
  <c r="W158" i="16" s="1"/>
  <c r="W157" i="16" s="1"/>
  <c r="W156" i="16" s="1"/>
  <c r="W155" i="16" s="1"/>
  <c r="W154" i="16" s="1"/>
  <c r="W153" i="16" s="1"/>
  <c r="W152" i="16" s="1"/>
  <c r="W151" i="16" s="1"/>
  <c r="W150" i="16" s="1"/>
  <c r="W149" i="16" s="1"/>
  <c r="W148" i="16" s="1"/>
  <c r="W147" i="16" s="1"/>
  <c r="W146" i="16" s="1"/>
  <c r="W145" i="16" s="1"/>
  <c r="W144" i="16" s="1"/>
  <c r="W143" i="16" s="1"/>
  <c r="W142" i="16" s="1"/>
  <c r="W141" i="16" s="1"/>
  <c r="W140" i="16" s="1"/>
  <c r="W139" i="16" s="1"/>
  <c r="W138" i="16" s="1"/>
  <c r="W137" i="16" s="1"/>
  <c r="W136" i="16" s="1"/>
  <c r="W135" i="16" s="1"/>
  <c r="W134" i="16" s="1"/>
  <c r="W133" i="16" s="1"/>
  <c r="W132" i="16" s="1"/>
  <c r="W131" i="16" s="1"/>
  <c r="W130" i="16" s="1"/>
  <c r="W129" i="16" s="1"/>
  <c r="W128" i="16" s="1"/>
  <c r="W127" i="16" s="1"/>
  <c r="W126" i="16" s="1"/>
  <c r="W125" i="16" s="1"/>
  <c r="W124" i="16" s="1"/>
  <c r="W123" i="16" s="1"/>
  <c r="W122" i="16" s="1"/>
  <c r="W121" i="16" s="1"/>
  <c r="W120" i="16" s="1"/>
  <c r="W119" i="16" s="1"/>
  <c r="W118" i="16" s="1"/>
  <c r="W117" i="16" s="1"/>
  <c r="W116" i="16" s="1"/>
  <c r="W115" i="16" s="1"/>
  <c r="W114" i="16" s="1"/>
  <c r="W113" i="16" s="1"/>
  <c r="W112" i="16" s="1"/>
  <c r="W111" i="16" s="1"/>
  <c r="W110" i="16" s="1"/>
  <c r="W109" i="16" s="1"/>
  <c r="W108" i="16" s="1"/>
  <c r="W107" i="16" s="1"/>
  <c r="W106" i="16" s="1"/>
  <c r="W105" i="16" s="1"/>
  <c r="W104" i="16" s="1"/>
  <c r="W103" i="16" s="1"/>
  <c r="W102" i="16" s="1"/>
  <c r="W101" i="16" s="1"/>
  <c r="W100" i="16" s="1"/>
  <c r="W99" i="16" s="1"/>
  <c r="W98" i="16" s="1"/>
  <c r="W97" i="16" s="1"/>
  <c r="W96" i="16" s="1"/>
  <c r="W95" i="16" s="1"/>
  <c r="W94" i="16" s="1"/>
  <c r="W93" i="16" s="1"/>
  <c r="W92" i="16" s="1"/>
  <c r="W91" i="16" s="1"/>
  <c r="W90" i="16" s="1"/>
  <c r="W89" i="16" s="1"/>
  <c r="W88" i="16" s="1"/>
  <c r="W87" i="16" s="1"/>
  <c r="W86" i="16" s="1"/>
  <c r="W85" i="16" s="1"/>
  <c r="W84" i="16" s="1"/>
  <c r="W83" i="16" s="1"/>
  <c r="W82" i="16" s="1"/>
  <c r="W81" i="16" s="1"/>
  <c r="W80" i="16" s="1"/>
  <c r="W79" i="16" s="1"/>
  <c r="W78" i="16" s="1"/>
  <c r="W77" i="16" s="1"/>
  <c r="W76" i="16" s="1"/>
  <c r="W75" i="16" s="1"/>
  <c r="W74" i="16" s="1"/>
  <c r="W73" i="16" s="1"/>
  <c r="W72" i="16" s="1"/>
  <c r="W71" i="16" s="1"/>
  <c r="W70" i="16" s="1"/>
  <c r="W69" i="16" s="1"/>
  <c r="W68" i="16" s="1"/>
  <c r="W67" i="16" s="1"/>
  <c r="W66" i="16" s="1"/>
  <c r="W65" i="16" s="1"/>
  <c r="W64" i="16" s="1"/>
  <c r="W63" i="16" s="1"/>
  <c r="W62" i="16" s="1"/>
  <c r="W61" i="16" s="1"/>
  <c r="W60" i="16" s="1"/>
  <c r="W59" i="16" s="1"/>
  <c r="W58" i="16" s="1"/>
  <c r="W57" i="16" s="1"/>
  <c r="W56" i="16" s="1"/>
  <c r="W55" i="16" s="1"/>
  <c r="W54" i="16" s="1"/>
  <c r="W53" i="16" s="1"/>
  <c r="W52" i="16" s="1"/>
  <c r="W51" i="16" s="1"/>
  <c r="W50" i="16" s="1"/>
  <c r="W49" i="16" s="1"/>
  <c r="W48" i="16" s="1"/>
  <c r="W47" i="16" s="1"/>
  <c r="W46" i="16" s="1"/>
  <c r="W45" i="16" s="1"/>
  <c r="W44" i="16" s="1"/>
  <c r="W43" i="16" s="1"/>
  <c r="W42" i="16" s="1"/>
  <c r="W41" i="16" s="1"/>
  <c r="W40" i="16" s="1"/>
  <c r="W39" i="16" s="1"/>
  <c r="W38" i="16" s="1"/>
  <c r="W37" i="16" s="1"/>
  <c r="W36" i="16" s="1"/>
  <c r="W35" i="16" s="1"/>
  <c r="W34" i="16" s="1"/>
  <c r="W33" i="16" s="1"/>
  <c r="W32" i="16" s="1"/>
  <c r="W31" i="16" s="1"/>
  <c r="W30" i="16" s="1"/>
  <c r="W29" i="16" s="1"/>
  <c r="W28" i="16" s="1"/>
  <c r="W27" i="16" s="1"/>
  <c r="W26" i="16" s="1"/>
  <c r="W25" i="16" s="1"/>
  <c r="W24" i="16" s="1"/>
  <c r="W23" i="16" s="1"/>
  <c r="W22" i="16" s="1"/>
  <c r="W21" i="16" s="1"/>
  <c r="W20" i="16" s="1"/>
  <c r="W19" i="16" s="1"/>
  <c r="W18" i="16" s="1"/>
  <c r="W17" i="16" s="1"/>
  <c r="W16" i="16" s="1"/>
  <c r="W15" i="16" s="1"/>
  <c r="W14" i="16" s="1"/>
  <c r="W13" i="16" s="1"/>
  <c r="W12" i="16" s="1"/>
  <c r="W11" i="16" s="1"/>
  <c r="W10" i="16" s="1"/>
  <c r="W9" i="16" s="1"/>
  <c r="W8" i="16" s="1"/>
  <c r="W7" i="16" s="1"/>
  <c r="W6" i="16" s="1"/>
  <c r="W5" i="16" s="1"/>
  <c r="W4" i="16" s="1"/>
  <c r="W3" i="16" s="1"/>
  <c r="Z363" i="16"/>
  <c r="U363" i="16"/>
  <c r="R362" i="16"/>
  <c r="R361" i="16" s="1"/>
  <c r="R360" i="16" s="1"/>
  <c r="R359" i="16" s="1"/>
  <c r="R358" i="16" s="1"/>
  <c r="R357" i="16" s="1"/>
  <c r="R356" i="16" s="1"/>
  <c r="R355" i="16" s="1"/>
  <c r="R354" i="16" s="1"/>
  <c r="R353" i="16" s="1"/>
  <c r="R352" i="16" s="1"/>
  <c r="R351" i="16" s="1"/>
  <c r="R350" i="16" s="1"/>
  <c r="R349" i="16" s="1"/>
  <c r="R348" i="16" s="1"/>
  <c r="R347" i="16" s="1"/>
  <c r="R346" i="16" s="1"/>
  <c r="R345" i="16" s="1"/>
  <c r="R344" i="16" s="1"/>
  <c r="R343" i="16" s="1"/>
  <c r="R342" i="16" s="1"/>
  <c r="R341" i="16" s="1"/>
  <c r="R340" i="16" s="1"/>
  <c r="R339" i="16" s="1"/>
  <c r="R338" i="16" s="1"/>
  <c r="R337" i="16" s="1"/>
  <c r="R336" i="16" s="1"/>
  <c r="R335" i="16" s="1"/>
  <c r="R334" i="16" s="1"/>
  <c r="R333" i="16" s="1"/>
  <c r="R332" i="16" s="1"/>
  <c r="R331" i="16" s="1"/>
  <c r="R330" i="16" s="1"/>
  <c r="R329" i="16" s="1"/>
  <c r="R328" i="16" s="1"/>
  <c r="R327" i="16" s="1"/>
  <c r="R326" i="16" s="1"/>
  <c r="R325" i="16" s="1"/>
  <c r="R324" i="16" s="1"/>
  <c r="R323" i="16" s="1"/>
  <c r="R322" i="16" s="1"/>
  <c r="R321" i="16" s="1"/>
  <c r="R320" i="16" s="1"/>
  <c r="R319" i="16" s="1"/>
  <c r="R318" i="16" s="1"/>
  <c r="R317" i="16" s="1"/>
  <c r="R316" i="16" s="1"/>
  <c r="R315" i="16" s="1"/>
  <c r="R314" i="16" s="1"/>
  <c r="R313" i="16" s="1"/>
  <c r="R312" i="16" s="1"/>
  <c r="R311" i="16" s="1"/>
  <c r="R310" i="16" s="1"/>
  <c r="R309" i="16" s="1"/>
  <c r="R308" i="16" s="1"/>
  <c r="R307" i="16" s="1"/>
  <c r="R306" i="16" s="1"/>
  <c r="R305" i="16" s="1"/>
  <c r="R304" i="16" s="1"/>
  <c r="R303" i="16" s="1"/>
  <c r="R302" i="16" s="1"/>
  <c r="R301" i="16" s="1"/>
  <c r="R300" i="16" s="1"/>
  <c r="R299" i="16" s="1"/>
  <c r="R298" i="16" s="1"/>
  <c r="R297" i="16" s="1"/>
  <c r="R296" i="16" s="1"/>
  <c r="R295" i="16" s="1"/>
  <c r="R294" i="16" s="1"/>
  <c r="R293" i="16" s="1"/>
  <c r="R292" i="16" s="1"/>
  <c r="R291" i="16" s="1"/>
  <c r="R290" i="16" s="1"/>
  <c r="R289" i="16" s="1"/>
  <c r="R288" i="16" s="1"/>
  <c r="R287" i="16" s="1"/>
  <c r="R286" i="16" s="1"/>
  <c r="R285" i="16" s="1"/>
  <c r="R284" i="16" s="1"/>
  <c r="R283" i="16" s="1"/>
  <c r="R282" i="16" s="1"/>
  <c r="R281" i="16" s="1"/>
  <c r="R280" i="16" s="1"/>
  <c r="R279" i="16" s="1"/>
  <c r="R278" i="16" s="1"/>
  <c r="R277" i="16" s="1"/>
  <c r="R276" i="16" s="1"/>
  <c r="R275" i="16" s="1"/>
  <c r="R274" i="16" s="1"/>
  <c r="R273" i="16" s="1"/>
  <c r="R272" i="16" s="1"/>
  <c r="R271" i="16" s="1"/>
  <c r="R270" i="16" s="1"/>
  <c r="R269" i="16" s="1"/>
  <c r="R268" i="16" s="1"/>
  <c r="R267" i="16" s="1"/>
  <c r="R266" i="16" s="1"/>
  <c r="R265" i="16" s="1"/>
  <c r="R264" i="16" s="1"/>
  <c r="R263" i="16" s="1"/>
  <c r="R262" i="16" s="1"/>
  <c r="R261" i="16" s="1"/>
  <c r="R260" i="16" s="1"/>
  <c r="R259" i="16" s="1"/>
  <c r="R258" i="16" s="1"/>
  <c r="R257" i="16" s="1"/>
  <c r="R256" i="16" s="1"/>
  <c r="R255" i="16" s="1"/>
  <c r="R254" i="16" s="1"/>
  <c r="R253" i="16" s="1"/>
  <c r="R252" i="16" s="1"/>
  <c r="R251" i="16" s="1"/>
  <c r="R250" i="16" s="1"/>
  <c r="R249" i="16" s="1"/>
  <c r="R248" i="16" s="1"/>
  <c r="R247" i="16" s="1"/>
  <c r="R246" i="16" s="1"/>
  <c r="R245" i="16" s="1"/>
  <c r="R244" i="16" s="1"/>
  <c r="R243" i="16" s="1"/>
  <c r="R242" i="16" s="1"/>
  <c r="R241" i="16" s="1"/>
  <c r="R240" i="16" s="1"/>
  <c r="R239" i="16" s="1"/>
  <c r="R238" i="16" s="1"/>
  <c r="R237" i="16" s="1"/>
  <c r="R236" i="16" s="1"/>
  <c r="R235" i="16" s="1"/>
  <c r="R234" i="16" s="1"/>
  <c r="R233" i="16" s="1"/>
  <c r="R232" i="16" s="1"/>
  <c r="R231" i="16" s="1"/>
  <c r="R230" i="16" s="1"/>
  <c r="R229" i="16" s="1"/>
  <c r="R228" i="16" s="1"/>
  <c r="R227" i="16" s="1"/>
  <c r="R226" i="16" s="1"/>
  <c r="R225" i="16" s="1"/>
  <c r="R224" i="16" s="1"/>
  <c r="R223" i="16" s="1"/>
  <c r="R222" i="16" s="1"/>
  <c r="R221" i="16" s="1"/>
  <c r="R220" i="16" s="1"/>
  <c r="R219" i="16" s="1"/>
  <c r="R218" i="16" s="1"/>
  <c r="R217" i="16" s="1"/>
  <c r="R216" i="16" s="1"/>
  <c r="R215" i="16" s="1"/>
  <c r="R214" i="16" s="1"/>
  <c r="R213" i="16" s="1"/>
  <c r="R212" i="16" s="1"/>
  <c r="R211" i="16" s="1"/>
  <c r="R210" i="16" s="1"/>
  <c r="R209" i="16" s="1"/>
  <c r="R208" i="16" s="1"/>
  <c r="R207" i="16" s="1"/>
  <c r="R206" i="16" s="1"/>
  <c r="R205" i="16" s="1"/>
  <c r="R204" i="16" s="1"/>
  <c r="R203" i="16" s="1"/>
  <c r="R202" i="16" s="1"/>
  <c r="R201" i="16" s="1"/>
  <c r="R200" i="16" s="1"/>
  <c r="R199" i="16" s="1"/>
  <c r="R198" i="16" s="1"/>
  <c r="R197" i="16" s="1"/>
  <c r="R196" i="16" s="1"/>
  <c r="R195" i="16" s="1"/>
  <c r="R194" i="16" s="1"/>
  <c r="R193" i="16" s="1"/>
  <c r="R192" i="16" s="1"/>
  <c r="R191" i="16" s="1"/>
  <c r="R190" i="16" s="1"/>
  <c r="R189" i="16" s="1"/>
  <c r="R188" i="16" s="1"/>
  <c r="R187" i="16" s="1"/>
  <c r="R186" i="16" s="1"/>
  <c r="R185" i="16" s="1"/>
  <c r="R184" i="16" s="1"/>
  <c r="R183" i="16" s="1"/>
  <c r="R182" i="16" s="1"/>
  <c r="R181" i="16" s="1"/>
  <c r="R180" i="16" s="1"/>
  <c r="R179" i="16" s="1"/>
  <c r="R178" i="16" s="1"/>
  <c r="R177" i="16" s="1"/>
  <c r="R176" i="16" s="1"/>
  <c r="R175" i="16" s="1"/>
  <c r="R174" i="16" s="1"/>
  <c r="R173" i="16" s="1"/>
  <c r="R172" i="16" s="1"/>
  <c r="R171" i="16" s="1"/>
  <c r="R170" i="16" s="1"/>
  <c r="R169" i="16" s="1"/>
  <c r="R168" i="16" s="1"/>
  <c r="R167" i="16" s="1"/>
  <c r="R166" i="16" s="1"/>
  <c r="R165" i="16" s="1"/>
  <c r="R164" i="16" s="1"/>
  <c r="R163" i="16" s="1"/>
  <c r="R162" i="16" s="1"/>
  <c r="R161" i="16" s="1"/>
  <c r="R160" i="16" s="1"/>
  <c r="R159" i="16" s="1"/>
  <c r="R158" i="16" s="1"/>
  <c r="R157" i="16" s="1"/>
  <c r="R156" i="16" s="1"/>
  <c r="R155" i="16" s="1"/>
  <c r="R154" i="16" s="1"/>
  <c r="R153" i="16" s="1"/>
  <c r="R152" i="16" s="1"/>
  <c r="R151" i="16" s="1"/>
  <c r="R150" i="16" s="1"/>
  <c r="R149" i="16" s="1"/>
  <c r="R148" i="16" s="1"/>
  <c r="R147" i="16" s="1"/>
  <c r="R146" i="16" s="1"/>
  <c r="R145" i="16" s="1"/>
  <c r="R144" i="16" s="1"/>
  <c r="R143" i="16" s="1"/>
  <c r="R142" i="16" s="1"/>
  <c r="R141" i="16" s="1"/>
  <c r="R140" i="16" s="1"/>
  <c r="R139" i="16" s="1"/>
  <c r="R138" i="16" s="1"/>
  <c r="R137" i="16" s="1"/>
  <c r="R136" i="16" s="1"/>
  <c r="R135" i="16" s="1"/>
  <c r="R134" i="16" s="1"/>
  <c r="R133" i="16" s="1"/>
  <c r="R132" i="16" s="1"/>
  <c r="R131" i="16" s="1"/>
  <c r="R130" i="16" s="1"/>
  <c r="R129" i="16" s="1"/>
  <c r="R128" i="16" s="1"/>
  <c r="R127" i="16" s="1"/>
  <c r="R126" i="16" s="1"/>
  <c r="R125" i="16" s="1"/>
  <c r="R124" i="16" s="1"/>
  <c r="R123" i="16" s="1"/>
  <c r="R122" i="16" s="1"/>
  <c r="R121" i="16" s="1"/>
  <c r="R120" i="16" s="1"/>
  <c r="R119" i="16" s="1"/>
  <c r="R118" i="16" s="1"/>
  <c r="R117" i="16" s="1"/>
  <c r="R116" i="16" s="1"/>
  <c r="R115" i="16" s="1"/>
  <c r="R114" i="16" s="1"/>
  <c r="R113" i="16" s="1"/>
  <c r="R112" i="16" s="1"/>
  <c r="R111" i="16" s="1"/>
  <c r="R110" i="16" s="1"/>
  <c r="R109" i="16" s="1"/>
  <c r="R108" i="16" s="1"/>
  <c r="R107" i="16" s="1"/>
  <c r="R106" i="16" s="1"/>
  <c r="R105" i="16" s="1"/>
  <c r="R104" i="16" s="1"/>
  <c r="R103" i="16" s="1"/>
  <c r="R102" i="16" s="1"/>
  <c r="R101" i="16" s="1"/>
  <c r="R100" i="16" s="1"/>
  <c r="R99" i="16" s="1"/>
  <c r="R98" i="16" s="1"/>
  <c r="R97" i="16" s="1"/>
  <c r="R96" i="16" s="1"/>
  <c r="R95" i="16" s="1"/>
  <c r="R94" i="16" s="1"/>
  <c r="R93" i="16" s="1"/>
  <c r="R92" i="16" s="1"/>
  <c r="R91" i="16" s="1"/>
  <c r="R90" i="16" s="1"/>
  <c r="R89" i="16" s="1"/>
  <c r="R88" i="16" s="1"/>
  <c r="R87" i="16" s="1"/>
  <c r="R86" i="16" s="1"/>
  <c r="R85" i="16" s="1"/>
  <c r="R84" i="16" s="1"/>
  <c r="R83" i="16" s="1"/>
  <c r="R82" i="16" s="1"/>
  <c r="R81" i="16" s="1"/>
  <c r="R80" i="16" s="1"/>
  <c r="R79" i="16" s="1"/>
  <c r="R78" i="16" s="1"/>
  <c r="R77" i="16" s="1"/>
  <c r="R76" i="16" s="1"/>
  <c r="R75" i="16" s="1"/>
  <c r="R74" i="16" s="1"/>
  <c r="R73" i="16" s="1"/>
  <c r="R72" i="16" s="1"/>
  <c r="R71" i="16" s="1"/>
  <c r="R70" i="16" s="1"/>
  <c r="R69" i="16" s="1"/>
  <c r="R68" i="16" s="1"/>
  <c r="R67" i="16" s="1"/>
  <c r="R66" i="16" s="1"/>
  <c r="R65" i="16" s="1"/>
  <c r="R64" i="16" s="1"/>
  <c r="R63" i="16" s="1"/>
  <c r="R62" i="16" s="1"/>
  <c r="R61" i="16" s="1"/>
  <c r="R60" i="16" s="1"/>
  <c r="R59" i="16" s="1"/>
  <c r="R58" i="16" s="1"/>
  <c r="R57" i="16" s="1"/>
  <c r="R56" i="16" s="1"/>
  <c r="R55" i="16" s="1"/>
  <c r="R54" i="16" s="1"/>
  <c r="R53" i="16" s="1"/>
  <c r="R52" i="16" s="1"/>
  <c r="R51" i="16" s="1"/>
  <c r="R50" i="16" s="1"/>
  <c r="R49" i="16" s="1"/>
  <c r="R48" i="16" s="1"/>
  <c r="R47" i="16" s="1"/>
  <c r="R46" i="16" s="1"/>
  <c r="R45" i="16" s="1"/>
  <c r="R44" i="16" s="1"/>
  <c r="R43" i="16" s="1"/>
  <c r="R42" i="16" s="1"/>
  <c r="R41" i="16" s="1"/>
  <c r="R40" i="16" s="1"/>
  <c r="R39" i="16" s="1"/>
  <c r="R38" i="16" s="1"/>
  <c r="R37" i="16" s="1"/>
  <c r="R36" i="16" s="1"/>
  <c r="R35" i="16" s="1"/>
  <c r="R34" i="16" s="1"/>
  <c r="R33" i="16" s="1"/>
  <c r="R32" i="16" s="1"/>
  <c r="R31" i="16" s="1"/>
  <c r="R30" i="16" s="1"/>
  <c r="R29" i="16" s="1"/>
  <c r="R28" i="16" s="1"/>
  <c r="R27" i="16" s="1"/>
  <c r="R26" i="16" s="1"/>
  <c r="R25" i="16" s="1"/>
  <c r="R24" i="16" s="1"/>
  <c r="R23" i="16" s="1"/>
  <c r="R22" i="16" s="1"/>
  <c r="R21" i="16" s="1"/>
  <c r="R20" i="16" s="1"/>
  <c r="R19" i="16" s="1"/>
  <c r="R18" i="16" s="1"/>
  <c r="R17" i="16" s="1"/>
  <c r="R16" i="16" s="1"/>
  <c r="R15" i="16" s="1"/>
  <c r="R14" i="16" s="1"/>
  <c r="R13" i="16" s="1"/>
  <c r="R12" i="16" s="1"/>
  <c r="R11" i="16" s="1"/>
  <c r="R10" i="16" s="1"/>
  <c r="R9" i="16" s="1"/>
  <c r="R8" i="16" s="1"/>
  <c r="R7" i="16" s="1"/>
  <c r="R6" i="16" s="1"/>
  <c r="R5" i="16" s="1"/>
  <c r="R4" i="16" s="1"/>
  <c r="R3" i="16" s="1"/>
  <c r="M363" i="16"/>
  <c r="M362" i="16" s="1"/>
  <c r="M361" i="16" s="1"/>
  <c r="M360" i="16" s="1"/>
  <c r="M359" i="16" s="1"/>
  <c r="M358" i="16" s="1"/>
  <c r="M357" i="16" s="1"/>
  <c r="M356" i="16" s="1"/>
  <c r="M355" i="16" s="1"/>
  <c r="M354" i="16" s="1"/>
  <c r="M353" i="16" s="1"/>
  <c r="M352" i="16" s="1"/>
  <c r="M351" i="16" s="1"/>
  <c r="M350" i="16" s="1"/>
  <c r="M349" i="16" s="1"/>
  <c r="M348" i="16" s="1"/>
  <c r="M347" i="16" s="1"/>
  <c r="M346" i="16" s="1"/>
  <c r="M345" i="16" s="1"/>
  <c r="M344" i="16" s="1"/>
  <c r="M343" i="16" s="1"/>
  <c r="M342" i="16" s="1"/>
  <c r="M341" i="16" s="1"/>
  <c r="M340" i="16" s="1"/>
  <c r="M339" i="16" s="1"/>
  <c r="M338" i="16" s="1"/>
  <c r="M337" i="16" s="1"/>
  <c r="M336" i="16" s="1"/>
  <c r="M335" i="16" s="1"/>
  <c r="M334" i="16" s="1"/>
  <c r="M333" i="16" s="1"/>
  <c r="M332" i="16" s="1"/>
  <c r="M331" i="16" s="1"/>
  <c r="M330" i="16" s="1"/>
  <c r="M329" i="16" s="1"/>
  <c r="M328" i="16" s="1"/>
  <c r="M327" i="16" s="1"/>
  <c r="M326" i="16" s="1"/>
  <c r="M325" i="16" s="1"/>
  <c r="M324" i="16" s="1"/>
  <c r="M323" i="16" s="1"/>
  <c r="M322" i="16" s="1"/>
  <c r="M321" i="16" s="1"/>
  <c r="M320" i="16" s="1"/>
  <c r="M319" i="16" s="1"/>
  <c r="M318" i="16" s="1"/>
  <c r="M317" i="16" s="1"/>
  <c r="M316" i="16" s="1"/>
  <c r="M315" i="16" s="1"/>
  <c r="M314" i="16" s="1"/>
  <c r="M313" i="16" s="1"/>
  <c r="M312" i="16" s="1"/>
  <c r="M311" i="16" s="1"/>
  <c r="M310" i="16" s="1"/>
  <c r="M309" i="16" s="1"/>
  <c r="M308" i="16" s="1"/>
  <c r="M307" i="16" s="1"/>
  <c r="M306" i="16" s="1"/>
  <c r="M305" i="16" s="1"/>
  <c r="M304" i="16" s="1"/>
  <c r="M303" i="16" s="1"/>
  <c r="M302" i="16" s="1"/>
  <c r="M301" i="16" s="1"/>
  <c r="M300" i="16" s="1"/>
  <c r="M299" i="16" s="1"/>
  <c r="M298" i="16" s="1"/>
  <c r="M297" i="16" s="1"/>
  <c r="M296" i="16" s="1"/>
  <c r="M295" i="16" s="1"/>
  <c r="M294" i="16" s="1"/>
  <c r="M293" i="16" s="1"/>
  <c r="M292" i="16" s="1"/>
  <c r="M291" i="16" s="1"/>
  <c r="M290" i="16" s="1"/>
  <c r="M289" i="16" s="1"/>
  <c r="M288" i="16" s="1"/>
  <c r="M287" i="16" s="1"/>
  <c r="M286" i="16" s="1"/>
  <c r="M285" i="16" s="1"/>
  <c r="M284" i="16" s="1"/>
  <c r="M283" i="16" s="1"/>
  <c r="M282" i="16" s="1"/>
  <c r="M281" i="16" s="1"/>
  <c r="M280" i="16" s="1"/>
  <c r="M279" i="16" s="1"/>
  <c r="M278" i="16" s="1"/>
  <c r="M277" i="16" s="1"/>
  <c r="M276" i="16" s="1"/>
  <c r="M275" i="16" s="1"/>
  <c r="M274" i="16" s="1"/>
  <c r="M273" i="16" s="1"/>
  <c r="M272" i="16" s="1"/>
  <c r="M271" i="16" s="1"/>
  <c r="M270" i="16" s="1"/>
  <c r="M269" i="16" s="1"/>
  <c r="M268" i="16" s="1"/>
  <c r="M267" i="16" s="1"/>
  <c r="M266" i="16" s="1"/>
  <c r="M265" i="16" s="1"/>
  <c r="M264" i="16" s="1"/>
  <c r="M263" i="16" s="1"/>
  <c r="M262" i="16" s="1"/>
  <c r="M261" i="16" s="1"/>
  <c r="M260" i="16" s="1"/>
  <c r="M259" i="16" s="1"/>
  <c r="M258" i="16" s="1"/>
  <c r="M257" i="16" s="1"/>
  <c r="M256" i="16" s="1"/>
  <c r="M255" i="16" s="1"/>
  <c r="M254" i="16" s="1"/>
  <c r="M253" i="16" s="1"/>
  <c r="M252" i="16" s="1"/>
  <c r="M251" i="16" s="1"/>
  <c r="M250" i="16" s="1"/>
  <c r="M249" i="16" s="1"/>
  <c r="M248" i="16" s="1"/>
  <c r="M247" i="16" s="1"/>
  <c r="M246" i="16" s="1"/>
  <c r="M245" i="16" s="1"/>
  <c r="M244" i="16" s="1"/>
  <c r="M243" i="16" s="1"/>
  <c r="M242" i="16" s="1"/>
  <c r="M241" i="16" s="1"/>
  <c r="M240" i="16" s="1"/>
  <c r="M239" i="16" s="1"/>
  <c r="M238" i="16" s="1"/>
  <c r="M237" i="16" s="1"/>
  <c r="M236" i="16" s="1"/>
  <c r="M235" i="16" s="1"/>
  <c r="M234" i="16" s="1"/>
  <c r="M233" i="16" s="1"/>
  <c r="M232" i="16" s="1"/>
  <c r="M231" i="16" s="1"/>
  <c r="M230" i="16" s="1"/>
  <c r="M229" i="16" s="1"/>
  <c r="M228" i="16" s="1"/>
  <c r="M227" i="16" s="1"/>
  <c r="M226" i="16" s="1"/>
  <c r="M225" i="16" s="1"/>
  <c r="M224" i="16" s="1"/>
  <c r="M223" i="16" s="1"/>
  <c r="M222" i="16" s="1"/>
  <c r="M221" i="16" s="1"/>
  <c r="M220" i="16" s="1"/>
  <c r="M219" i="16" s="1"/>
  <c r="M218" i="16" s="1"/>
  <c r="M217" i="16" s="1"/>
  <c r="M216" i="16" s="1"/>
  <c r="M215" i="16" s="1"/>
  <c r="M214" i="16" s="1"/>
  <c r="M213" i="16" s="1"/>
  <c r="M212" i="16" s="1"/>
  <c r="M211" i="16" s="1"/>
  <c r="M210" i="16" s="1"/>
  <c r="M209" i="16" s="1"/>
  <c r="M208" i="16" s="1"/>
  <c r="M207" i="16" s="1"/>
  <c r="M206" i="16" s="1"/>
  <c r="M205" i="16" s="1"/>
  <c r="M204" i="16" s="1"/>
  <c r="M203" i="16" s="1"/>
  <c r="M202" i="16" s="1"/>
  <c r="M201" i="16" s="1"/>
  <c r="M200" i="16" s="1"/>
  <c r="M199" i="16" s="1"/>
  <c r="M198" i="16" s="1"/>
  <c r="M197" i="16" s="1"/>
  <c r="M196" i="16" s="1"/>
  <c r="M195" i="16" s="1"/>
  <c r="M194" i="16" s="1"/>
  <c r="M193" i="16" s="1"/>
  <c r="M192" i="16" s="1"/>
  <c r="M191" i="16" s="1"/>
  <c r="M190" i="16" s="1"/>
  <c r="M189" i="16" s="1"/>
  <c r="M188" i="16" s="1"/>
  <c r="M187" i="16" s="1"/>
  <c r="M186" i="16" s="1"/>
  <c r="M185" i="16" s="1"/>
  <c r="M184" i="16" s="1"/>
  <c r="M183" i="16" s="1"/>
  <c r="M182" i="16" s="1"/>
  <c r="M181" i="16" s="1"/>
  <c r="M180" i="16" s="1"/>
  <c r="M179" i="16" s="1"/>
  <c r="M178" i="16" s="1"/>
  <c r="M177" i="16" s="1"/>
  <c r="M176" i="16" s="1"/>
  <c r="M175" i="16" s="1"/>
  <c r="M174" i="16" s="1"/>
  <c r="M173" i="16" s="1"/>
  <c r="M172" i="16" s="1"/>
  <c r="M171" i="16" s="1"/>
  <c r="M170" i="16" s="1"/>
  <c r="M169" i="16" s="1"/>
  <c r="M168" i="16" s="1"/>
  <c r="M167" i="16" s="1"/>
  <c r="M166" i="16" s="1"/>
  <c r="M165" i="16" s="1"/>
  <c r="M164" i="16" s="1"/>
  <c r="M163" i="16" s="1"/>
  <c r="M162" i="16" s="1"/>
  <c r="M161" i="16" s="1"/>
  <c r="M160" i="16" s="1"/>
  <c r="M159" i="16" s="1"/>
  <c r="M158" i="16" s="1"/>
  <c r="M157" i="16" s="1"/>
  <c r="M156" i="16" s="1"/>
  <c r="M155" i="16" s="1"/>
  <c r="M154" i="16" s="1"/>
  <c r="M153" i="16" s="1"/>
  <c r="M152" i="16" s="1"/>
  <c r="M151" i="16" s="1"/>
  <c r="M150" i="16" s="1"/>
  <c r="M149" i="16" s="1"/>
  <c r="M148" i="16" s="1"/>
  <c r="M147" i="16" s="1"/>
  <c r="M146" i="16" s="1"/>
  <c r="M145" i="16" s="1"/>
  <c r="M144" i="16" s="1"/>
  <c r="M143" i="16" s="1"/>
  <c r="M142" i="16" s="1"/>
  <c r="M141" i="16" s="1"/>
  <c r="M140" i="16" s="1"/>
  <c r="M139" i="16" s="1"/>
  <c r="M138" i="16" s="1"/>
  <c r="M137" i="16" s="1"/>
  <c r="M136" i="16" s="1"/>
  <c r="M135" i="16" s="1"/>
  <c r="M134" i="16" s="1"/>
  <c r="M133" i="16" s="1"/>
  <c r="M132" i="16" s="1"/>
  <c r="M131" i="16" s="1"/>
  <c r="M130" i="16" s="1"/>
  <c r="M129" i="16" s="1"/>
  <c r="M128" i="16" s="1"/>
  <c r="M127" i="16" s="1"/>
  <c r="M126" i="16" s="1"/>
  <c r="M125" i="16" s="1"/>
  <c r="M124" i="16" s="1"/>
  <c r="M123" i="16" s="1"/>
  <c r="M122" i="16" s="1"/>
  <c r="M121" i="16" s="1"/>
  <c r="M120" i="16" s="1"/>
  <c r="M119" i="16" s="1"/>
  <c r="M118" i="16" s="1"/>
  <c r="M117" i="16" s="1"/>
  <c r="M116" i="16" s="1"/>
  <c r="M115" i="16" s="1"/>
  <c r="M114" i="16" s="1"/>
  <c r="M113" i="16" s="1"/>
  <c r="M112" i="16" s="1"/>
  <c r="M111" i="16" s="1"/>
  <c r="M110" i="16" s="1"/>
  <c r="M109" i="16" s="1"/>
  <c r="M108" i="16" s="1"/>
  <c r="M107" i="16" s="1"/>
  <c r="M106" i="16" s="1"/>
  <c r="M105" i="16" s="1"/>
  <c r="M104" i="16" s="1"/>
  <c r="M103" i="16" s="1"/>
  <c r="M102" i="16" s="1"/>
  <c r="M101" i="16" s="1"/>
  <c r="M100" i="16" s="1"/>
  <c r="M99" i="16" s="1"/>
  <c r="M98" i="16" s="1"/>
  <c r="M97" i="16" s="1"/>
  <c r="M96" i="16" s="1"/>
  <c r="M95" i="16" s="1"/>
  <c r="M94" i="16" s="1"/>
  <c r="M93" i="16" s="1"/>
  <c r="M92" i="16" s="1"/>
  <c r="M91" i="16" s="1"/>
  <c r="M90" i="16" s="1"/>
  <c r="M89" i="16" s="1"/>
  <c r="M88" i="16" s="1"/>
  <c r="M87" i="16" s="1"/>
  <c r="M86" i="16" s="1"/>
  <c r="M85" i="16" s="1"/>
  <c r="M84" i="16" s="1"/>
  <c r="M83" i="16" s="1"/>
  <c r="M82" i="16" s="1"/>
  <c r="M81" i="16" s="1"/>
  <c r="M80" i="16" s="1"/>
  <c r="M79" i="16" s="1"/>
  <c r="M78" i="16" s="1"/>
  <c r="M77" i="16" s="1"/>
  <c r="M76" i="16" s="1"/>
  <c r="M75" i="16" s="1"/>
  <c r="M74" i="16" s="1"/>
  <c r="M73" i="16" s="1"/>
  <c r="M72" i="16" s="1"/>
  <c r="M71" i="16" s="1"/>
  <c r="M70" i="16" s="1"/>
  <c r="M69" i="16" s="1"/>
  <c r="M68" i="16" s="1"/>
  <c r="M67" i="16" s="1"/>
  <c r="M66" i="16" s="1"/>
  <c r="M65" i="16" s="1"/>
  <c r="M64" i="16" s="1"/>
  <c r="M63" i="16" s="1"/>
  <c r="M62" i="16" s="1"/>
  <c r="M61" i="16" s="1"/>
  <c r="M60" i="16" s="1"/>
  <c r="M59" i="16" s="1"/>
  <c r="M58" i="16" s="1"/>
  <c r="M57" i="16" s="1"/>
  <c r="M56" i="16" s="1"/>
  <c r="M55" i="16" s="1"/>
  <c r="M54" i="16" s="1"/>
  <c r="M53" i="16" s="1"/>
  <c r="M52" i="16" s="1"/>
  <c r="M51" i="16" s="1"/>
  <c r="M50" i="16" s="1"/>
  <c r="M49" i="16" s="1"/>
  <c r="M48" i="16" s="1"/>
  <c r="M47" i="16" s="1"/>
  <c r="M46" i="16" s="1"/>
  <c r="M45" i="16" s="1"/>
  <c r="M44" i="16" s="1"/>
  <c r="M43" i="16" s="1"/>
  <c r="M42" i="16" s="1"/>
  <c r="M41" i="16" s="1"/>
  <c r="M40" i="16" s="1"/>
  <c r="M39" i="16" s="1"/>
  <c r="M38" i="16" s="1"/>
  <c r="M37" i="16" s="1"/>
  <c r="M36" i="16" s="1"/>
  <c r="M35" i="16" s="1"/>
  <c r="M34" i="16" s="1"/>
  <c r="M33" i="16" s="1"/>
  <c r="M32" i="16" s="1"/>
  <c r="M31" i="16" s="1"/>
  <c r="M30" i="16" s="1"/>
  <c r="M29" i="16" s="1"/>
  <c r="M28" i="16" s="1"/>
  <c r="M27" i="16" s="1"/>
  <c r="M26" i="16" s="1"/>
  <c r="M25" i="16" s="1"/>
  <c r="M24" i="16" s="1"/>
  <c r="M23" i="16" s="1"/>
  <c r="M22" i="16" s="1"/>
  <c r="M21" i="16" s="1"/>
  <c r="M20" i="16" s="1"/>
  <c r="M19" i="16" s="1"/>
  <c r="M18" i="16" s="1"/>
  <c r="M17" i="16" s="1"/>
  <c r="M16" i="16" s="1"/>
  <c r="M15" i="16" s="1"/>
  <c r="M14" i="16" s="1"/>
  <c r="M13" i="16" s="1"/>
  <c r="M12" i="16" s="1"/>
  <c r="M11" i="16" s="1"/>
  <c r="M10" i="16" s="1"/>
  <c r="M9" i="16" s="1"/>
  <c r="M8" i="16" s="1"/>
  <c r="M7" i="16" s="1"/>
  <c r="M6" i="16" s="1"/>
  <c r="M5" i="16" s="1"/>
  <c r="M4" i="16" s="1"/>
  <c r="M3" i="16" s="1"/>
  <c r="J362" i="16"/>
  <c r="J361" i="16" s="1"/>
  <c r="J360" i="16" s="1"/>
  <c r="J359" i="16" s="1"/>
  <c r="J358" i="16" s="1"/>
  <c r="J357" i="16" s="1"/>
  <c r="J356" i="16" s="1"/>
  <c r="J355" i="16" s="1"/>
  <c r="J354" i="16" s="1"/>
  <c r="J353" i="16" s="1"/>
  <c r="J352" i="16" s="1"/>
  <c r="J351" i="16" s="1"/>
  <c r="J350" i="16" s="1"/>
  <c r="J349" i="16" s="1"/>
  <c r="J348" i="16" s="1"/>
  <c r="J347" i="16" s="1"/>
  <c r="J346" i="16" s="1"/>
  <c r="J345" i="16" s="1"/>
  <c r="J344" i="16" s="1"/>
  <c r="J343" i="16" s="1"/>
  <c r="J342" i="16" s="1"/>
  <c r="J341" i="16" s="1"/>
  <c r="J340" i="16" s="1"/>
  <c r="J339" i="16" s="1"/>
  <c r="J338" i="16" s="1"/>
  <c r="J337" i="16" s="1"/>
  <c r="J336" i="16" s="1"/>
  <c r="J335" i="16" s="1"/>
  <c r="J334" i="16" s="1"/>
  <c r="J333" i="16" s="1"/>
  <c r="J332" i="16" s="1"/>
  <c r="J331" i="16" s="1"/>
  <c r="J330" i="16" s="1"/>
  <c r="J329" i="16" s="1"/>
  <c r="J328" i="16" s="1"/>
  <c r="J327" i="16" s="1"/>
  <c r="J326" i="16" s="1"/>
  <c r="J325" i="16" s="1"/>
  <c r="J324" i="16" s="1"/>
  <c r="J323" i="16" s="1"/>
  <c r="J322" i="16" s="1"/>
  <c r="J321" i="16" s="1"/>
  <c r="J320" i="16" s="1"/>
  <c r="J319" i="16" s="1"/>
  <c r="J318" i="16" s="1"/>
  <c r="J317" i="16" s="1"/>
  <c r="J316" i="16" s="1"/>
  <c r="J315" i="16" s="1"/>
  <c r="J314" i="16" s="1"/>
  <c r="J313" i="16" s="1"/>
  <c r="J312" i="16" s="1"/>
  <c r="J311" i="16" s="1"/>
  <c r="J310" i="16" s="1"/>
  <c r="J309" i="16" s="1"/>
  <c r="J308" i="16" s="1"/>
  <c r="J307" i="16" s="1"/>
  <c r="J306" i="16" s="1"/>
  <c r="J305" i="16" s="1"/>
  <c r="J304" i="16" s="1"/>
  <c r="J303" i="16" s="1"/>
  <c r="J302" i="16" s="1"/>
  <c r="J301" i="16" s="1"/>
  <c r="J300" i="16" s="1"/>
  <c r="J299" i="16" s="1"/>
  <c r="J298" i="16" s="1"/>
  <c r="J297" i="16" s="1"/>
  <c r="J296" i="16" s="1"/>
  <c r="J295" i="16" s="1"/>
  <c r="J294" i="16" s="1"/>
  <c r="J293" i="16" s="1"/>
  <c r="J292" i="16" s="1"/>
  <c r="J291" i="16" s="1"/>
  <c r="J290" i="16" s="1"/>
  <c r="J289" i="16" s="1"/>
  <c r="J288" i="16" s="1"/>
  <c r="J287" i="16" s="1"/>
  <c r="J286" i="16" s="1"/>
  <c r="J285" i="16" s="1"/>
  <c r="J284" i="16" s="1"/>
  <c r="J283" i="16" s="1"/>
  <c r="J282" i="16" s="1"/>
  <c r="J281" i="16" s="1"/>
  <c r="J280" i="16" s="1"/>
  <c r="J279" i="16" s="1"/>
  <c r="J278" i="16" s="1"/>
  <c r="J277" i="16" s="1"/>
  <c r="J276" i="16" s="1"/>
  <c r="J275" i="16" s="1"/>
  <c r="J274" i="16" s="1"/>
  <c r="J273" i="16" s="1"/>
  <c r="J272" i="16" s="1"/>
  <c r="J271" i="16" s="1"/>
  <c r="J270" i="16" s="1"/>
  <c r="J269" i="16" s="1"/>
  <c r="J268" i="16" s="1"/>
  <c r="J267" i="16" s="1"/>
  <c r="J266" i="16" s="1"/>
  <c r="J265" i="16" s="1"/>
  <c r="J264" i="16" s="1"/>
  <c r="J263" i="16" s="1"/>
  <c r="J262" i="16" s="1"/>
  <c r="J261" i="16" s="1"/>
  <c r="J260" i="16" s="1"/>
  <c r="J259" i="16" s="1"/>
  <c r="J258" i="16" s="1"/>
  <c r="J257" i="16" s="1"/>
  <c r="J256" i="16" s="1"/>
  <c r="J255" i="16" s="1"/>
  <c r="J254" i="16" s="1"/>
  <c r="J253" i="16" s="1"/>
  <c r="J252" i="16" s="1"/>
  <c r="J251" i="16" s="1"/>
  <c r="J250" i="16" s="1"/>
  <c r="J249" i="16" s="1"/>
  <c r="J248" i="16" s="1"/>
  <c r="J247" i="16" s="1"/>
  <c r="J246" i="16" s="1"/>
  <c r="J245" i="16" s="1"/>
  <c r="J244" i="16" s="1"/>
  <c r="J243" i="16" s="1"/>
  <c r="J242" i="16" s="1"/>
  <c r="J241" i="16" s="1"/>
  <c r="J240" i="16" s="1"/>
  <c r="J239" i="16" s="1"/>
  <c r="J238" i="16" s="1"/>
  <c r="J237" i="16" s="1"/>
  <c r="J236" i="16" s="1"/>
  <c r="J235" i="16" s="1"/>
  <c r="J234" i="16" s="1"/>
  <c r="J233" i="16" s="1"/>
  <c r="J232" i="16" s="1"/>
  <c r="J231" i="16" s="1"/>
  <c r="J230" i="16" s="1"/>
  <c r="J229" i="16" s="1"/>
  <c r="J228" i="16" s="1"/>
  <c r="J227" i="16" s="1"/>
  <c r="J226" i="16" s="1"/>
  <c r="J225" i="16" s="1"/>
  <c r="J224" i="16" s="1"/>
  <c r="J223" i="16" s="1"/>
  <c r="J222" i="16" s="1"/>
  <c r="J221" i="16" s="1"/>
  <c r="J220" i="16" s="1"/>
  <c r="J219" i="16" s="1"/>
  <c r="J218" i="16" s="1"/>
  <c r="J217" i="16" s="1"/>
  <c r="J216" i="16" s="1"/>
  <c r="J215" i="16" s="1"/>
  <c r="J214" i="16" s="1"/>
  <c r="J213" i="16" s="1"/>
  <c r="J212" i="16" s="1"/>
  <c r="J211" i="16" s="1"/>
  <c r="J210" i="16" s="1"/>
  <c r="J209" i="16" s="1"/>
  <c r="J208" i="16" s="1"/>
  <c r="J207" i="16" s="1"/>
  <c r="J206" i="16" s="1"/>
  <c r="J205" i="16" s="1"/>
  <c r="J204" i="16" s="1"/>
  <c r="J203" i="16" s="1"/>
  <c r="J202" i="16" s="1"/>
  <c r="J201" i="16" s="1"/>
  <c r="J200" i="16" s="1"/>
  <c r="J199" i="16" s="1"/>
  <c r="J198" i="16" s="1"/>
  <c r="J197" i="16" s="1"/>
  <c r="J196" i="16" s="1"/>
  <c r="J195" i="16" s="1"/>
  <c r="J194" i="16" s="1"/>
  <c r="J193" i="16" s="1"/>
  <c r="J192" i="16" s="1"/>
  <c r="J191" i="16" s="1"/>
  <c r="J190" i="16" s="1"/>
  <c r="J189" i="16" s="1"/>
  <c r="J188" i="16" s="1"/>
  <c r="J187" i="16" s="1"/>
  <c r="J186" i="16" s="1"/>
  <c r="J185" i="16" s="1"/>
  <c r="J184" i="16" s="1"/>
  <c r="J183" i="16" s="1"/>
  <c r="J182" i="16" s="1"/>
  <c r="J181" i="16" s="1"/>
  <c r="J180" i="16" s="1"/>
  <c r="J179" i="16" s="1"/>
  <c r="J178" i="16" s="1"/>
  <c r="J177" i="16" s="1"/>
  <c r="J176" i="16" s="1"/>
  <c r="J175" i="16" s="1"/>
  <c r="J174" i="16" s="1"/>
  <c r="J173" i="16" s="1"/>
  <c r="J172" i="16" s="1"/>
  <c r="J171" i="16" s="1"/>
  <c r="J170" i="16" s="1"/>
  <c r="J169" i="16" s="1"/>
  <c r="J168" i="16" s="1"/>
  <c r="J167" i="16" s="1"/>
  <c r="J166" i="16" s="1"/>
  <c r="J165" i="16" s="1"/>
  <c r="J164" i="16" s="1"/>
  <c r="J163" i="16" s="1"/>
  <c r="J162" i="16" s="1"/>
  <c r="J161" i="16" s="1"/>
  <c r="J160" i="16" s="1"/>
  <c r="J159" i="16" s="1"/>
  <c r="J158" i="16" s="1"/>
  <c r="J157" i="16" s="1"/>
  <c r="J156" i="16" s="1"/>
  <c r="J155" i="16" s="1"/>
  <c r="J154" i="16" s="1"/>
  <c r="J153" i="16" s="1"/>
  <c r="J152" i="16" s="1"/>
  <c r="J151" i="16" s="1"/>
  <c r="J150" i="16" s="1"/>
  <c r="J149" i="16" s="1"/>
  <c r="J148" i="16" s="1"/>
  <c r="J147" i="16" s="1"/>
  <c r="J146" i="16" s="1"/>
  <c r="J145" i="16" s="1"/>
  <c r="J144" i="16" s="1"/>
  <c r="J143" i="16" s="1"/>
  <c r="J142" i="16" s="1"/>
  <c r="J141" i="16" s="1"/>
  <c r="J140" i="16" s="1"/>
  <c r="J139" i="16" s="1"/>
  <c r="J138" i="16" s="1"/>
  <c r="J137" i="16" s="1"/>
  <c r="J136" i="16" s="1"/>
  <c r="J135" i="16" s="1"/>
  <c r="J134" i="16" s="1"/>
  <c r="J133" i="16" s="1"/>
  <c r="J132" i="16" s="1"/>
  <c r="J131" i="16" s="1"/>
  <c r="J130" i="16" s="1"/>
  <c r="J129" i="16" s="1"/>
  <c r="J128" i="16" s="1"/>
  <c r="J127" i="16" s="1"/>
  <c r="J126" i="16" s="1"/>
  <c r="J125" i="16" s="1"/>
  <c r="J124" i="16" s="1"/>
  <c r="J123" i="16" s="1"/>
  <c r="J122" i="16" s="1"/>
  <c r="J121" i="16" s="1"/>
  <c r="J120" i="16" s="1"/>
  <c r="J119" i="16" s="1"/>
  <c r="J118" i="16" s="1"/>
  <c r="J117" i="16" s="1"/>
  <c r="J116" i="16" s="1"/>
  <c r="J115" i="16" s="1"/>
  <c r="J114" i="16" s="1"/>
  <c r="J113" i="16" s="1"/>
  <c r="J112" i="16" s="1"/>
  <c r="J111" i="16" s="1"/>
  <c r="J110" i="16" s="1"/>
  <c r="J109" i="16" s="1"/>
  <c r="J108" i="16" s="1"/>
  <c r="J107" i="16" s="1"/>
  <c r="J106" i="16" s="1"/>
  <c r="J105" i="16" s="1"/>
  <c r="J104" i="16" s="1"/>
  <c r="J103" i="16" s="1"/>
  <c r="J102" i="16" s="1"/>
  <c r="J101" i="16" s="1"/>
  <c r="J100" i="16" s="1"/>
  <c r="J99" i="16" s="1"/>
  <c r="J98" i="16" s="1"/>
  <c r="J97" i="16" s="1"/>
  <c r="J96" i="16" s="1"/>
  <c r="J95" i="16" s="1"/>
  <c r="J94" i="16" s="1"/>
  <c r="J93" i="16" s="1"/>
  <c r="J92" i="16" s="1"/>
  <c r="J91" i="16" s="1"/>
  <c r="J90" i="16" s="1"/>
  <c r="J89" i="16" s="1"/>
  <c r="J88" i="16" s="1"/>
  <c r="J87" i="16" s="1"/>
  <c r="J86" i="16" s="1"/>
  <c r="J85" i="16" s="1"/>
  <c r="J84" i="16" s="1"/>
  <c r="J83" i="16" s="1"/>
  <c r="J82" i="16" s="1"/>
  <c r="J81" i="16" s="1"/>
  <c r="J80" i="16" s="1"/>
  <c r="J79" i="16" s="1"/>
  <c r="J78" i="16" s="1"/>
  <c r="J77" i="16" s="1"/>
  <c r="J76" i="16" s="1"/>
  <c r="J75" i="16" s="1"/>
  <c r="J74" i="16" s="1"/>
  <c r="J73" i="16" s="1"/>
  <c r="J72" i="16" s="1"/>
  <c r="J71" i="16" s="1"/>
  <c r="J70" i="16" s="1"/>
  <c r="J69" i="16" s="1"/>
  <c r="J68" i="16" s="1"/>
  <c r="J67" i="16" s="1"/>
  <c r="J66" i="16" s="1"/>
  <c r="J65" i="16" s="1"/>
  <c r="J64" i="16" s="1"/>
  <c r="J63" i="16" s="1"/>
  <c r="J62" i="16" s="1"/>
  <c r="J61" i="16" s="1"/>
  <c r="J60" i="16" s="1"/>
  <c r="J59" i="16" s="1"/>
  <c r="J58" i="16" s="1"/>
  <c r="J57" i="16" s="1"/>
  <c r="J56" i="16" s="1"/>
  <c r="J55" i="16" s="1"/>
  <c r="J54" i="16" s="1"/>
  <c r="J53" i="16" s="1"/>
  <c r="J52" i="16" s="1"/>
  <c r="J51" i="16" s="1"/>
  <c r="J50" i="16" s="1"/>
  <c r="J49" i="16" s="1"/>
  <c r="J48" i="16" s="1"/>
  <c r="J47" i="16" s="1"/>
  <c r="J46" i="16" s="1"/>
  <c r="J45" i="16" s="1"/>
  <c r="J44" i="16" s="1"/>
  <c r="J43" i="16" s="1"/>
  <c r="J42" i="16" s="1"/>
  <c r="J41" i="16" s="1"/>
  <c r="J40" i="16" s="1"/>
  <c r="J39" i="16" s="1"/>
  <c r="J38" i="16" s="1"/>
  <c r="J37" i="16" s="1"/>
  <c r="J36" i="16" s="1"/>
  <c r="J35" i="16" s="1"/>
  <c r="J34" i="16" s="1"/>
  <c r="J33" i="16" s="1"/>
  <c r="J32" i="16" s="1"/>
  <c r="J31" i="16" s="1"/>
  <c r="J30" i="16" s="1"/>
  <c r="J29" i="16" s="1"/>
  <c r="J28" i="16" s="1"/>
  <c r="J27" i="16" s="1"/>
  <c r="J26" i="16" s="1"/>
  <c r="J25" i="16" s="1"/>
  <c r="J24" i="16" s="1"/>
  <c r="J23" i="16" s="1"/>
  <c r="J22" i="16" s="1"/>
  <c r="J21" i="16" s="1"/>
  <c r="J20" i="16" s="1"/>
  <c r="J19" i="16" s="1"/>
  <c r="J18" i="16" s="1"/>
  <c r="J17" i="16" s="1"/>
  <c r="J16" i="16" s="1"/>
  <c r="J15" i="16" s="1"/>
  <c r="J14" i="16" s="1"/>
  <c r="J13" i="16" s="1"/>
  <c r="J12" i="16" s="1"/>
  <c r="J11" i="16" s="1"/>
  <c r="J10" i="16" s="1"/>
  <c r="J9" i="16" s="1"/>
  <c r="J8" i="16" s="1"/>
  <c r="J7" i="16" s="1"/>
  <c r="J6" i="16" s="1"/>
  <c r="J5" i="16" s="1"/>
  <c r="J4" i="16" s="1"/>
  <c r="J3" i="16" s="1"/>
  <c r="S363" i="13"/>
  <c r="P362" i="13"/>
  <c r="P361" i="13" s="1"/>
  <c r="P360" i="13" s="1"/>
  <c r="P359" i="13" s="1"/>
  <c r="P358" i="13" s="1"/>
  <c r="P357" i="13" s="1"/>
  <c r="P356" i="13" s="1"/>
  <c r="P355" i="13" s="1"/>
  <c r="P354" i="13" s="1"/>
  <c r="P353" i="13" s="1"/>
  <c r="P352" i="13" s="1"/>
  <c r="P351" i="13" s="1"/>
  <c r="P350" i="13" s="1"/>
  <c r="P349" i="13" s="1"/>
  <c r="P348" i="13" s="1"/>
  <c r="P347" i="13" s="1"/>
  <c r="P346" i="13" s="1"/>
  <c r="P345" i="13" s="1"/>
  <c r="P344" i="13" s="1"/>
  <c r="P343" i="13" s="1"/>
  <c r="P342" i="13" s="1"/>
  <c r="P341" i="13" s="1"/>
  <c r="P340" i="13" s="1"/>
  <c r="P339" i="13" s="1"/>
  <c r="P338" i="13" s="1"/>
  <c r="P337" i="13" s="1"/>
  <c r="P336" i="13" s="1"/>
  <c r="P335" i="13" s="1"/>
  <c r="P334" i="13" s="1"/>
  <c r="P333" i="13" s="1"/>
  <c r="P332" i="13" s="1"/>
  <c r="P331" i="13" s="1"/>
  <c r="P330" i="13" s="1"/>
  <c r="P329" i="13" s="1"/>
  <c r="P328" i="13" s="1"/>
  <c r="P327" i="13" s="1"/>
  <c r="P326" i="13" s="1"/>
  <c r="P325" i="13" s="1"/>
  <c r="P324" i="13" s="1"/>
  <c r="P323" i="13" s="1"/>
  <c r="P322" i="13" s="1"/>
  <c r="P321" i="13" s="1"/>
  <c r="P320" i="13" s="1"/>
  <c r="P319" i="13" s="1"/>
  <c r="P318" i="13" s="1"/>
  <c r="P317" i="13" s="1"/>
  <c r="P316" i="13" s="1"/>
  <c r="P315" i="13" s="1"/>
  <c r="P314" i="13" s="1"/>
  <c r="P313" i="13" s="1"/>
  <c r="P312" i="13" s="1"/>
  <c r="P311" i="13" s="1"/>
  <c r="P310" i="13" s="1"/>
  <c r="P309" i="13" s="1"/>
  <c r="P308" i="13" s="1"/>
  <c r="P307" i="13" s="1"/>
  <c r="P306" i="13" s="1"/>
  <c r="P305" i="13" s="1"/>
  <c r="P304" i="13" s="1"/>
  <c r="P303" i="13" s="1"/>
  <c r="P302" i="13" s="1"/>
  <c r="P301" i="13" s="1"/>
  <c r="P300" i="13" s="1"/>
  <c r="P299" i="13" s="1"/>
  <c r="P298" i="13" s="1"/>
  <c r="P297" i="13" s="1"/>
  <c r="P296" i="13" s="1"/>
  <c r="P295" i="13" s="1"/>
  <c r="P294" i="13" s="1"/>
  <c r="P293" i="13" s="1"/>
  <c r="P292" i="13" s="1"/>
  <c r="P291" i="13" s="1"/>
  <c r="P290" i="13" s="1"/>
  <c r="P289" i="13" s="1"/>
  <c r="P288" i="13" s="1"/>
  <c r="P287" i="13" s="1"/>
  <c r="P286" i="13" s="1"/>
  <c r="P285" i="13" s="1"/>
  <c r="P284" i="13" s="1"/>
  <c r="P283" i="13" s="1"/>
  <c r="P282" i="13" s="1"/>
  <c r="P281" i="13" s="1"/>
  <c r="P280" i="13" s="1"/>
  <c r="P279" i="13" s="1"/>
  <c r="P278" i="13" s="1"/>
  <c r="P277" i="13" s="1"/>
  <c r="P276" i="13" s="1"/>
  <c r="P275" i="13" s="1"/>
  <c r="P274" i="13" s="1"/>
  <c r="P273" i="13" s="1"/>
  <c r="P272" i="13" s="1"/>
  <c r="P271" i="13" s="1"/>
  <c r="P270" i="13" s="1"/>
  <c r="P269" i="13" s="1"/>
  <c r="P268" i="13" s="1"/>
  <c r="P267" i="13" s="1"/>
  <c r="P266" i="13" s="1"/>
  <c r="P265" i="13" s="1"/>
  <c r="P264" i="13" s="1"/>
  <c r="P263" i="13" s="1"/>
  <c r="P262" i="13" s="1"/>
  <c r="P261" i="13" s="1"/>
  <c r="P260" i="13" s="1"/>
  <c r="P259" i="13" s="1"/>
  <c r="P258" i="13" s="1"/>
  <c r="P257" i="13" s="1"/>
  <c r="P256" i="13" s="1"/>
  <c r="P255" i="13" s="1"/>
  <c r="P254" i="13" s="1"/>
  <c r="P253" i="13" s="1"/>
  <c r="P252" i="13" s="1"/>
  <c r="P251" i="13" s="1"/>
  <c r="P250" i="13" s="1"/>
  <c r="P249" i="13" s="1"/>
  <c r="P248" i="13" s="1"/>
  <c r="P247" i="13" s="1"/>
  <c r="P246" i="13" s="1"/>
  <c r="P245" i="13" s="1"/>
  <c r="P244" i="13" s="1"/>
  <c r="P243" i="13" s="1"/>
  <c r="P242" i="13" s="1"/>
  <c r="P241" i="13" s="1"/>
  <c r="P240" i="13" s="1"/>
  <c r="P239" i="13" s="1"/>
  <c r="P238" i="13" s="1"/>
  <c r="P237" i="13" s="1"/>
  <c r="P236" i="13" s="1"/>
  <c r="P235" i="13" s="1"/>
  <c r="P234" i="13" s="1"/>
  <c r="P233" i="13" s="1"/>
  <c r="P232" i="13" s="1"/>
  <c r="P231" i="13" s="1"/>
  <c r="P230" i="13" s="1"/>
  <c r="P229" i="13" s="1"/>
  <c r="P228" i="13" s="1"/>
  <c r="P227" i="13" s="1"/>
  <c r="P226" i="13" s="1"/>
  <c r="P225" i="13" s="1"/>
  <c r="P224" i="13" s="1"/>
  <c r="P223" i="13" s="1"/>
  <c r="P222" i="13" s="1"/>
  <c r="P221" i="13" s="1"/>
  <c r="P220" i="13" s="1"/>
  <c r="P219" i="13" s="1"/>
  <c r="P218" i="13" s="1"/>
  <c r="P217" i="13" s="1"/>
  <c r="P216" i="13" s="1"/>
  <c r="P215" i="13" s="1"/>
  <c r="P214" i="13" s="1"/>
  <c r="P213" i="13" s="1"/>
  <c r="P212" i="13" s="1"/>
  <c r="P211" i="13" s="1"/>
  <c r="P210" i="13" s="1"/>
  <c r="P209" i="13" s="1"/>
  <c r="P208" i="13" s="1"/>
  <c r="P207" i="13" s="1"/>
  <c r="P206" i="13" s="1"/>
  <c r="P205" i="13" s="1"/>
  <c r="P204" i="13" s="1"/>
  <c r="P203" i="13" s="1"/>
  <c r="P202" i="13" s="1"/>
  <c r="P201" i="13" s="1"/>
  <c r="P200" i="13" s="1"/>
  <c r="P199" i="13" s="1"/>
  <c r="P198" i="13" s="1"/>
  <c r="P197" i="13" s="1"/>
  <c r="P196" i="13" s="1"/>
  <c r="P195" i="13" s="1"/>
  <c r="P194" i="13" s="1"/>
  <c r="P193" i="13" s="1"/>
  <c r="P192" i="13" s="1"/>
  <c r="P191" i="13" s="1"/>
  <c r="P190" i="13" s="1"/>
  <c r="P189" i="13" s="1"/>
  <c r="P188" i="13" s="1"/>
  <c r="P187" i="13" s="1"/>
  <c r="P186" i="13" s="1"/>
  <c r="P185" i="13" s="1"/>
  <c r="P184" i="13" s="1"/>
  <c r="P183" i="13" s="1"/>
  <c r="P182" i="13" s="1"/>
  <c r="P181" i="13" s="1"/>
  <c r="P180" i="13" s="1"/>
  <c r="P179" i="13" s="1"/>
  <c r="P178" i="13" s="1"/>
  <c r="P177" i="13" s="1"/>
  <c r="P176" i="13" s="1"/>
  <c r="P175" i="13" s="1"/>
  <c r="P174" i="13" s="1"/>
  <c r="P173" i="13" s="1"/>
  <c r="P172" i="13" s="1"/>
  <c r="P171" i="13" s="1"/>
  <c r="P170" i="13" s="1"/>
  <c r="P169" i="13" s="1"/>
  <c r="P168" i="13" s="1"/>
  <c r="P167" i="13" s="1"/>
  <c r="P166" i="13" s="1"/>
  <c r="P165" i="13" s="1"/>
  <c r="P164" i="13" s="1"/>
  <c r="P163" i="13" s="1"/>
  <c r="P162" i="13" s="1"/>
  <c r="P161" i="13" s="1"/>
  <c r="P160" i="13" s="1"/>
  <c r="P159" i="13" s="1"/>
  <c r="P158" i="13" s="1"/>
  <c r="P157" i="13" s="1"/>
  <c r="P156" i="13" s="1"/>
  <c r="P155" i="13" s="1"/>
  <c r="P154" i="13" s="1"/>
  <c r="P153" i="13" s="1"/>
  <c r="P152" i="13" s="1"/>
  <c r="P151" i="13" s="1"/>
  <c r="P150" i="13" s="1"/>
  <c r="P149" i="13" s="1"/>
  <c r="P148" i="13" s="1"/>
  <c r="P147" i="13" s="1"/>
  <c r="P146" i="13" s="1"/>
  <c r="P145" i="13" s="1"/>
  <c r="P144" i="13" s="1"/>
  <c r="P143" i="13" s="1"/>
  <c r="P142" i="13" s="1"/>
  <c r="P141" i="13" s="1"/>
  <c r="P140" i="13" s="1"/>
  <c r="P139" i="13" s="1"/>
  <c r="P138" i="13" s="1"/>
  <c r="P137" i="13" s="1"/>
  <c r="P136" i="13" s="1"/>
  <c r="P135" i="13" s="1"/>
  <c r="P134" i="13" s="1"/>
  <c r="P133" i="13" s="1"/>
  <c r="P132" i="13" s="1"/>
  <c r="P131" i="13" s="1"/>
  <c r="P130" i="13" s="1"/>
  <c r="P129" i="13" s="1"/>
  <c r="P128" i="13" s="1"/>
  <c r="P127" i="13" s="1"/>
  <c r="P126" i="13" s="1"/>
  <c r="P125" i="13" s="1"/>
  <c r="P124" i="13" s="1"/>
  <c r="P123" i="13" s="1"/>
  <c r="P122" i="13" s="1"/>
  <c r="P121" i="13" s="1"/>
  <c r="P120" i="13" s="1"/>
  <c r="P119" i="13" s="1"/>
  <c r="P118" i="13" s="1"/>
  <c r="P117" i="13" s="1"/>
  <c r="P116" i="13" s="1"/>
  <c r="P115" i="13" s="1"/>
  <c r="P114" i="13" s="1"/>
  <c r="P113" i="13" s="1"/>
  <c r="P112" i="13" s="1"/>
  <c r="P111" i="13" s="1"/>
  <c r="P110" i="13" s="1"/>
  <c r="P109" i="13" s="1"/>
  <c r="P108" i="13" s="1"/>
  <c r="P107" i="13" s="1"/>
  <c r="P106" i="13" s="1"/>
  <c r="P105" i="13" s="1"/>
  <c r="P104" i="13" s="1"/>
  <c r="P103" i="13" s="1"/>
  <c r="P102" i="13" s="1"/>
  <c r="P101" i="13" s="1"/>
  <c r="P100" i="13" s="1"/>
  <c r="P99" i="13" s="1"/>
  <c r="P98" i="13" s="1"/>
  <c r="P97" i="13" s="1"/>
  <c r="P96" i="13" s="1"/>
  <c r="P95" i="13" s="1"/>
  <c r="P94" i="13" s="1"/>
  <c r="P93" i="13" s="1"/>
  <c r="P92" i="13" s="1"/>
  <c r="P91" i="13" s="1"/>
  <c r="P90" i="13" s="1"/>
  <c r="P89" i="13" s="1"/>
  <c r="P88" i="13" s="1"/>
  <c r="P87" i="13" s="1"/>
  <c r="P86" i="13" s="1"/>
  <c r="P85" i="13" s="1"/>
  <c r="P84" i="13" s="1"/>
  <c r="P83" i="13" s="1"/>
  <c r="P82" i="13" s="1"/>
  <c r="P81" i="13" s="1"/>
  <c r="P80" i="13" s="1"/>
  <c r="P79" i="13" s="1"/>
  <c r="P78" i="13" s="1"/>
  <c r="P77" i="13" s="1"/>
  <c r="P76" i="13" s="1"/>
  <c r="P75" i="13" s="1"/>
  <c r="P74" i="13" s="1"/>
  <c r="P73" i="13" s="1"/>
  <c r="P72" i="13" s="1"/>
  <c r="P71" i="13" s="1"/>
  <c r="P70" i="13" s="1"/>
  <c r="P69" i="13" s="1"/>
  <c r="P68" i="13" s="1"/>
  <c r="P67" i="13" s="1"/>
  <c r="P66" i="13" s="1"/>
  <c r="P65" i="13" s="1"/>
  <c r="P64" i="13" s="1"/>
  <c r="P63" i="13" s="1"/>
  <c r="P62" i="13" s="1"/>
  <c r="P61" i="13" s="1"/>
  <c r="P60" i="13" s="1"/>
  <c r="P59" i="13" s="1"/>
  <c r="P58" i="13" s="1"/>
  <c r="P57" i="13" s="1"/>
  <c r="P56" i="13" s="1"/>
  <c r="P55" i="13" s="1"/>
  <c r="P54" i="13" s="1"/>
  <c r="P53" i="13" s="1"/>
  <c r="P52" i="13" s="1"/>
  <c r="P51" i="13" s="1"/>
  <c r="P50" i="13" s="1"/>
  <c r="P49" i="13" s="1"/>
  <c r="P48" i="13" s="1"/>
  <c r="P47" i="13" s="1"/>
  <c r="P46" i="13" s="1"/>
  <c r="P45" i="13" s="1"/>
  <c r="P44" i="13" s="1"/>
  <c r="P43" i="13" s="1"/>
  <c r="P42" i="13" s="1"/>
  <c r="P41" i="13" s="1"/>
  <c r="P40" i="13" s="1"/>
  <c r="P39" i="13" s="1"/>
  <c r="P38" i="13" s="1"/>
  <c r="P37" i="13" s="1"/>
  <c r="P36" i="13" s="1"/>
  <c r="P35" i="13" s="1"/>
  <c r="P34" i="13" s="1"/>
  <c r="P33" i="13" s="1"/>
  <c r="P32" i="13" s="1"/>
  <c r="P31" i="13" s="1"/>
  <c r="P30" i="13" s="1"/>
  <c r="P29" i="13" s="1"/>
  <c r="P28" i="13" s="1"/>
  <c r="P27" i="13" s="1"/>
  <c r="P26" i="13" s="1"/>
  <c r="P25" i="13" s="1"/>
  <c r="P24" i="13" s="1"/>
  <c r="P23" i="13" s="1"/>
  <c r="P22" i="13" s="1"/>
  <c r="P21" i="13" s="1"/>
  <c r="P20" i="13" s="1"/>
  <c r="P19" i="13" s="1"/>
  <c r="P18" i="13" s="1"/>
  <c r="P17" i="13" s="1"/>
  <c r="P16" i="13" s="1"/>
  <c r="P15" i="13" s="1"/>
  <c r="P14" i="13" s="1"/>
  <c r="P13" i="13" s="1"/>
  <c r="P12" i="13" s="1"/>
  <c r="P11" i="13" s="1"/>
  <c r="P10" i="13" s="1"/>
  <c r="P9" i="13" s="1"/>
  <c r="P8" i="13" s="1"/>
  <c r="P7" i="13" s="1"/>
  <c r="P6" i="13" s="1"/>
  <c r="P5" i="13" s="1"/>
  <c r="P4" i="13" s="1"/>
  <c r="P3" i="13" s="1"/>
  <c r="L69" i="11"/>
  <c r="L62" i="11"/>
  <c r="O61" i="11"/>
  <c r="W362" i="13"/>
  <c r="W361" i="13" s="1"/>
  <c r="W360" i="13" s="1"/>
  <c r="W359" i="13" s="1"/>
  <c r="W358" i="13" s="1"/>
  <c r="W357" i="13" s="1"/>
  <c r="W356" i="13" s="1"/>
  <c r="W355" i="13" s="1"/>
  <c r="W354" i="13" s="1"/>
  <c r="W353" i="13" s="1"/>
  <c r="W352" i="13" s="1"/>
  <c r="W351" i="13" s="1"/>
  <c r="W350" i="13" s="1"/>
  <c r="W349" i="13" s="1"/>
  <c r="W348" i="13" s="1"/>
  <c r="W347" i="13" s="1"/>
  <c r="W346" i="13" s="1"/>
  <c r="W345" i="13" s="1"/>
  <c r="W344" i="13" s="1"/>
  <c r="W343" i="13" s="1"/>
  <c r="W342" i="13" s="1"/>
  <c r="W341" i="13" s="1"/>
  <c r="W340" i="13" s="1"/>
  <c r="W339" i="13" s="1"/>
  <c r="W338" i="13" s="1"/>
  <c r="W337" i="13" s="1"/>
  <c r="W336" i="13" s="1"/>
  <c r="W335" i="13" s="1"/>
  <c r="W334" i="13" s="1"/>
  <c r="W333" i="13" s="1"/>
  <c r="W332" i="13" s="1"/>
  <c r="W331" i="13" s="1"/>
  <c r="W330" i="13" s="1"/>
  <c r="W329" i="13" s="1"/>
  <c r="W328" i="13" s="1"/>
  <c r="W327" i="13" s="1"/>
  <c r="W326" i="13" s="1"/>
  <c r="W325" i="13" s="1"/>
  <c r="W324" i="13" s="1"/>
  <c r="W323" i="13" s="1"/>
  <c r="W322" i="13" s="1"/>
  <c r="W321" i="13" s="1"/>
  <c r="W320" i="13" s="1"/>
  <c r="W319" i="13" s="1"/>
  <c r="W318" i="13" s="1"/>
  <c r="W317" i="13" s="1"/>
  <c r="W316" i="13" s="1"/>
  <c r="W315" i="13" s="1"/>
  <c r="W314" i="13" s="1"/>
  <c r="W313" i="13" s="1"/>
  <c r="W312" i="13" s="1"/>
  <c r="W311" i="13" s="1"/>
  <c r="W310" i="13" s="1"/>
  <c r="W309" i="13" s="1"/>
  <c r="W308" i="13" s="1"/>
  <c r="W307" i="13" s="1"/>
  <c r="W306" i="13" s="1"/>
  <c r="W305" i="13" s="1"/>
  <c r="W304" i="13" s="1"/>
  <c r="W303" i="13" s="1"/>
  <c r="W302" i="13" s="1"/>
  <c r="W301" i="13" s="1"/>
  <c r="W300" i="13" s="1"/>
  <c r="W299" i="13" s="1"/>
  <c r="W298" i="13" s="1"/>
  <c r="W297" i="13" s="1"/>
  <c r="W296" i="13" s="1"/>
  <c r="W295" i="13" s="1"/>
  <c r="W294" i="13" s="1"/>
  <c r="W293" i="13" s="1"/>
  <c r="W292" i="13" s="1"/>
  <c r="W291" i="13" s="1"/>
  <c r="W290" i="13" s="1"/>
  <c r="W289" i="13" s="1"/>
  <c r="W288" i="13" s="1"/>
  <c r="W287" i="13" s="1"/>
  <c r="W286" i="13" s="1"/>
  <c r="W285" i="13" s="1"/>
  <c r="W284" i="13" s="1"/>
  <c r="W283" i="13" s="1"/>
  <c r="W282" i="13" s="1"/>
  <c r="W281" i="13" s="1"/>
  <c r="W280" i="13" s="1"/>
  <c r="W279" i="13" s="1"/>
  <c r="W278" i="13" s="1"/>
  <c r="W277" i="13" s="1"/>
  <c r="W276" i="13" s="1"/>
  <c r="W275" i="13" s="1"/>
  <c r="W274" i="13" s="1"/>
  <c r="W273" i="13" s="1"/>
  <c r="W272" i="13" s="1"/>
  <c r="W271" i="13" s="1"/>
  <c r="W270" i="13" s="1"/>
  <c r="W269" i="13" s="1"/>
  <c r="W268" i="13" s="1"/>
  <c r="W267" i="13" s="1"/>
  <c r="W266" i="13" s="1"/>
  <c r="W265" i="13" s="1"/>
  <c r="W264" i="13" s="1"/>
  <c r="W263" i="13" s="1"/>
  <c r="W262" i="13" s="1"/>
  <c r="W261" i="13" s="1"/>
  <c r="W260" i="13" s="1"/>
  <c r="W259" i="13" s="1"/>
  <c r="W258" i="13" s="1"/>
  <c r="W257" i="13" s="1"/>
  <c r="W256" i="13" s="1"/>
  <c r="W255" i="13" s="1"/>
  <c r="W254" i="13" s="1"/>
  <c r="W253" i="13" s="1"/>
  <c r="W252" i="13" s="1"/>
  <c r="W251" i="13" s="1"/>
  <c r="W250" i="13" s="1"/>
  <c r="W249" i="13" s="1"/>
  <c r="W248" i="13" s="1"/>
  <c r="W247" i="13" s="1"/>
  <c r="W246" i="13" s="1"/>
  <c r="W245" i="13" s="1"/>
  <c r="W244" i="13" s="1"/>
  <c r="W243" i="13" s="1"/>
  <c r="W242" i="13" s="1"/>
  <c r="W241" i="13" s="1"/>
  <c r="W240" i="13" s="1"/>
  <c r="W239" i="13" s="1"/>
  <c r="W238" i="13" s="1"/>
  <c r="W237" i="13" s="1"/>
  <c r="W236" i="13" s="1"/>
  <c r="W235" i="13" s="1"/>
  <c r="W234" i="13" s="1"/>
  <c r="W233" i="13" s="1"/>
  <c r="W232" i="13" s="1"/>
  <c r="W231" i="13" s="1"/>
  <c r="W230" i="13" s="1"/>
  <c r="W229" i="13" s="1"/>
  <c r="W228" i="13" s="1"/>
  <c r="W227" i="13" s="1"/>
  <c r="W226" i="13" s="1"/>
  <c r="W225" i="13" s="1"/>
  <c r="W224" i="13" s="1"/>
  <c r="W223" i="13" s="1"/>
  <c r="W222" i="13" s="1"/>
  <c r="W221" i="13" s="1"/>
  <c r="W220" i="13" s="1"/>
  <c r="W219" i="13" s="1"/>
  <c r="W218" i="13" s="1"/>
  <c r="W217" i="13" s="1"/>
  <c r="W216" i="13" s="1"/>
  <c r="W215" i="13" s="1"/>
  <c r="W214" i="13" s="1"/>
  <c r="W213" i="13" s="1"/>
  <c r="W212" i="13" s="1"/>
  <c r="W211" i="13" s="1"/>
  <c r="W210" i="13" s="1"/>
  <c r="W209" i="13" s="1"/>
  <c r="W208" i="13" s="1"/>
  <c r="W207" i="13" s="1"/>
  <c r="W206" i="13" s="1"/>
  <c r="W205" i="13" s="1"/>
  <c r="W204" i="13" s="1"/>
  <c r="W203" i="13" s="1"/>
  <c r="W202" i="13" s="1"/>
  <c r="W201" i="13" s="1"/>
  <c r="W200" i="13" s="1"/>
  <c r="W199" i="13" s="1"/>
  <c r="W198" i="13" s="1"/>
  <c r="W197" i="13" s="1"/>
  <c r="W196" i="13" s="1"/>
  <c r="W195" i="13" s="1"/>
  <c r="W194" i="13" s="1"/>
  <c r="W193" i="13" s="1"/>
  <c r="W192" i="13" s="1"/>
  <c r="W191" i="13" s="1"/>
  <c r="W190" i="13" s="1"/>
  <c r="W189" i="13" s="1"/>
  <c r="W188" i="13" s="1"/>
  <c r="W187" i="13" s="1"/>
  <c r="W186" i="13" s="1"/>
  <c r="W185" i="13" s="1"/>
  <c r="W184" i="13" s="1"/>
  <c r="W183" i="13" s="1"/>
  <c r="W182" i="13" s="1"/>
  <c r="W181" i="13" s="1"/>
  <c r="W180" i="13" s="1"/>
  <c r="W179" i="13" s="1"/>
  <c r="W178" i="13" s="1"/>
  <c r="W177" i="13" s="1"/>
  <c r="W176" i="13" s="1"/>
  <c r="W175" i="13" s="1"/>
  <c r="W174" i="13" s="1"/>
  <c r="W173" i="13" s="1"/>
  <c r="W172" i="13" s="1"/>
  <c r="W171" i="13" s="1"/>
  <c r="W170" i="13" s="1"/>
  <c r="W169" i="13" s="1"/>
  <c r="W168" i="13" s="1"/>
  <c r="W167" i="13" s="1"/>
  <c r="W166" i="13" s="1"/>
  <c r="W165" i="13" s="1"/>
  <c r="W164" i="13" s="1"/>
  <c r="W163" i="13" s="1"/>
  <c r="W162" i="13" s="1"/>
  <c r="W161" i="13" s="1"/>
  <c r="W160" i="13" s="1"/>
  <c r="W159" i="13" s="1"/>
  <c r="W158" i="13" s="1"/>
  <c r="W157" i="13" s="1"/>
  <c r="W156" i="13" s="1"/>
  <c r="W155" i="13" s="1"/>
  <c r="W154" i="13" s="1"/>
  <c r="W153" i="13" s="1"/>
  <c r="W152" i="13" s="1"/>
  <c r="W151" i="13" s="1"/>
  <c r="W150" i="13" s="1"/>
  <c r="W149" i="13" s="1"/>
  <c r="W148" i="13" s="1"/>
  <c r="W147" i="13" s="1"/>
  <c r="W146" i="13" s="1"/>
  <c r="W145" i="13" s="1"/>
  <c r="W144" i="13" s="1"/>
  <c r="W143" i="13" s="1"/>
  <c r="W142" i="13" s="1"/>
  <c r="W141" i="13" s="1"/>
  <c r="W140" i="13" s="1"/>
  <c r="W139" i="13" s="1"/>
  <c r="W138" i="13" s="1"/>
  <c r="W137" i="13" s="1"/>
  <c r="W136" i="13" s="1"/>
  <c r="W135" i="13" s="1"/>
  <c r="W134" i="13" s="1"/>
  <c r="W133" i="13" s="1"/>
  <c r="W132" i="13" s="1"/>
  <c r="W131" i="13" s="1"/>
  <c r="W130" i="13" s="1"/>
  <c r="W129" i="13" s="1"/>
  <c r="W128" i="13" s="1"/>
  <c r="W127" i="13" s="1"/>
  <c r="W126" i="13" s="1"/>
  <c r="W125" i="13" s="1"/>
  <c r="W124" i="13" s="1"/>
  <c r="W123" i="13" s="1"/>
  <c r="W122" i="13" s="1"/>
  <c r="W121" i="13" s="1"/>
  <c r="W120" i="13" s="1"/>
  <c r="W119" i="13" s="1"/>
  <c r="W118" i="13" s="1"/>
  <c r="W117" i="13" s="1"/>
  <c r="W116" i="13" s="1"/>
  <c r="W115" i="13" s="1"/>
  <c r="W114" i="13" s="1"/>
  <c r="W113" i="13" s="1"/>
  <c r="W112" i="13" s="1"/>
  <c r="W111" i="13" s="1"/>
  <c r="W110" i="13" s="1"/>
  <c r="W109" i="13" s="1"/>
  <c r="W108" i="13" s="1"/>
  <c r="W107" i="13" s="1"/>
  <c r="W106" i="13" s="1"/>
  <c r="W105" i="13" s="1"/>
  <c r="W104" i="13" s="1"/>
  <c r="W103" i="13" s="1"/>
  <c r="W102" i="13" s="1"/>
  <c r="W101" i="13" s="1"/>
  <c r="W100" i="13" s="1"/>
  <c r="W99" i="13" s="1"/>
  <c r="W98" i="13" s="1"/>
  <c r="W97" i="13" s="1"/>
  <c r="W96" i="13" s="1"/>
  <c r="W95" i="13" s="1"/>
  <c r="W94" i="13" s="1"/>
  <c r="W93" i="13" s="1"/>
  <c r="W92" i="13" s="1"/>
  <c r="W91" i="13" s="1"/>
  <c r="W90" i="13" s="1"/>
  <c r="W89" i="13" s="1"/>
  <c r="W88" i="13" s="1"/>
  <c r="W87" i="13" s="1"/>
  <c r="W86" i="13" s="1"/>
  <c r="W85" i="13" s="1"/>
  <c r="W84" i="13" s="1"/>
  <c r="W83" i="13" s="1"/>
  <c r="W82" i="13" s="1"/>
  <c r="W81" i="13" s="1"/>
  <c r="W80" i="13" s="1"/>
  <c r="W79" i="13" s="1"/>
  <c r="W78" i="13" s="1"/>
  <c r="W77" i="13" s="1"/>
  <c r="W76" i="13" s="1"/>
  <c r="W75" i="13" s="1"/>
  <c r="W74" i="13" s="1"/>
  <c r="W73" i="13" s="1"/>
  <c r="W72" i="13" s="1"/>
  <c r="W71" i="13" s="1"/>
  <c r="W70" i="13" s="1"/>
  <c r="W69" i="13" s="1"/>
  <c r="W68" i="13" s="1"/>
  <c r="W67" i="13" s="1"/>
  <c r="W66" i="13" s="1"/>
  <c r="W65" i="13" s="1"/>
  <c r="W64" i="13" s="1"/>
  <c r="W63" i="13" s="1"/>
  <c r="W62" i="13" s="1"/>
  <c r="W61" i="13" s="1"/>
  <c r="W60" i="13" s="1"/>
  <c r="W59" i="13" s="1"/>
  <c r="W58" i="13" s="1"/>
  <c r="W57" i="13" s="1"/>
  <c r="W56" i="13" s="1"/>
  <c r="W55" i="13" s="1"/>
  <c r="W54" i="13" s="1"/>
  <c r="W53" i="13" s="1"/>
  <c r="W52" i="13" s="1"/>
  <c r="W51" i="13" s="1"/>
  <c r="W50" i="13" s="1"/>
  <c r="W49" i="13" s="1"/>
  <c r="W48" i="13" s="1"/>
  <c r="W47" i="13" s="1"/>
  <c r="W46" i="13" s="1"/>
  <c r="W45" i="13" s="1"/>
  <c r="W44" i="13" s="1"/>
  <c r="W43" i="13" s="1"/>
  <c r="W42" i="13" s="1"/>
  <c r="W41" i="13" s="1"/>
  <c r="W40" i="13" s="1"/>
  <c r="W39" i="13" s="1"/>
  <c r="W38" i="13" s="1"/>
  <c r="W37" i="13" s="1"/>
  <c r="W36" i="13" s="1"/>
  <c r="W35" i="13" s="1"/>
  <c r="W34" i="13" s="1"/>
  <c r="W33" i="13" s="1"/>
  <c r="W32" i="13" s="1"/>
  <c r="W31" i="13" s="1"/>
  <c r="W30" i="13" s="1"/>
  <c r="W29" i="13" s="1"/>
  <c r="W28" i="13" s="1"/>
  <c r="W27" i="13" s="1"/>
  <c r="W26" i="13" s="1"/>
  <c r="W25" i="13" s="1"/>
  <c r="W24" i="13" s="1"/>
  <c r="W23" i="13" s="1"/>
  <c r="W22" i="13" s="1"/>
  <c r="W21" i="13" s="1"/>
  <c r="W20" i="13" s="1"/>
  <c r="W19" i="13" s="1"/>
  <c r="W18" i="13" s="1"/>
  <c r="W17" i="13" s="1"/>
  <c r="W16" i="13" s="1"/>
  <c r="W15" i="13" s="1"/>
  <c r="W14" i="13" s="1"/>
  <c r="W13" i="13" s="1"/>
  <c r="W12" i="13" s="1"/>
  <c r="W11" i="13" s="1"/>
  <c r="W10" i="13" s="1"/>
  <c r="W9" i="13" s="1"/>
  <c r="W8" i="13" s="1"/>
  <c r="W7" i="13" s="1"/>
  <c r="W6" i="13" s="1"/>
  <c r="W5" i="13" s="1"/>
  <c r="W4" i="13" s="1"/>
  <c r="W3" i="13" s="1"/>
  <c r="Z363" i="13"/>
  <c r="U363" i="13"/>
  <c r="R362" i="13"/>
  <c r="R361" i="13" s="1"/>
  <c r="R360" i="13" s="1"/>
  <c r="R359" i="13" s="1"/>
  <c r="R358" i="13" s="1"/>
  <c r="R357" i="13" s="1"/>
  <c r="R356" i="13" s="1"/>
  <c r="R355" i="13" s="1"/>
  <c r="R354" i="13" s="1"/>
  <c r="R353" i="13" s="1"/>
  <c r="R352" i="13" s="1"/>
  <c r="R351" i="13" s="1"/>
  <c r="R350" i="13" s="1"/>
  <c r="R349" i="13" s="1"/>
  <c r="R348" i="13" s="1"/>
  <c r="R347" i="13" s="1"/>
  <c r="R346" i="13" s="1"/>
  <c r="R345" i="13" s="1"/>
  <c r="R344" i="13" s="1"/>
  <c r="R343" i="13" s="1"/>
  <c r="R342" i="13" s="1"/>
  <c r="R341" i="13" s="1"/>
  <c r="R340" i="13" s="1"/>
  <c r="R339" i="13" s="1"/>
  <c r="R338" i="13" s="1"/>
  <c r="R337" i="13" s="1"/>
  <c r="R336" i="13" s="1"/>
  <c r="R335" i="13" s="1"/>
  <c r="R334" i="13" s="1"/>
  <c r="R333" i="13" s="1"/>
  <c r="R332" i="13" s="1"/>
  <c r="R331" i="13" s="1"/>
  <c r="R330" i="13" s="1"/>
  <c r="R329" i="13" s="1"/>
  <c r="R328" i="13" s="1"/>
  <c r="R327" i="13" s="1"/>
  <c r="R326" i="13" s="1"/>
  <c r="R325" i="13" s="1"/>
  <c r="R324" i="13" s="1"/>
  <c r="R323" i="13" s="1"/>
  <c r="R322" i="13" s="1"/>
  <c r="R321" i="13" s="1"/>
  <c r="R320" i="13" s="1"/>
  <c r="R319" i="13" s="1"/>
  <c r="R318" i="13" s="1"/>
  <c r="R317" i="13" s="1"/>
  <c r="R316" i="13" s="1"/>
  <c r="R315" i="13" s="1"/>
  <c r="R314" i="13" s="1"/>
  <c r="R313" i="13" s="1"/>
  <c r="R312" i="13" s="1"/>
  <c r="R311" i="13" s="1"/>
  <c r="R310" i="13" s="1"/>
  <c r="R309" i="13" s="1"/>
  <c r="R308" i="13" s="1"/>
  <c r="R307" i="13" s="1"/>
  <c r="R306" i="13" s="1"/>
  <c r="R305" i="13" s="1"/>
  <c r="R304" i="13" s="1"/>
  <c r="R303" i="13" s="1"/>
  <c r="R302" i="13" s="1"/>
  <c r="R301" i="13" s="1"/>
  <c r="R300" i="13" s="1"/>
  <c r="R299" i="13" s="1"/>
  <c r="R298" i="13" s="1"/>
  <c r="R297" i="13" s="1"/>
  <c r="R296" i="13" s="1"/>
  <c r="R295" i="13" s="1"/>
  <c r="R294" i="13" s="1"/>
  <c r="R293" i="13" s="1"/>
  <c r="R292" i="13" s="1"/>
  <c r="R291" i="13" s="1"/>
  <c r="R290" i="13" s="1"/>
  <c r="R289" i="13" s="1"/>
  <c r="R288" i="13" s="1"/>
  <c r="R287" i="13" s="1"/>
  <c r="R286" i="13" s="1"/>
  <c r="R285" i="13" s="1"/>
  <c r="R284" i="13" s="1"/>
  <c r="R283" i="13" s="1"/>
  <c r="R282" i="13" s="1"/>
  <c r="R281" i="13" s="1"/>
  <c r="R280" i="13" s="1"/>
  <c r="R279" i="13" s="1"/>
  <c r="R278" i="13" s="1"/>
  <c r="R277" i="13" s="1"/>
  <c r="R276" i="13" s="1"/>
  <c r="R275" i="13" s="1"/>
  <c r="R274" i="13" s="1"/>
  <c r="R273" i="13" s="1"/>
  <c r="R272" i="13" s="1"/>
  <c r="R271" i="13" s="1"/>
  <c r="R270" i="13" s="1"/>
  <c r="R269" i="13" s="1"/>
  <c r="R268" i="13" s="1"/>
  <c r="R267" i="13" s="1"/>
  <c r="R266" i="13" s="1"/>
  <c r="R265" i="13" s="1"/>
  <c r="R264" i="13" s="1"/>
  <c r="R263" i="13" s="1"/>
  <c r="R262" i="13" s="1"/>
  <c r="R261" i="13" s="1"/>
  <c r="R260" i="13" s="1"/>
  <c r="R259" i="13" s="1"/>
  <c r="R258" i="13" s="1"/>
  <c r="R257" i="13" s="1"/>
  <c r="R256" i="13" s="1"/>
  <c r="R255" i="13" s="1"/>
  <c r="R254" i="13" s="1"/>
  <c r="R253" i="13" s="1"/>
  <c r="R252" i="13" s="1"/>
  <c r="R251" i="13" s="1"/>
  <c r="R250" i="13" s="1"/>
  <c r="R249" i="13" s="1"/>
  <c r="R248" i="13" s="1"/>
  <c r="R247" i="13" s="1"/>
  <c r="R246" i="13" s="1"/>
  <c r="R245" i="13" s="1"/>
  <c r="R244" i="13" s="1"/>
  <c r="R243" i="13" s="1"/>
  <c r="R242" i="13" s="1"/>
  <c r="R241" i="13" s="1"/>
  <c r="R240" i="13" s="1"/>
  <c r="R239" i="13" s="1"/>
  <c r="R238" i="13" s="1"/>
  <c r="R237" i="13" s="1"/>
  <c r="R236" i="13" s="1"/>
  <c r="R235" i="13" s="1"/>
  <c r="R234" i="13" s="1"/>
  <c r="R233" i="13" s="1"/>
  <c r="R232" i="13" s="1"/>
  <c r="R231" i="13" s="1"/>
  <c r="R230" i="13" s="1"/>
  <c r="R229" i="13" s="1"/>
  <c r="R228" i="13" s="1"/>
  <c r="R227" i="13" s="1"/>
  <c r="R226" i="13" s="1"/>
  <c r="R225" i="13" s="1"/>
  <c r="R224" i="13" s="1"/>
  <c r="R223" i="13" s="1"/>
  <c r="R222" i="13" s="1"/>
  <c r="R221" i="13" s="1"/>
  <c r="R220" i="13" s="1"/>
  <c r="R219" i="13" s="1"/>
  <c r="R218" i="13" s="1"/>
  <c r="R217" i="13" s="1"/>
  <c r="R216" i="13" s="1"/>
  <c r="R215" i="13" s="1"/>
  <c r="R214" i="13" s="1"/>
  <c r="R213" i="13" s="1"/>
  <c r="R212" i="13" s="1"/>
  <c r="R211" i="13" s="1"/>
  <c r="R210" i="13" s="1"/>
  <c r="R209" i="13" s="1"/>
  <c r="R208" i="13" s="1"/>
  <c r="R207" i="13" s="1"/>
  <c r="R206" i="13" s="1"/>
  <c r="R205" i="13" s="1"/>
  <c r="R204" i="13" s="1"/>
  <c r="R203" i="13" s="1"/>
  <c r="R202" i="13" s="1"/>
  <c r="R201" i="13" s="1"/>
  <c r="R200" i="13" s="1"/>
  <c r="R199" i="13" s="1"/>
  <c r="R198" i="13" s="1"/>
  <c r="R197" i="13" s="1"/>
  <c r="R196" i="13" s="1"/>
  <c r="R195" i="13" s="1"/>
  <c r="R194" i="13" s="1"/>
  <c r="R193" i="13" s="1"/>
  <c r="R192" i="13" s="1"/>
  <c r="R191" i="13" s="1"/>
  <c r="R190" i="13" s="1"/>
  <c r="R189" i="13" s="1"/>
  <c r="R188" i="13" s="1"/>
  <c r="R187" i="13" s="1"/>
  <c r="R186" i="13" s="1"/>
  <c r="R185" i="13" s="1"/>
  <c r="R184" i="13" s="1"/>
  <c r="R183" i="13" s="1"/>
  <c r="R182" i="13" s="1"/>
  <c r="R181" i="13" s="1"/>
  <c r="R180" i="13" s="1"/>
  <c r="R179" i="13" s="1"/>
  <c r="R178" i="13" s="1"/>
  <c r="R177" i="13" s="1"/>
  <c r="R176" i="13" s="1"/>
  <c r="R175" i="13" s="1"/>
  <c r="R174" i="13" s="1"/>
  <c r="R173" i="13" s="1"/>
  <c r="R172" i="13" s="1"/>
  <c r="R171" i="13" s="1"/>
  <c r="R170" i="13" s="1"/>
  <c r="R169" i="13" s="1"/>
  <c r="R168" i="13" s="1"/>
  <c r="R167" i="13" s="1"/>
  <c r="R166" i="13" s="1"/>
  <c r="R165" i="13" s="1"/>
  <c r="R164" i="13" s="1"/>
  <c r="R163" i="13" s="1"/>
  <c r="R162" i="13" s="1"/>
  <c r="R161" i="13" s="1"/>
  <c r="R160" i="13" s="1"/>
  <c r="R159" i="13" s="1"/>
  <c r="R158" i="13" s="1"/>
  <c r="R157" i="13" s="1"/>
  <c r="R156" i="13" s="1"/>
  <c r="R155" i="13" s="1"/>
  <c r="R154" i="13" s="1"/>
  <c r="R153" i="13" s="1"/>
  <c r="R152" i="13" s="1"/>
  <c r="R151" i="13" s="1"/>
  <c r="R150" i="13" s="1"/>
  <c r="R149" i="13" s="1"/>
  <c r="R148" i="13" s="1"/>
  <c r="R147" i="13" s="1"/>
  <c r="R146" i="13" s="1"/>
  <c r="R145" i="13" s="1"/>
  <c r="R144" i="13" s="1"/>
  <c r="R143" i="13" s="1"/>
  <c r="R142" i="13" s="1"/>
  <c r="R141" i="13" s="1"/>
  <c r="R140" i="13" s="1"/>
  <c r="R139" i="13" s="1"/>
  <c r="R138" i="13" s="1"/>
  <c r="R137" i="13" s="1"/>
  <c r="R136" i="13" s="1"/>
  <c r="R135" i="13" s="1"/>
  <c r="R134" i="13" s="1"/>
  <c r="R133" i="13" s="1"/>
  <c r="R132" i="13" s="1"/>
  <c r="R131" i="13" s="1"/>
  <c r="R130" i="13" s="1"/>
  <c r="R129" i="13" s="1"/>
  <c r="R128" i="13" s="1"/>
  <c r="R127" i="13" s="1"/>
  <c r="R126" i="13" s="1"/>
  <c r="R125" i="13" s="1"/>
  <c r="R124" i="13" s="1"/>
  <c r="R123" i="13" s="1"/>
  <c r="R122" i="13" s="1"/>
  <c r="R121" i="13" s="1"/>
  <c r="R120" i="13" s="1"/>
  <c r="R119" i="13" s="1"/>
  <c r="R118" i="13" s="1"/>
  <c r="R117" i="13" s="1"/>
  <c r="R116" i="13" s="1"/>
  <c r="R115" i="13" s="1"/>
  <c r="R114" i="13" s="1"/>
  <c r="R113" i="13" s="1"/>
  <c r="R112" i="13" s="1"/>
  <c r="R111" i="13" s="1"/>
  <c r="R110" i="13" s="1"/>
  <c r="R109" i="13" s="1"/>
  <c r="R108" i="13" s="1"/>
  <c r="R107" i="13" s="1"/>
  <c r="R106" i="13" s="1"/>
  <c r="R105" i="13" s="1"/>
  <c r="R104" i="13" s="1"/>
  <c r="R103" i="13" s="1"/>
  <c r="R102" i="13" s="1"/>
  <c r="R101" i="13" s="1"/>
  <c r="R100" i="13" s="1"/>
  <c r="R99" i="13" s="1"/>
  <c r="R98" i="13" s="1"/>
  <c r="R97" i="13" s="1"/>
  <c r="R96" i="13" s="1"/>
  <c r="R95" i="13" s="1"/>
  <c r="R94" i="13" s="1"/>
  <c r="R93" i="13" s="1"/>
  <c r="R92" i="13" s="1"/>
  <c r="R91" i="13" s="1"/>
  <c r="R90" i="13" s="1"/>
  <c r="R89" i="13" s="1"/>
  <c r="R88" i="13" s="1"/>
  <c r="R87" i="13" s="1"/>
  <c r="R86" i="13" s="1"/>
  <c r="R85" i="13" s="1"/>
  <c r="R84" i="13" s="1"/>
  <c r="R83" i="13" s="1"/>
  <c r="R82" i="13" s="1"/>
  <c r="R81" i="13" s="1"/>
  <c r="R80" i="13" s="1"/>
  <c r="R79" i="13" s="1"/>
  <c r="R78" i="13" s="1"/>
  <c r="R77" i="13" s="1"/>
  <c r="R76" i="13" s="1"/>
  <c r="R75" i="13" s="1"/>
  <c r="R74" i="13" s="1"/>
  <c r="R73" i="13" s="1"/>
  <c r="R72" i="13" s="1"/>
  <c r="R71" i="13" s="1"/>
  <c r="R70" i="13" s="1"/>
  <c r="R69" i="13" s="1"/>
  <c r="R68" i="13" s="1"/>
  <c r="R67" i="13" s="1"/>
  <c r="R66" i="13" s="1"/>
  <c r="R65" i="13" s="1"/>
  <c r="R64" i="13" s="1"/>
  <c r="R63" i="13" s="1"/>
  <c r="R62" i="13" s="1"/>
  <c r="R61" i="13" s="1"/>
  <c r="R60" i="13" s="1"/>
  <c r="R59" i="13" s="1"/>
  <c r="R58" i="13" s="1"/>
  <c r="R57" i="13" s="1"/>
  <c r="R56" i="13" s="1"/>
  <c r="R55" i="13" s="1"/>
  <c r="R54" i="13" s="1"/>
  <c r="R53" i="13" s="1"/>
  <c r="R52" i="13" s="1"/>
  <c r="R51" i="13" s="1"/>
  <c r="R50" i="13" s="1"/>
  <c r="R49" i="13" s="1"/>
  <c r="R48" i="13" s="1"/>
  <c r="R47" i="13" s="1"/>
  <c r="R46" i="13" s="1"/>
  <c r="R45" i="13" s="1"/>
  <c r="R44" i="13" s="1"/>
  <c r="R43" i="13" s="1"/>
  <c r="R42" i="13" s="1"/>
  <c r="R41" i="13" s="1"/>
  <c r="R40" i="13" s="1"/>
  <c r="R39" i="13" s="1"/>
  <c r="R38" i="13" s="1"/>
  <c r="R37" i="13" s="1"/>
  <c r="R36" i="13" s="1"/>
  <c r="R35" i="13" s="1"/>
  <c r="R34" i="13" s="1"/>
  <c r="R33" i="13" s="1"/>
  <c r="R32" i="13" s="1"/>
  <c r="R31" i="13" s="1"/>
  <c r="R30" i="13" s="1"/>
  <c r="R29" i="13" s="1"/>
  <c r="R28" i="13" s="1"/>
  <c r="R27" i="13" s="1"/>
  <c r="R26" i="13" s="1"/>
  <c r="R25" i="13" s="1"/>
  <c r="R24" i="13" s="1"/>
  <c r="R23" i="13" s="1"/>
  <c r="R22" i="13" s="1"/>
  <c r="R21" i="13" s="1"/>
  <c r="R20" i="13" s="1"/>
  <c r="R19" i="13" s="1"/>
  <c r="R18" i="13" s="1"/>
  <c r="R17" i="13" s="1"/>
  <c r="R16" i="13" s="1"/>
  <c r="R15" i="13" s="1"/>
  <c r="R14" i="13" s="1"/>
  <c r="R13" i="13" s="1"/>
  <c r="R12" i="13" s="1"/>
  <c r="R11" i="13" s="1"/>
  <c r="R10" i="13" s="1"/>
  <c r="R9" i="13" s="1"/>
  <c r="R8" i="13" s="1"/>
  <c r="R7" i="13" s="1"/>
  <c r="R6" i="13" s="1"/>
  <c r="R5" i="13" s="1"/>
  <c r="R4" i="13" s="1"/>
  <c r="R3" i="13" s="1"/>
  <c r="M363" i="13"/>
  <c r="M362" i="13" s="1"/>
  <c r="M361" i="13" s="1"/>
  <c r="M360" i="13" s="1"/>
  <c r="M359" i="13" s="1"/>
  <c r="M358" i="13" s="1"/>
  <c r="M357" i="13" s="1"/>
  <c r="M356" i="13" s="1"/>
  <c r="M355" i="13" s="1"/>
  <c r="M354" i="13" s="1"/>
  <c r="M353" i="13" s="1"/>
  <c r="M352" i="13" s="1"/>
  <c r="M351" i="13" s="1"/>
  <c r="M350" i="13" s="1"/>
  <c r="M349" i="13" s="1"/>
  <c r="M348" i="13" s="1"/>
  <c r="M347" i="13" s="1"/>
  <c r="M346" i="13" s="1"/>
  <c r="M345" i="13" s="1"/>
  <c r="M344" i="13" s="1"/>
  <c r="M343" i="13" s="1"/>
  <c r="M342" i="13" s="1"/>
  <c r="M341" i="13" s="1"/>
  <c r="M340" i="13" s="1"/>
  <c r="M339" i="13" s="1"/>
  <c r="M338" i="13" s="1"/>
  <c r="M337" i="13" s="1"/>
  <c r="M336" i="13" s="1"/>
  <c r="M335" i="13" s="1"/>
  <c r="M334" i="13" s="1"/>
  <c r="M333" i="13" s="1"/>
  <c r="M332" i="13" s="1"/>
  <c r="M331" i="13" s="1"/>
  <c r="M330" i="13" s="1"/>
  <c r="M329" i="13" s="1"/>
  <c r="M328" i="13" s="1"/>
  <c r="M327" i="13" s="1"/>
  <c r="M326" i="13" s="1"/>
  <c r="M325" i="13" s="1"/>
  <c r="M324" i="13" s="1"/>
  <c r="M323" i="13" s="1"/>
  <c r="M322" i="13" s="1"/>
  <c r="M321" i="13" s="1"/>
  <c r="M320" i="13" s="1"/>
  <c r="M319" i="13" s="1"/>
  <c r="M318" i="13" s="1"/>
  <c r="M317" i="13" s="1"/>
  <c r="M316" i="13" s="1"/>
  <c r="M315" i="13" s="1"/>
  <c r="M314" i="13" s="1"/>
  <c r="M313" i="13" s="1"/>
  <c r="M312" i="13" s="1"/>
  <c r="M311" i="13" s="1"/>
  <c r="M310" i="13" s="1"/>
  <c r="M309" i="13" s="1"/>
  <c r="M308" i="13" s="1"/>
  <c r="M307" i="13" s="1"/>
  <c r="M306" i="13" s="1"/>
  <c r="M305" i="13" s="1"/>
  <c r="M304" i="13" s="1"/>
  <c r="M303" i="13" s="1"/>
  <c r="M302" i="13" s="1"/>
  <c r="M301" i="13" s="1"/>
  <c r="M300" i="13" s="1"/>
  <c r="M299" i="13" s="1"/>
  <c r="M298" i="13" s="1"/>
  <c r="M297" i="13" s="1"/>
  <c r="M296" i="13" s="1"/>
  <c r="M295" i="13" s="1"/>
  <c r="M294" i="13" s="1"/>
  <c r="M293" i="13" s="1"/>
  <c r="M292" i="13" s="1"/>
  <c r="M291" i="13" s="1"/>
  <c r="M290" i="13" s="1"/>
  <c r="M289" i="13" s="1"/>
  <c r="M288" i="13" s="1"/>
  <c r="M287" i="13" s="1"/>
  <c r="M286" i="13" s="1"/>
  <c r="M285" i="13" s="1"/>
  <c r="M284" i="13" s="1"/>
  <c r="M283" i="13" s="1"/>
  <c r="M282" i="13" s="1"/>
  <c r="M281" i="13" s="1"/>
  <c r="M280" i="13" s="1"/>
  <c r="M279" i="13" s="1"/>
  <c r="M278" i="13" s="1"/>
  <c r="M277" i="13" s="1"/>
  <c r="M276" i="13" s="1"/>
  <c r="M275" i="13" s="1"/>
  <c r="M274" i="13" s="1"/>
  <c r="M273" i="13" s="1"/>
  <c r="M272" i="13" s="1"/>
  <c r="M271" i="13" s="1"/>
  <c r="M270" i="13" s="1"/>
  <c r="M269" i="13" s="1"/>
  <c r="M268" i="13" s="1"/>
  <c r="M267" i="13" s="1"/>
  <c r="M266" i="13" s="1"/>
  <c r="M265" i="13" s="1"/>
  <c r="M264" i="13" s="1"/>
  <c r="M263" i="13" s="1"/>
  <c r="M262" i="13" s="1"/>
  <c r="M261" i="13" s="1"/>
  <c r="M260" i="13" s="1"/>
  <c r="M259" i="13" s="1"/>
  <c r="M258" i="13" s="1"/>
  <c r="M257" i="13" s="1"/>
  <c r="M256" i="13" s="1"/>
  <c r="M255" i="13" s="1"/>
  <c r="M254" i="13" s="1"/>
  <c r="M253" i="13" s="1"/>
  <c r="M252" i="13" s="1"/>
  <c r="M251" i="13" s="1"/>
  <c r="M250" i="13" s="1"/>
  <c r="M249" i="13" s="1"/>
  <c r="M248" i="13" s="1"/>
  <c r="M247" i="13" s="1"/>
  <c r="M246" i="13" s="1"/>
  <c r="M245" i="13" s="1"/>
  <c r="M244" i="13" s="1"/>
  <c r="M243" i="13" s="1"/>
  <c r="M242" i="13" s="1"/>
  <c r="M241" i="13" s="1"/>
  <c r="M240" i="13" s="1"/>
  <c r="M239" i="13" s="1"/>
  <c r="M238" i="13" s="1"/>
  <c r="M237" i="13" s="1"/>
  <c r="M236" i="13" s="1"/>
  <c r="M235" i="13" s="1"/>
  <c r="M234" i="13" s="1"/>
  <c r="M233" i="13" s="1"/>
  <c r="M232" i="13" s="1"/>
  <c r="M231" i="13" s="1"/>
  <c r="M230" i="13" s="1"/>
  <c r="M229" i="13" s="1"/>
  <c r="M228" i="13" s="1"/>
  <c r="M227" i="13" s="1"/>
  <c r="M226" i="13" s="1"/>
  <c r="M225" i="13" s="1"/>
  <c r="M224" i="13" s="1"/>
  <c r="M223" i="13" s="1"/>
  <c r="M222" i="13" s="1"/>
  <c r="M221" i="13" s="1"/>
  <c r="M220" i="13" s="1"/>
  <c r="M219" i="13" s="1"/>
  <c r="M218" i="13" s="1"/>
  <c r="M217" i="13" s="1"/>
  <c r="M216" i="13" s="1"/>
  <c r="M215" i="13" s="1"/>
  <c r="M214" i="13" s="1"/>
  <c r="M213" i="13" s="1"/>
  <c r="M212" i="13" s="1"/>
  <c r="M211" i="13" s="1"/>
  <c r="M210" i="13" s="1"/>
  <c r="M209" i="13" s="1"/>
  <c r="M208" i="13" s="1"/>
  <c r="M207" i="13" s="1"/>
  <c r="M206" i="13" s="1"/>
  <c r="M205" i="13" s="1"/>
  <c r="M204" i="13" s="1"/>
  <c r="M203" i="13" s="1"/>
  <c r="M202" i="13" s="1"/>
  <c r="M201" i="13" s="1"/>
  <c r="M200" i="13" s="1"/>
  <c r="M199" i="13" s="1"/>
  <c r="M198" i="13" s="1"/>
  <c r="M197" i="13" s="1"/>
  <c r="M196" i="13" s="1"/>
  <c r="M195" i="13" s="1"/>
  <c r="M194" i="13" s="1"/>
  <c r="M193" i="13" s="1"/>
  <c r="M192" i="13" s="1"/>
  <c r="M191" i="13" s="1"/>
  <c r="M190" i="13" s="1"/>
  <c r="M189" i="13" s="1"/>
  <c r="M188" i="13" s="1"/>
  <c r="M187" i="13" s="1"/>
  <c r="M186" i="13" s="1"/>
  <c r="M185" i="13" s="1"/>
  <c r="M184" i="13" s="1"/>
  <c r="M183" i="13" s="1"/>
  <c r="M182" i="13" s="1"/>
  <c r="M181" i="13" s="1"/>
  <c r="M180" i="13" s="1"/>
  <c r="M179" i="13" s="1"/>
  <c r="M178" i="13" s="1"/>
  <c r="M177" i="13" s="1"/>
  <c r="M176" i="13" s="1"/>
  <c r="M175" i="13" s="1"/>
  <c r="M174" i="13" s="1"/>
  <c r="M173" i="13" s="1"/>
  <c r="M172" i="13" s="1"/>
  <c r="M171" i="13" s="1"/>
  <c r="M170" i="13" s="1"/>
  <c r="M169" i="13" s="1"/>
  <c r="M168" i="13" s="1"/>
  <c r="M167" i="13" s="1"/>
  <c r="M166" i="13" s="1"/>
  <c r="M165" i="13" s="1"/>
  <c r="M164" i="13" s="1"/>
  <c r="M163" i="13" s="1"/>
  <c r="M162" i="13" s="1"/>
  <c r="M161" i="13" s="1"/>
  <c r="M160" i="13" s="1"/>
  <c r="M159" i="13" s="1"/>
  <c r="M158" i="13" s="1"/>
  <c r="M157" i="13" s="1"/>
  <c r="M156" i="13" s="1"/>
  <c r="M155" i="13" s="1"/>
  <c r="M154" i="13" s="1"/>
  <c r="M153" i="13" s="1"/>
  <c r="M152" i="13" s="1"/>
  <c r="M151" i="13" s="1"/>
  <c r="M150" i="13" s="1"/>
  <c r="M149" i="13" s="1"/>
  <c r="M148" i="13" s="1"/>
  <c r="M147" i="13" s="1"/>
  <c r="M146" i="13" s="1"/>
  <c r="M145" i="13" s="1"/>
  <c r="M144" i="13" s="1"/>
  <c r="M143" i="13" s="1"/>
  <c r="M142" i="13" s="1"/>
  <c r="M141" i="13" s="1"/>
  <c r="M140" i="13" s="1"/>
  <c r="M139" i="13" s="1"/>
  <c r="M138" i="13" s="1"/>
  <c r="M137" i="13" s="1"/>
  <c r="M136" i="13" s="1"/>
  <c r="M135" i="13" s="1"/>
  <c r="M134" i="13" s="1"/>
  <c r="M133" i="13" s="1"/>
  <c r="M132" i="13" s="1"/>
  <c r="M131" i="13" s="1"/>
  <c r="M130" i="13" s="1"/>
  <c r="M129" i="13" s="1"/>
  <c r="M128" i="13" s="1"/>
  <c r="M127" i="13" s="1"/>
  <c r="M126" i="13" s="1"/>
  <c r="M125" i="13" s="1"/>
  <c r="M124" i="13" s="1"/>
  <c r="M123" i="13" s="1"/>
  <c r="M122" i="13" s="1"/>
  <c r="M121" i="13" s="1"/>
  <c r="M120" i="13" s="1"/>
  <c r="M119" i="13" s="1"/>
  <c r="M118" i="13" s="1"/>
  <c r="M117" i="13" s="1"/>
  <c r="M116" i="13" s="1"/>
  <c r="M115" i="13" s="1"/>
  <c r="M114" i="13" s="1"/>
  <c r="M113" i="13" s="1"/>
  <c r="M112" i="13" s="1"/>
  <c r="M111" i="13" s="1"/>
  <c r="M110" i="13" s="1"/>
  <c r="M109" i="13" s="1"/>
  <c r="M108" i="13" s="1"/>
  <c r="M107" i="13" s="1"/>
  <c r="M106" i="13" s="1"/>
  <c r="M105" i="13" s="1"/>
  <c r="M104" i="13" s="1"/>
  <c r="M103" i="13" s="1"/>
  <c r="M102" i="13" s="1"/>
  <c r="M101" i="13" s="1"/>
  <c r="M100" i="13" s="1"/>
  <c r="M99" i="13" s="1"/>
  <c r="M98" i="13" s="1"/>
  <c r="M97" i="13" s="1"/>
  <c r="M96" i="13" s="1"/>
  <c r="M95" i="13" s="1"/>
  <c r="M94" i="13" s="1"/>
  <c r="M93" i="13" s="1"/>
  <c r="M92" i="13" s="1"/>
  <c r="M91" i="13" s="1"/>
  <c r="M90" i="13" s="1"/>
  <c r="M89" i="13" s="1"/>
  <c r="M88" i="13" s="1"/>
  <c r="M87" i="13" s="1"/>
  <c r="M86" i="13" s="1"/>
  <c r="M85" i="13" s="1"/>
  <c r="M84" i="13" s="1"/>
  <c r="M83" i="13" s="1"/>
  <c r="M82" i="13" s="1"/>
  <c r="M81" i="13" s="1"/>
  <c r="M80" i="13" s="1"/>
  <c r="M79" i="13" s="1"/>
  <c r="M78" i="13" s="1"/>
  <c r="M77" i="13" s="1"/>
  <c r="M76" i="13" s="1"/>
  <c r="M75" i="13" s="1"/>
  <c r="M74" i="13" s="1"/>
  <c r="M73" i="13" s="1"/>
  <c r="M72" i="13" s="1"/>
  <c r="M71" i="13" s="1"/>
  <c r="M70" i="13" s="1"/>
  <c r="M69" i="13" s="1"/>
  <c r="M68" i="13" s="1"/>
  <c r="M67" i="13" s="1"/>
  <c r="M66" i="13" s="1"/>
  <c r="M65" i="13" s="1"/>
  <c r="M64" i="13" s="1"/>
  <c r="M63" i="13" s="1"/>
  <c r="M62" i="13" s="1"/>
  <c r="M61" i="13" s="1"/>
  <c r="M60" i="13" s="1"/>
  <c r="M59" i="13" s="1"/>
  <c r="M58" i="13" s="1"/>
  <c r="M57" i="13" s="1"/>
  <c r="M56" i="13" s="1"/>
  <c r="M55" i="13" s="1"/>
  <c r="M54" i="13" s="1"/>
  <c r="M53" i="13" s="1"/>
  <c r="M52" i="13" s="1"/>
  <c r="M51" i="13" s="1"/>
  <c r="M50" i="13" s="1"/>
  <c r="M49" i="13" s="1"/>
  <c r="M48" i="13" s="1"/>
  <c r="M47" i="13" s="1"/>
  <c r="M46" i="13" s="1"/>
  <c r="M45" i="13" s="1"/>
  <c r="M44" i="13" s="1"/>
  <c r="M43" i="13" s="1"/>
  <c r="M42" i="13" s="1"/>
  <c r="M41" i="13" s="1"/>
  <c r="M40" i="13" s="1"/>
  <c r="M39" i="13" s="1"/>
  <c r="M38" i="13" s="1"/>
  <c r="M37" i="13" s="1"/>
  <c r="M36" i="13" s="1"/>
  <c r="M35" i="13" s="1"/>
  <c r="M34" i="13" s="1"/>
  <c r="M33" i="13" s="1"/>
  <c r="M32" i="13" s="1"/>
  <c r="M31" i="13" s="1"/>
  <c r="M30" i="13" s="1"/>
  <c r="M29" i="13" s="1"/>
  <c r="M28" i="13" s="1"/>
  <c r="M27" i="13" s="1"/>
  <c r="M26" i="13" s="1"/>
  <c r="M25" i="13" s="1"/>
  <c r="M24" i="13" s="1"/>
  <c r="M23" i="13" s="1"/>
  <c r="M22" i="13" s="1"/>
  <c r="M21" i="13" s="1"/>
  <c r="M20" i="13" s="1"/>
  <c r="M19" i="13" s="1"/>
  <c r="M18" i="13" s="1"/>
  <c r="M17" i="13" s="1"/>
  <c r="M16" i="13" s="1"/>
  <c r="M15" i="13" s="1"/>
  <c r="M14" i="13" s="1"/>
  <c r="M13" i="13" s="1"/>
  <c r="M12" i="13" s="1"/>
  <c r="M11" i="13" s="1"/>
  <c r="M10" i="13" s="1"/>
  <c r="M9" i="13" s="1"/>
  <c r="M8" i="13" s="1"/>
  <c r="M7" i="13" s="1"/>
  <c r="M6" i="13" s="1"/>
  <c r="M5" i="13" s="1"/>
  <c r="M4" i="13" s="1"/>
  <c r="M3" i="13" s="1"/>
  <c r="J362" i="13"/>
  <c r="J361" i="13" s="1"/>
  <c r="J360" i="13" s="1"/>
  <c r="J359" i="13" s="1"/>
  <c r="J358" i="13" s="1"/>
  <c r="J357" i="13" s="1"/>
  <c r="J356" i="13" s="1"/>
  <c r="J355" i="13" s="1"/>
  <c r="J354" i="13" s="1"/>
  <c r="J353" i="13" s="1"/>
  <c r="J352" i="13" s="1"/>
  <c r="J351" i="13" s="1"/>
  <c r="J350" i="13" s="1"/>
  <c r="J349" i="13" s="1"/>
  <c r="J348" i="13" s="1"/>
  <c r="J347" i="13" s="1"/>
  <c r="J346" i="13" s="1"/>
  <c r="J345" i="13" s="1"/>
  <c r="J344" i="13" s="1"/>
  <c r="J343" i="13" s="1"/>
  <c r="J342" i="13" s="1"/>
  <c r="J341" i="13" s="1"/>
  <c r="J340" i="13" s="1"/>
  <c r="J339" i="13" s="1"/>
  <c r="J338" i="13" s="1"/>
  <c r="J337" i="13" s="1"/>
  <c r="J336" i="13" s="1"/>
  <c r="J335" i="13" s="1"/>
  <c r="J334" i="13" s="1"/>
  <c r="J333" i="13" s="1"/>
  <c r="J332" i="13" s="1"/>
  <c r="J331" i="13" s="1"/>
  <c r="J330" i="13" s="1"/>
  <c r="J329" i="13" s="1"/>
  <c r="J328" i="13" s="1"/>
  <c r="J327" i="13" s="1"/>
  <c r="J326" i="13" s="1"/>
  <c r="J325" i="13" s="1"/>
  <c r="J324" i="13" s="1"/>
  <c r="J323" i="13" s="1"/>
  <c r="J322" i="13" s="1"/>
  <c r="J321" i="13" s="1"/>
  <c r="J320" i="13" s="1"/>
  <c r="J319" i="13" s="1"/>
  <c r="J318" i="13" s="1"/>
  <c r="J317" i="13" s="1"/>
  <c r="J316" i="13" s="1"/>
  <c r="J315" i="13" s="1"/>
  <c r="J314" i="13" s="1"/>
  <c r="J313" i="13" s="1"/>
  <c r="J312" i="13" s="1"/>
  <c r="J311" i="13" s="1"/>
  <c r="J310" i="13" s="1"/>
  <c r="J309" i="13" s="1"/>
  <c r="J308" i="13" s="1"/>
  <c r="J307" i="13" s="1"/>
  <c r="J306" i="13" s="1"/>
  <c r="J305" i="13" s="1"/>
  <c r="J304" i="13" s="1"/>
  <c r="J303" i="13" s="1"/>
  <c r="J302" i="13" s="1"/>
  <c r="J301" i="13" s="1"/>
  <c r="J300" i="13" s="1"/>
  <c r="J299" i="13" s="1"/>
  <c r="J298" i="13" s="1"/>
  <c r="J297" i="13" s="1"/>
  <c r="J296" i="13" s="1"/>
  <c r="J295" i="13" s="1"/>
  <c r="J294" i="13" s="1"/>
  <c r="J293" i="13" s="1"/>
  <c r="J292" i="13" s="1"/>
  <c r="J291" i="13" s="1"/>
  <c r="J290" i="13" s="1"/>
  <c r="J289" i="13" s="1"/>
  <c r="J288" i="13" s="1"/>
  <c r="J287" i="13" s="1"/>
  <c r="J286" i="13" s="1"/>
  <c r="J285" i="13" s="1"/>
  <c r="J284" i="13" s="1"/>
  <c r="J283" i="13" s="1"/>
  <c r="J282" i="13" s="1"/>
  <c r="J281" i="13" s="1"/>
  <c r="J280" i="13" s="1"/>
  <c r="J279" i="13" s="1"/>
  <c r="J278" i="13" s="1"/>
  <c r="J277" i="13" s="1"/>
  <c r="J276" i="13" s="1"/>
  <c r="J275" i="13" s="1"/>
  <c r="J274" i="13" s="1"/>
  <c r="J273" i="13" s="1"/>
  <c r="J272" i="13" s="1"/>
  <c r="J271" i="13" s="1"/>
  <c r="J270" i="13" s="1"/>
  <c r="J269" i="13" s="1"/>
  <c r="J268" i="13" s="1"/>
  <c r="J267" i="13" s="1"/>
  <c r="J266" i="13" s="1"/>
  <c r="J265" i="13" s="1"/>
  <c r="J264" i="13" s="1"/>
  <c r="J263" i="13" s="1"/>
  <c r="J262" i="13" s="1"/>
  <c r="J261" i="13" s="1"/>
  <c r="J260" i="13" s="1"/>
  <c r="J259" i="13" s="1"/>
  <c r="J258" i="13" s="1"/>
  <c r="J257" i="13" s="1"/>
  <c r="J256" i="13" s="1"/>
  <c r="J255" i="13" s="1"/>
  <c r="J254" i="13" s="1"/>
  <c r="J253" i="13" s="1"/>
  <c r="J252" i="13" s="1"/>
  <c r="J251" i="13" s="1"/>
  <c r="J250" i="13" s="1"/>
  <c r="J249" i="13" s="1"/>
  <c r="J248" i="13" s="1"/>
  <c r="J247" i="13" s="1"/>
  <c r="J246" i="13" s="1"/>
  <c r="J245" i="13" s="1"/>
  <c r="J244" i="13" s="1"/>
  <c r="J243" i="13" s="1"/>
  <c r="J242" i="13" s="1"/>
  <c r="J241" i="13" s="1"/>
  <c r="J240" i="13" s="1"/>
  <c r="J239" i="13" s="1"/>
  <c r="J238" i="13" s="1"/>
  <c r="J237" i="13" s="1"/>
  <c r="J236" i="13" s="1"/>
  <c r="J235" i="13" s="1"/>
  <c r="J234" i="13" s="1"/>
  <c r="J233" i="13" s="1"/>
  <c r="J232" i="13" s="1"/>
  <c r="J231" i="13" s="1"/>
  <c r="J230" i="13" s="1"/>
  <c r="J229" i="13" s="1"/>
  <c r="J228" i="13" s="1"/>
  <c r="J227" i="13" s="1"/>
  <c r="J226" i="13" s="1"/>
  <c r="J225" i="13" s="1"/>
  <c r="J224" i="13" s="1"/>
  <c r="J223" i="13" s="1"/>
  <c r="J222" i="13" s="1"/>
  <c r="J221" i="13" s="1"/>
  <c r="J220" i="13" s="1"/>
  <c r="J219" i="13" s="1"/>
  <c r="J218" i="13" s="1"/>
  <c r="J217" i="13" s="1"/>
  <c r="J216" i="13" s="1"/>
  <c r="J215" i="13" s="1"/>
  <c r="J214" i="13" s="1"/>
  <c r="J213" i="13" s="1"/>
  <c r="J212" i="13" s="1"/>
  <c r="J211" i="13" s="1"/>
  <c r="J210" i="13" s="1"/>
  <c r="J209" i="13" s="1"/>
  <c r="J208" i="13" s="1"/>
  <c r="J207" i="13" s="1"/>
  <c r="J206" i="13" s="1"/>
  <c r="J205" i="13" s="1"/>
  <c r="J204" i="13" s="1"/>
  <c r="J203" i="13" s="1"/>
  <c r="J202" i="13" s="1"/>
  <c r="J201" i="13" s="1"/>
  <c r="J200" i="13" s="1"/>
  <c r="J199" i="13" s="1"/>
  <c r="J198" i="13" s="1"/>
  <c r="J197" i="13" s="1"/>
  <c r="J196" i="13" s="1"/>
  <c r="J195" i="13" s="1"/>
  <c r="J194" i="13" s="1"/>
  <c r="J193" i="13" s="1"/>
  <c r="J192" i="13" s="1"/>
  <c r="J191" i="13" s="1"/>
  <c r="J190" i="13" s="1"/>
  <c r="J189" i="13" s="1"/>
  <c r="J188" i="13" s="1"/>
  <c r="J187" i="13" s="1"/>
  <c r="J186" i="13" s="1"/>
  <c r="J185" i="13" s="1"/>
  <c r="J184" i="13" s="1"/>
  <c r="J183" i="13" s="1"/>
  <c r="J182" i="13" s="1"/>
  <c r="J181" i="13" s="1"/>
  <c r="J180" i="13" s="1"/>
  <c r="J179" i="13" s="1"/>
  <c r="J178" i="13" s="1"/>
  <c r="J177" i="13" s="1"/>
  <c r="J176" i="13" s="1"/>
  <c r="J175" i="13" s="1"/>
  <c r="J174" i="13" s="1"/>
  <c r="J173" i="13" s="1"/>
  <c r="J172" i="13" s="1"/>
  <c r="J171" i="13" s="1"/>
  <c r="J170" i="13" s="1"/>
  <c r="J169" i="13" s="1"/>
  <c r="J168" i="13" s="1"/>
  <c r="J167" i="13" s="1"/>
  <c r="J166" i="13" s="1"/>
  <c r="J165" i="13" s="1"/>
  <c r="J164" i="13" s="1"/>
  <c r="J163" i="13" s="1"/>
  <c r="J162" i="13" s="1"/>
  <c r="J161" i="13" s="1"/>
  <c r="J160" i="13" s="1"/>
  <c r="J159" i="13" s="1"/>
  <c r="J158" i="13" s="1"/>
  <c r="J157" i="13" s="1"/>
  <c r="J156" i="13" s="1"/>
  <c r="J155" i="13" s="1"/>
  <c r="J154" i="13" s="1"/>
  <c r="J153" i="13" s="1"/>
  <c r="J152" i="13" s="1"/>
  <c r="J151" i="13" s="1"/>
  <c r="J150" i="13" s="1"/>
  <c r="J149" i="13" s="1"/>
  <c r="J148" i="13" s="1"/>
  <c r="J147" i="13" s="1"/>
  <c r="J146" i="13" s="1"/>
  <c r="J145" i="13" s="1"/>
  <c r="J144" i="13" s="1"/>
  <c r="J143" i="13" s="1"/>
  <c r="J142" i="13" s="1"/>
  <c r="J141" i="13" s="1"/>
  <c r="J140" i="13" s="1"/>
  <c r="J139" i="13" s="1"/>
  <c r="J138" i="13" s="1"/>
  <c r="J137" i="13" s="1"/>
  <c r="J136" i="13" s="1"/>
  <c r="J135" i="13" s="1"/>
  <c r="J134" i="13" s="1"/>
  <c r="J133" i="13" s="1"/>
  <c r="J132" i="13" s="1"/>
  <c r="J131" i="13" s="1"/>
  <c r="J130" i="13" s="1"/>
  <c r="J129" i="13" s="1"/>
  <c r="J128" i="13" s="1"/>
  <c r="J127" i="13" s="1"/>
  <c r="J126" i="13" s="1"/>
  <c r="J125" i="13" s="1"/>
  <c r="J124" i="13" s="1"/>
  <c r="J123" i="13" s="1"/>
  <c r="J122" i="13" s="1"/>
  <c r="J121" i="13" s="1"/>
  <c r="J120" i="13" s="1"/>
  <c r="J119" i="13" s="1"/>
  <c r="J118" i="13" s="1"/>
  <c r="J117" i="13" s="1"/>
  <c r="J116" i="13" s="1"/>
  <c r="J115" i="13" s="1"/>
  <c r="J114" i="13" s="1"/>
  <c r="J113" i="13" s="1"/>
  <c r="J112" i="13" s="1"/>
  <c r="J111" i="13" s="1"/>
  <c r="J110" i="13" s="1"/>
  <c r="J109" i="13" s="1"/>
  <c r="J108" i="13" s="1"/>
  <c r="J107" i="13" s="1"/>
  <c r="J106" i="13" s="1"/>
  <c r="J105" i="13" s="1"/>
  <c r="J104" i="13" s="1"/>
  <c r="J103" i="13" s="1"/>
  <c r="J102" i="13" s="1"/>
  <c r="J101" i="13" s="1"/>
  <c r="J100" i="13" s="1"/>
  <c r="J99" i="13" s="1"/>
  <c r="J98" i="13" s="1"/>
  <c r="J97" i="13" s="1"/>
  <c r="J96" i="13" s="1"/>
  <c r="J95" i="13" s="1"/>
  <c r="J94" i="13" s="1"/>
  <c r="J93" i="13" s="1"/>
  <c r="J92" i="13" s="1"/>
  <c r="J91" i="13" s="1"/>
  <c r="J90" i="13" s="1"/>
  <c r="J89" i="13" s="1"/>
  <c r="J88" i="13" s="1"/>
  <c r="J87" i="13" s="1"/>
  <c r="J86" i="13" s="1"/>
  <c r="J85" i="13" s="1"/>
  <c r="J84" i="13" s="1"/>
  <c r="J83" i="13" s="1"/>
  <c r="J82" i="13" s="1"/>
  <c r="J81" i="13" s="1"/>
  <c r="J80" i="13" s="1"/>
  <c r="J79" i="13" s="1"/>
  <c r="J78" i="13" s="1"/>
  <c r="J77" i="13" s="1"/>
  <c r="J76" i="13" s="1"/>
  <c r="J75" i="13" s="1"/>
  <c r="J74" i="13" s="1"/>
  <c r="J73" i="13" s="1"/>
  <c r="J72" i="13" s="1"/>
  <c r="J71" i="13" s="1"/>
  <c r="J70" i="13" s="1"/>
  <c r="J69" i="13" s="1"/>
  <c r="J68" i="13" s="1"/>
  <c r="J67" i="13" s="1"/>
  <c r="J66" i="13" s="1"/>
  <c r="J65" i="13" s="1"/>
  <c r="J64" i="13" s="1"/>
  <c r="J63" i="13" s="1"/>
  <c r="J62" i="13" s="1"/>
  <c r="J61" i="13" s="1"/>
  <c r="J60" i="13" s="1"/>
  <c r="J59" i="13" s="1"/>
  <c r="J58" i="13" s="1"/>
  <c r="J57" i="13" s="1"/>
  <c r="J56" i="13" s="1"/>
  <c r="J55" i="13" s="1"/>
  <c r="J54" i="13" s="1"/>
  <c r="J53" i="13" s="1"/>
  <c r="J52" i="13" s="1"/>
  <c r="J51" i="13" s="1"/>
  <c r="J50" i="13" s="1"/>
  <c r="J49" i="13" s="1"/>
  <c r="J48" i="13" s="1"/>
  <c r="J47" i="13" s="1"/>
  <c r="J46" i="13" s="1"/>
  <c r="J45" i="13" s="1"/>
  <c r="J44" i="13" s="1"/>
  <c r="J43" i="13" s="1"/>
  <c r="J42" i="13" s="1"/>
  <c r="J41" i="13" s="1"/>
  <c r="J40" i="13" s="1"/>
  <c r="J39" i="13" s="1"/>
  <c r="J38" i="13" s="1"/>
  <c r="J37" i="13" s="1"/>
  <c r="J36" i="13" s="1"/>
  <c r="J35" i="13" s="1"/>
  <c r="J34" i="13" s="1"/>
  <c r="J33" i="13" s="1"/>
  <c r="J32" i="13" s="1"/>
  <c r="J31" i="13" s="1"/>
  <c r="J30" i="13" s="1"/>
  <c r="J29" i="13" s="1"/>
  <c r="J28" i="13" s="1"/>
  <c r="J27" i="13" s="1"/>
  <c r="J26" i="13" s="1"/>
  <c r="J25" i="13" s="1"/>
  <c r="J24" i="13" s="1"/>
  <c r="J23" i="13" s="1"/>
  <c r="J22" i="13" s="1"/>
  <c r="J21" i="13" s="1"/>
  <c r="J20" i="13" s="1"/>
  <c r="J19" i="13" s="1"/>
  <c r="J18" i="13" s="1"/>
  <c r="J17" i="13" s="1"/>
  <c r="J16" i="13" s="1"/>
  <c r="J15" i="13" s="1"/>
  <c r="J14" i="13" s="1"/>
  <c r="J13" i="13" s="1"/>
  <c r="J12" i="13" s="1"/>
  <c r="J11" i="13" s="1"/>
  <c r="J10" i="13" s="1"/>
  <c r="J9" i="13" s="1"/>
  <c r="J8" i="13" s="1"/>
  <c r="J7" i="13" s="1"/>
  <c r="J6" i="13" s="1"/>
  <c r="J5" i="13" s="1"/>
  <c r="J4" i="13" s="1"/>
  <c r="J3" i="13" s="1"/>
  <c r="L69" i="8"/>
  <c r="L62" i="8"/>
  <c r="O61" i="8"/>
  <c r="O206" i="8"/>
  <c r="L214" i="8"/>
  <c r="O212" i="8"/>
  <c r="L207" i="8"/>
  <c r="O246" i="8"/>
  <c r="L254" i="8"/>
  <c r="O252" i="8"/>
  <c r="L247" i="8"/>
  <c r="O286" i="8"/>
  <c r="L294" i="8"/>
  <c r="O292" i="8"/>
  <c r="L287" i="8"/>
  <c r="O326" i="8"/>
  <c r="L334" i="8"/>
  <c r="O332" i="8"/>
  <c r="L327" i="8"/>
  <c r="O186" i="8"/>
  <c r="L194" i="8"/>
  <c r="O192" i="8"/>
  <c r="L187" i="8"/>
  <c r="O226" i="8"/>
  <c r="L234" i="8"/>
  <c r="O232" i="8"/>
  <c r="L227" i="8"/>
  <c r="O266" i="8"/>
  <c r="L274" i="8"/>
  <c r="O272" i="8"/>
  <c r="L267" i="8"/>
  <c r="O306" i="8"/>
  <c r="L314" i="8"/>
  <c r="O312" i="8"/>
  <c r="L307" i="8"/>
  <c r="W362" i="10"/>
  <c r="W361" i="10" s="1"/>
  <c r="W360" i="10" s="1"/>
  <c r="W359" i="10" s="1"/>
  <c r="W358" i="10" s="1"/>
  <c r="W357" i="10" s="1"/>
  <c r="W356" i="10" s="1"/>
  <c r="W355" i="10" s="1"/>
  <c r="W354" i="10" s="1"/>
  <c r="W353" i="10" s="1"/>
  <c r="W352" i="10" s="1"/>
  <c r="W351" i="10" s="1"/>
  <c r="W350" i="10" s="1"/>
  <c r="W349" i="10" s="1"/>
  <c r="W348" i="10" s="1"/>
  <c r="W347" i="10" s="1"/>
  <c r="W346" i="10" s="1"/>
  <c r="W345" i="10" s="1"/>
  <c r="W344" i="10" s="1"/>
  <c r="W343" i="10" s="1"/>
  <c r="W342" i="10" s="1"/>
  <c r="W341" i="10" s="1"/>
  <c r="W340" i="10" s="1"/>
  <c r="W339" i="10" s="1"/>
  <c r="W338" i="10" s="1"/>
  <c r="W337" i="10" s="1"/>
  <c r="W336" i="10" s="1"/>
  <c r="W335" i="10" s="1"/>
  <c r="W334" i="10" s="1"/>
  <c r="W333" i="10" s="1"/>
  <c r="W332" i="10" s="1"/>
  <c r="W331" i="10" s="1"/>
  <c r="W330" i="10" s="1"/>
  <c r="W329" i="10" s="1"/>
  <c r="W328" i="10" s="1"/>
  <c r="W327" i="10" s="1"/>
  <c r="W326" i="10" s="1"/>
  <c r="W325" i="10" s="1"/>
  <c r="W324" i="10" s="1"/>
  <c r="W323" i="10" s="1"/>
  <c r="W322" i="10" s="1"/>
  <c r="W321" i="10" s="1"/>
  <c r="W320" i="10" s="1"/>
  <c r="W319" i="10" s="1"/>
  <c r="W318" i="10" s="1"/>
  <c r="W317" i="10" s="1"/>
  <c r="W316" i="10" s="1"/>
  <c r="W315" i="10" s="1"/>
  <c r="W314" i="10" s="1"/>
  <c r="W313" i="10" s="1"/>
  <c r="W312" i="10" s="1"/>
  <c r="W311" i="10" s="1"/>
  <c r="W310" i="10" s="1"/>
  <c r="W309" i="10" s="1"/>
  <c r="W308" i="10" s="1"/>
  <c r="W307" i="10" s="1"/>
  <c r="W306" i="10" s="1"/>
  <c r="W305" i="10" s="1"/>
  <c r="W304" i="10" s="1"/>
  <c r="W303" i="10" s="1"/>
  <c r="W302" i="10" s="1"/>
  <c r="W301" i="10" s="1"/>
  <c r="W300" i="10" s="1"/>
  <c r="W299" i="10" s="1"/>
  <c r="W298" i="10" s="1"/>
  <c r="W297" i="10" s="1"/>
  <c r="W296" i="10" s="1"/>
  <c r="W295" i="10" s="1"/>
  <c r="W294" i="10" s="1"/>
  <c r="W293" i="10" s="1"/>
  <c r="W292" i="10" s="1"/>
  <c r="W291" i="10" s="1"/>
  <c r="W290" i="10" s="1"/>
  <c r="W289" i="10" s="1"/>
  <c r="W288" i="10" s="1"/>
  <c r="W287" i="10" s="1"/>
  <c r="W286" i="10" s="1"/>
  <c r="W285" i="10" s="1"/>
  <c r="W284" i="10" s="1"/>
  <c r="W283" i="10" s="1"/>
  <c r="W282" i="10" s="1"/>
  <c r="W281" i="10" s="1"/>
  <c r="W280" i="10" s="1"/>
  <c r="W279" i="10" s="1"/>
  <c r="W278" i="10" s="1"/>
  <c r="W277" i="10" s="1"/>
  <c r="W276" i="10" s="1"/>
  <c r="W275" i="10" s="1"/>
  <c r="W274" i="10" s="1"/>
  <c r="W273" i="10" s="1"/>
  <c r="W272" i="10" s="1"/>
  <c r="W271" i="10" s="1"/>
  <c r="W270" i="10" s="1"/>
  <c r="W269" i="10" s="1"/>
  <c r="W268" i="10" s="1"/>
  <c r="W267" i="10" s="1"/>
  <c r="W266" i="10" s="1"/>
  <c r="W265" i="10" s="1"/>
  <c r="W264" i="10" s="1"/>
  <c r="W263" i="10" s="1"/>
  <c r="W262" i="10" s="1"/>
  <c r="W261" i="10" s="1"/>
  <c r="W260" i="10" s="1"/>
  <c r="W259" i="10" s="1"/>
  <c r="W258" i="10" s="1"/>
  <c r="W257" i="10" s="1"/>
  <c r="W256" i="10" s="1"/>
  <c r="W255" i="10" s="1"/>
  <c r="W254" i="10" s="1"/>
  <c r="W253" i="10" s="1"/>
  <c r="W252" i="10" s="1"/>
  <c r="W251" i="10" s="1"/>
  <c r="W250" i="10" s="1"/>
  <c r="W249" i="10" s="1"/>
  <c r="W248" i="10" s="1"/>
  <c r="W247" i="10" s="1"/>
  <c r="W246" i="10" s="1"/>
  <c r="W245" i="10" s="1"/>
  <c r="W244" i="10" s="1"/>
  <c r="W243" i="10" s="1"/>
  <c r="W242" i="10" s="1"/>
  <c r="W241" i="10" s="1"/>
  <c r="W240" i="10" s="1"/>
  <c r="W239" i="10" s="1"/>
  <c r="W238" i="10" s="1"/>
  <c r="W237" i="10" s="1"/>
  <c r="W236" i="10" s="1"/>
  <c r="W235" i="10" s="1"/>
  <c r="W234" i="10" s="1"/>
  <c r="W233" i="10" s="1"/>
  <c r="W232" i="10" s="1"/>
  <c r="W231" i="10" s="1"/>
  <c r="W230" i="10" s="1"/>
  <c r="W229" i="10" s="1"/>
  <c r="W228" i="10" s="1"/>
  <c r="W227" i="10" s="1"/>
  <c r="W226" i="10" s="1"/>
  <c r="W225" i="10" s="1"/>
  <c r="W224" i="10" s="1"/>
  <c r="W223" i="10" s="1"/>
  <c r="W222" i="10" s="1"/>
  <c r="W221" i="10" s="1"/>
  <c r="W220" i="10" s="1"/>
  <c r="W219" i="10" s="1"/>
  <c r="W218" i="10" s="1"/>
  <c r="W217" i="10" s="1"/>
  <c r="W216" i="10" s="1"/>
  <c r="W215" i="10" s="1"/>
  <c r="W214" i="10" s="1"/>
  <c r="W213" i="10" s="1"/>
  <c r="W212" i="10" s="1"/>
  <c r="W211" i="10" s="1"/>
  <c r="W210" i="10" s="1"/>
  <c r="W209" i="10" s="1"/>
  <c r="W208" i="10" s="1"/>
  <c r="W207" i="10" s="1"/>
  <c r="W206" i="10" s="1"/>
  <c r="W205" i="10" s="1"/>
  <c r="W204" i="10" s="1"/>
  <c r="W203" i="10" s="1"/>
  <c r="W202" i="10" s="1"/>
  <c r="W201" i="10" s="1"/>
  <c r="W200" i="10" s="1"/>
  <c r="W199" i="10" s="1"/>
  <c r="W198" i="10" s="1"/>
  <c r="W197" i="10" s="1"/>
  <c r="W196" i="10" s="1"/>
  <c r="W195" i="10" s="1"/>
  <c r="W194" i="10" s="1"/>
  <c r="W193" i="10" s="1"/>
  <c r="W192" i="10" s="1"/>
  <c r="W191" i="10" s="1"/>
  <c r="W190" i="10" s="1"/>
  <c r="W189" i="10" s="1"/>
  <c r="W188" i="10" s="1"/>
  <c r="W187" i="10" s="1"/>
  <c r="W186" i="10" s="1"/>
  <c r="W185" i="10" s="1"/>
  <c r="W184" i="10" s="1"/>
  <c r="W183" i="10" s="1"/>
  <c r="W182" i="10" s="1"/>
  <c r="W181" i="10" s="1"/>
  <c r="W180" i="10" s="1"/>
  <c r="W179" i="10" s="1"/>
  <c r="W178" i="10" s="1"/>
  <c r="W177" i="10" s="1"/>
  <c r="W176" i="10" s="1"/>
  <c r="W175" i="10" s="1"/>
  <c r="W174" i="10" s="1"/>
  <c r="W173" i="10" s="1"/>
  <c r="W172" i="10" s="1"/>
  <c r="W171" i="10" s="1"/>
  <c r="W170" i="10" s="1"/>
  <c r="W169" i="10" s="1"/>
  <c r="W168" i="10" s="1"/>
  <c r="W167" i="10" s="1"/>
  <c r="W166" i="10" s="1"/>
  <c r="W165" i="10" s="1"/>
  <c r="W164" i="10" s="1"/>
  <c r="W163" i="10" s="1"/>
  <c r="W162" i="10" s="1"/>
  <c r="W161" i="10" s="1"/>
  <c r="W160" i="10" s="1"/>
  <c r="W159" i="10" s="1"/>
  <c r="W158" i="10" s="1"/>
  <c r="W157" i="10" s="1"/>
  <c r="W156" i="10" s="1"/>
  <c r="W155" i="10" s="1"/>
  <c r="W154" i="10" s="1"/>
  <c r="W153" i="10" s="1"/>
  <c r="W152" i="10" s="1"/>
  <c r="W151" i="10" s="1"/>
  <c r="W150" i="10" s="1"/>
  <c r="W149" i="10" s="1"/>
  <c r="W148" i="10" s="1"/>
  <c r="W147" i="10" s="1"/>
  <c r="W146" i="10" s="1"/>
  <c r="W145" i="10" s="1"/>
  <c r="W144" i="10" s="1"/>
  <c r="W143" i="10" s="1"/>
  <c r="W142" i="10" s="1"/>
  <c r="W141" i="10" s="1"/>
  <c r="W140" i="10" s="1"/>
  <c r="W139" i="10" s="1"/>
  <c r="W138" i="10" s="1"/>
  <c r="W137" i="10" s="1"/>
  <c r="W136" i="10" s="1"/>
  <c r="W135" i="10" s="1"/>
  <c r="W134" i="10" s="1"/>
  <c r="W133" i="10" s="1"/>
  <c r="W132" i="10" s="1"/>
  <c r="W131" i="10" s="1"/>
  <c r="W130" i="10" s="1"/>
  <c r="W129" i="10" s="1"/>
  <c r="W128" i="10" s="1"/>
  <c r="W127" i="10" s="1"/>
  <c r="W126" i="10" s="1"/>
  <c r="W125" i="10" s="1"/>
  <c r="W124" i="10" s="1"/>
  <c r="W123" i="10" s="1"/>
  <c r="W122" i="10" s="1"/>
  <c r="W121" i="10" s="1"/>
  <c r="W120" i="10" s="1"/>
  <c r="W119" i="10" s="1"/>
  <c r="W118" i="10" s="1"/>
  <c r="W117" i="10" s="1"/>
  <c r="W116" i="10" s="1"/>
  <c r="W115" i="10" s="1"/>
  <c r="W114" i="10" s="1"/>
  <c r="W113" i="10" s="1"/>
  <c r="W112" i="10" s="1"/>
  <c r="W111" i="10" s="1"/>
  <c r="W110" i="10" s="1"/>
  <c r="W109" i="10" s="1"/>
  <c r="W108" i="10" s="1"/>
  <c r="W107" i="10" s="1"/>
  <c r="W106" i="10" s="1"/>
  <c r="W105" i="10" s="1"/>
  <c r="W104" i="10" s="1"/>
  <c r="W103" i="10" s="1"/>
  <c r="W102" i="10" s="1"/>
  <c r="W101" i="10" s="1"/>
  <c r="W100" i="10" s="1"/>
  <c r="W99" i="10" s="1"/>
  <c r="W98" i="10" s="1"/>
  <c r="W97" i="10" s="1"/>
  <c r="W96" i="10" s="1"/>
  <c r="W95" i="10" s="1"/>
  <c r="W94" i="10" s="1"/>
  <c r="W93" i="10" s="1"/>
  <c r="W92" i="10" s="1"/>
  <c r="W91" i="10" s="1"/>
  <c r="W90" i="10" s="1"/>
  <c r="W89" i="10" s="1"/>
  <c r="W88" i="10" s="1"/>
  <c r="W87" i="10" s="1"/>
  <c r="W86" i="10" s="1"/>
  <c r="W85" i="10" s="1"/>
  <c r="W84" i="10" s="1"/>
  <c r="W83" i="10" s="1"/>
  <c r="W82" i="10" s="1"/>
  <c r="W81" i="10" s="1"/>
  <c r="W80" i="10" s="1"/>
  <c r="W79" i="10" s="1"/>
  <c r="W78" i="10" s="1"/>
  <c r="W77" i="10" s="1"/>
  <c r="W76" i="10" s="1"/>
  <c r="W75" i="10" s="1"/>
  <c r="W74" i="10" s="1"/>
  <c r="W73" i="10" s="1"/>
  <c r="W72" i="10" s="1"/>
  <c r="W71" i="10" s="1"/>
  <c r="W70" i="10" s="1"/>
  <c r="W69" i="10" s="1"/>
  <c r="W68" i="10" s="1"/>
  <c r="W67" i="10" s="1"/>
  <c r="W66" i="10" s="1"/>
  <c r="W65" i="10" s="1"/>
  <c r="W64" i="10" s="1"/>
  <c r="W63" i="10" s="1"/>
  <c r="W62" i="10" s="1"/>
  <c r="W61" i="10" s="1"/>
  <c r="W60" i="10" s="1"/>
  <c r="W59" i="10" s="1"/>
  <c r="W58" i="10" s="1"/>
  <c r="W57" i="10" s="1"/>
  <c r="W56" i="10" s="1"/>
  <c r="W55" i="10" s="1"/>
  <c r="W54" i="10" s="1"/>
  <c r="W53" i="10" s="1"/>
  <c r="W52" i="10" s="1"/>
  <c r="W51" i="10" s="1"/>
  <c r="W50" i="10" s="1"/>
  <c r="W49" i="10" s="1"/>
  <c r="W48" i="10" s="1"/>
  <c r="W47" i="10" s="1"/>
  <c r="W46" i="10" s="1"/>
  <c r="W45" i="10" s="1"/>
  <c r="W44" i="10" s="1"/>
  <c r="W43" i="10" s="1"/>
  <c r="W42" i="10" s="1"/>
  <c r="W41" i="10" s="1"/>
  <c r="W40" i="10" s="1"/>
  <c r="W39" i="10" s="1"/>
  <c r="W38" i="10" s="1"/>
  <c r="W37" i="10" s="1"/>
  <c r="W36" i="10" s="1"/>
  <c r="W35" i="10" s="1"/>
  <c r="W34" i="10" s="1"/>
  <c r="W33" i="10" s="1"/>
  <c r="W32" i="10" s="1"/>
  <c r="W31" i="10" s="1"/>
  <c r="W30" i="10" s="1"/>
  <c r="W29" i="10" s="1"/>
  <c r="W28" i="10" s="1"/>
  <c r="W27" i="10" s="1"/>
  <c r="W26" i="10" s="1"/>
  <c r="W25" i="10" s="1"/>
  <c r="W24" i="10" s="1"/>
  <c r="W23" i="10" s="1"/>
  <c r="W22" i="10" s="1"/>
  <c r="W21" i="10" s="1"/>
  <c r="W20" i="10" s="1"/>
  <c r="W19" i="10" s="1"/>
  <c r="W18" i="10" s="1"/>
  <c r="W17" i="10" s="1"/>
  <c r="W16" i="10" s="1"/>
  <c r="W15" i="10" s="1"/>
  <c r="W14" i="10" s="1"/>
  <c r="W13" i="10" s="1"/>
  <c r="W12" i="10" s="1"/>
  <c r="W11" i="10" s="1"/>
  <c r="W10" i="10" s="1"/>
  <c r="W9" i="10" s="1"/>
  <c r="W8" i="10" s="1"/>
  <c r="W7" i="10" s="1"/>
  <c r="W6" i="10" s="1"/>
  <c r="W5" i="10" s="1"/>
  <c r="W4" i="10" s="1"/>
  <c r="W3" i="10" s="1"/>
  <c r="Z363" i="10"/>
  <c r="U363" i="10"/>
  <c r="R362" i="10"/>
  <c r="R361" i="10" s="1"/>
  <c r="R360" i="10" s="1"/>
  <c r="R359" i="10" s="1"/>
  <c r="R358" i="10" s="1"/>
  <c r="R357" i="10" s="1"/>
  <c r="R356" i="10" s="1"/>
  <c r="R355" i="10" s="1"/>
  <c r="R354" i="10" s="1"/>
  <c r="R353" i="10" s="1"/>
  <c r="R352" i="10" s="1"/>
  <c r="R351" i="10" s="1"/>
  <c r="R350" i="10" s="1"/>
  <c r="R349" i="10" s="1"/>
  <c r="R348" i="10" s="1"/>
  <c r="R347" i="10" s="1"/>
  <c r="R346" i="10" s="1"/>
  <c r="R345" i="10" s="1"/>
  <c r="R344" i="10" s="1"/>
  <c r="R343" i="10" s="1"/>
  <c r="R342" i="10" s="1"/>
  <c r="R341" i="10" s="1"/>
  <c r="R340" i="10" s="1"/>
  <c r="R339" i="10" s="1"/>
  <c r="R338" i="10" s="1"/>
  <c r="R337" i="10" s="1"/>
  <c r="R336" i="10" s="1"/>
  <c r="R335" i="10" s="1"/>
  <c r="R334" i="10" s="1"/>
  <c r="R333" i="10" s="1"/>
  <c r="R332" i="10" s="1"/>
  <c r="R331" i="10" s="1"/>
  <c r="R330" i="10" s="1"/>
  <c r="R329" i="10" s="1"/>
  <c r="R328" i="10" s="1"/>
  <c r="R327" i="10" s="1"/>
  <c r="R326" i="10" s="1"/>
  <c r="R325" i="10" s="1"/>
  <c r="R324" i="10" s="1"/>
  <c r="R323" i="10" s="1"/>
  <c r="R322" i="10" s="1"/>
  <c r="R321" i="10" s="1"/>
  <c r="R320" i="10" s="1"/>
  <c r="R319" i="10" s="1"/>
  <c r="R318" i="10" s="1"/>
  <c r="R317" i="10" s="1"/>
  <c r="R316" i="10" s="1"/>
  <c r="R315" i="10" s="1"/>
  <c r="R314" i="10" s="1"/>
  <c r="R313" i="10" s="1"/>
  <c r="R312" i="10" s="1"/>
  <c r="R311" i="10" s="1"/>
  <c r="R310" i="10" s="1"/>
  <c r="R309" i="10" s="1"/>
  <c r="R308" i="10" s="1"/>
  <c r="R307" i="10" s="1"/>
  <c r="R306" i="10" s="1"/>
  <c r="R305" i="10" s="1"/>
  <c r="R304" i="10" s="1"/>
  <c r="R303" i="10" s="1"/>
  <c r="R302" i="10" s="1"/>
  <c r="R301" i="10" s="1"/>
  <c r="R300" i="10" s="1"/>
  <c r="R299" i="10" s="1"/>
  <c r="R298" i="10" s="1"/>
  <c r="R297" i="10" s="1"/>
  <c r="R296" i="10" s="1"/>
  <c r="R295" i="10" s="1"/>
  <c r="R294" i="10" s="1"/>
  <c r="R293" i="10" s="1"/>
  <c r="R292" i="10" s="1"/>
  <c r="R291" i="10" s="1"/>
  <c r="R290" i="10" s="1"/>
  <c r="R289" i="10" s="1"/>
  <c r="R288" i="10" s="1"/>
  <c r="R287" i="10" s="1"/>
  <c r="R286" i="10" s="1"/>
  <c r="R285" i="10" s="1"/>
  <c r="R284" i="10" s="1"/>
  <c r="R283" i="10" s="1"/>
  <c r="R282" i="10" s="1"/>
  <c r="R281" i="10" s="1"/>
  <c r="R280" i="10" s="1"/>
  <c r="R279" i="10" s="1"/>
  <c r="R278" i="10" s="1"/>
  <c r="R277" i="10" s="1"/>
  <c r="R276" i="10" s="1"/>
  <c r="R275" i="10" s="1"/>
  <c r="R274" i="10" s="1"/>
  <c r="R273" i="10" s="1"/>
  <c r="R272" i="10" s="1"/>
  <c r="R271" i="10" s="1"/>
  <c r="R270" i="10" s="1"/>
  <c r="R269" i="10" s="1"/>
  <c r="R268" i="10" s="1"/>
  <c r="R267" i="10" s="1"/>
  <c r="R266" i="10" s="1"/>
  <c r="R265" i="10" s="1"/>
  <c r="R264" i="10" s="1"/>
  <c r="R263" i="10" s="1"/>
  <c r="R262" i="10" s="1"/>
  <c r="R261" i="10" s="1"/>
  <c r="R260" i="10" s="1"/>
  <c r="R259" i="10" s="1"/>
  <c r="R258" i="10" s="1"/>
  <c r="R257" i="10" s="1"/>
  <c r="R256" i="10" s="1"/>
  <c r="R255" i="10" s="1"/>
  <c r="R254" i="10" s="1"/>
  <c r="R253" i="10" s="1"/>
  <c r="R252" i="10" s="1"/>
  <c r="R251" i="10" s="1"/>
  <c r="R250" i="10" s="1"/>
  <c r="R249" i="10" s="1"/>
  <c r="R248" i="10" s="1"/>
  <c r="R247" i="10" s="1"/>
  <c r="R246" i="10" s="1"/>
  <c r="R245" i="10" s="1"/>
  <c r="R244" i="10" s="1"/>
  <c r="R243" i="10" s="1"/>
  <c r="R242" i="10" s="1"/>
  <c r="R241" i="10" s="1"/>
  <c r="R240" i="10" s="1"/>
  <c r="R239" i="10" s="1"/>
  <c r="R238" i="10" s="1"/>
  <c r="R237" i="10" s="1"/>
  <c r="R236" i="10" s="1"/>
  <c r="R235" i="10" s="1"/>
  <c r="R234" i="10" s="1"/>
  <c r="R233" i="10" s="1"/>
  <c r="R232" i="10" s="1"/>
  <c r="R231" i="10" s="1"/>
  <c r="R230" i="10" s="1"/>
  <c r="R229" i="10" s="1"/>
  <c r="R228" i="10" s="1"/>
  <c r="R227" i="10" s="1"/>
  <c r="R226" i="10" s="1"/>
  <c r="R225" i="10" s="1"/>
  <c r="R224" i="10" s="1"/>
  <c r="R223" i="10" s="1"/>
  <c r="R222" i="10" s="1"/>
  <c r="R221" i="10" s="1"/>
  <c r="R220" i="10" s="1"/>
  <c r="R219" i="10" s="1"/>
  <c r="R218" i="10" s="1"/>
  <c r="R217" i="10" s="1"/>
  <c r="R216" i="10" s="1"/>
  <c r="R215" i="10" s="1"/>
  <c r="R214" i="10" s="1"/>
  <c r="R213" i="10" s="1"/>
  <c r="R212" i="10" s="1"/>
  <c r="R211" i="10" s="1"/>
  <c r="R210" i="10" s="1"/>
  <c r="R209" i="10" s="1"/>
  <c r="R208" i="10" s="1"/>
  <c r="R207" i="10" s="1"/>
  <c r="R206" i="10" s="1"/>
  <c r="R205" i="10" s="1"/>
  <c r="R204" i="10" s="1"/>
  <c r="R203" i="10" s="1"/>
  <c r="R202" i="10" s="1"/>
  <c r="R201" i="10" s="1"/>
  <c r="R200" i="10" s="1"/>
  <c r="R199" i="10" s="1"/>
  <c r="R198" i="10" s="1"/>
  <c r="R197" i="10" s="1"/>
  <c r="R196" i="10" s="1"/>
  <c r="R195" i="10" s="1"/>
  <c r="R194" i="10" s="1"/>
  <c r="R193" i="10" s="1"/>
  <c r="R192" i="10" s="1"/>
  <c r="R191" i="10" s="1"/>
  <c r="R190" i="10" s="1"/>
  <c r="R189" i="10" s="1"/>
  <c r="R188" i="10" s="1"/>
  <c r="R187" i="10" s="1"/>
  <c r="R186" i="10" s="1"/>
  <c r="R185" i="10" s="1"/>
  <c r="R184" i="10" s="1"/>
  <c r="R183" i="10" s="1"/>
  <c r="R182" i="10" s="1"/>
  <c r="R181" i="10" s="1"/>
  <c r="R180" i="10" s="1"/>
  <c r="R179" i="10" s="1"/>
  <c r="R178" i="10" s="1"/>
  <c r="R177" i="10" s="1"/>
  <c r="R176" i="10" s="1"/>
  <c r="R175" i="10" s="1"/>
  <c r="R174" i="10" s="1"/>
  <c r="R173" i="10" s="1"/>
  <c r="R172" i="10" s="1"/>
  <c r="R171" i="10" s="1"/>
  <c r="R170" i="10" s="1"/>
  <c r="R169" i="10" s="1"/>
  <c r="R168" i="10" s="1"/>
  <c r="R167" i="10" s="1"/>
  <c r="R166" i="10" s="1"/>
  <c r="R165" i="10" s="1"/>
  <c r="R164" i="10" s="1"/>
  <c r="R163" i="10" s="1"/>
  <c r="R162" i="10" s="1"/>
  <c r="R161" i="10" s="1"/>
  <c r="R160" i="10" s="1"/>
  <c r="R159" i="10" s="1"/>
  <c r="R158" i="10" s="1"/>
  <c r="R157" i="10" s="1"/>
  <c r="R156" i="10" s="1"/>
  <c r="R155" i="10" s="1"/>
  <c r="R154" i="10" s="1"/>
  <c r="R153" i="10" s="1"/>
  <c r="R152" i="10" s="1"/>
  <c r="R151" i="10" s="1"/>
  <c r="R150" i="10" s="1"/>
  <c r="R149" i="10" s="1"/>
  <c r="R148" i="10" s="1"/>
  <c r="R147" i="10" s="1"/>
  <c r="R146" i="10" s="1"/>
  <c r="R145" i="10" s="1"/>
  <c r="R144" i="10" s="1"/>
  <c r="R143" i="10" s="1"/>
  <c r="R142" i="10" s="1"/>
  <c r="R141" i="10" s="1"/>
  <c r="R140" i="10" s="1"/>
  <c r="R139" i="10" s="1"/>
  <c r="R138" i="10" s="1"/>
  <c r="R137" i="10" s="1"/>
  <c r="R136" i="10" s="1"/>
  <c r="R135" i="10" s="1"/>
  <c r="R134" i="10" s="1"/>
  <c r="R133" i="10" s="1"/>
  <c r="R132" i="10" s="1"/>
  <c r="R131" i="10" s="1"/>
  <c r="R130" i="10" s="1"/>
  <c r="R129" i="10" s="1"/>
  <c r="R128" i="10" s="1"/>
  <c r="R127" i="10" s="1"/>
  <c r="R126" i="10" s="1"/>
  <c r="R125" i="10" s="1"/>
  <c r="R124" i="10" s="1"/>
  <c r="R123" i="10" s="1"/>
  <c r="R122" i="10" s="1"/>
  <c r="R121" i="10" s="1"/>
  <c r="R120" i="10" s="1"/>
  <c r="R119" i="10" s="1"/>
  <c r="R118" i="10" s="1"/>
  <c r="R117" i="10" s="1"/>
  <c r="R116" i="10" s="1"/>
  <c r="R115" i="10" s="1"/>
  <c r="R114" i="10" s="1"/>
  <c r="R113" i="10" s="1"/>
  <c r="R112" i="10" s="1"/>
  <c r="R111" i="10" s="1"/>
  <c r="R110" i="10" s="1"/>
  <c r="R109" i="10" s="1"/>
  <c r="R108" i="10" s="1"/>
  <c r="R107" i="10" s="1"/>
  <c r="R106" i="10" s="1"/>
  <c r="R105" i="10" s="1"/>
  <c r="R104" i="10" s="1"/>
  <c r="R103" i="10" s="1"/>
  <c r="R102" i="10" s="1"/>
  <c r="R101" i="10" s="1"/>
  <c r="R100" i="10" s="1"/>
  <c r="R99" i="10" s="1"/>
  <c r="R98" i="10" s="1"/>
  <c r="R97" i="10" s="1"/>
  <c r="R96" i="10" s="1"/>
  <c r="R95" i="10" s="1"/>
  <c r="R94" i="10" s="1"/>
  <c r="R93" i="10" s="1"/>
  <c r="R92" i="10" s="1"/>
  <c r="R91" i="10" s="1"/>
  <c r="R90" i="10" s="1"/>
  <c r="R89" i="10" s="1"/>
  <c r="R88" i="10" s="1"/>
  <c r="R87" i="10" s="1"/>
  <c r="R86" i="10" s="1"/>
  <c r="R85" i="10" s="1"/>
  <c r="R84" i="10" s="1"/>
  <c r="R83" i="10" s="1"/>
  <c r="R82" i="10" s="1"/>
  <c r="R81" i="10" s="1"/>
  <c r="R80" i="10" s="1"/>
  <c r="R79" i="10" s="1"/>
  <c r="R78" i="10" s="1"/>
  <c r="R77" i="10" s="1"/>
  <c r="R76" i="10" s="1"/>
  <c r="R75" i="10" s="1"/>
  <c r="R74" i="10" s="1"/>
  <c r="R73" i="10" s="1"/>
  <c r="R72" i="10" s="1"/>
  <c r="R71" i="10" s="1"/>
  <c r="R70" i="10" s="1"/>
  <c r="R69" i="10" s="1"/>
  <c r="R68" i="10" s="1"/>
  <c r="R67" i="10" s="1"/>
  <c r="R66" i="10" s="1"/>
  <c r="R65" i="10" s="1"/>
  <c r="R64" i="10" s="1"/>
  <c r="R63" i="10" s="1"/>
  <c r="R62" i="10" s="1"/>
  <c r="R61" i="10" s="1"/>
  <c r="R60" i="10" s="1"/>
  <c r="R59" i="10" s="1"/>
  <c r="R58" i="10" s="1"/>
  <c r="R57" i="10" s="1"/>
  <c r="R56" i="10" s="1"/>
  <c r="R55" i="10" s="1"/>
  <c r="R54" i="10" s="1"/>
  <c r="R53" i="10" s="1"/>
  <c r="R52" i="10" s="1"/>
  <c r="R51" i="10" s="1"/>
  <c r="R50" i="10" s="1"/>
  <c r="R49" i="10" s="1"/>
  <c r="R48" i="10" s="1"/>
  <c r="R47" i="10" s="1"/>
  <c r="R46" i="10" s="1"/>
  <c r="R45" i="10" s="1"/>
  <c r="R44" i="10" s="1"/>
  <c r="R43" i="10" s="1"/>
  <c r="R42" i="10" s="1"/>
  <c r="R41" i="10" s="1"/>
  <c r="R40" i="10" s="1"/>
  <c r="R39" i="10" s="1"/>
  <c r="R38" i="10" s="1"/>
  <c r="R37" i="10" s="1"/>
  <c r="R36" i="10" s="1"/>
  <c r="R35" i="10" s="1"/>
  <c r="R34" i="10" s="1"/>
  <c r="R33" i="10" s="1"/>
  <c r="R32" i="10" s="1"/>
  <c r="R31" i="10" s="1"/>
  <c r="R30" i="10" s="1"/>
  <c r="R29" i="10" s="1"/>
  <c r="R28" i="10" s="1"/>
  <c r="R27" i="10" s="1"/>
  <c r="R26" i="10" s="1"/>
  <c r="R25" i="10" s="1"/>
  <c r="R24" i="10" s="1"/>
  <c r="R23" i="10" s="1"/>
  <c r="R22" i="10" s="1"/>
  <c r="R21" i="10" s="1"/>
  <c r="R20" i="10" s="1"/>
  <c r="R19" i="10" s="1"/>
  <c r="R18" i="10" s="1"/>
  <c r="R17" i="10" s="1"/>
  <c r="R16" i="10" s="1"/>
  <c r="R15" i="10" s="1"/>
  <c r="R14" i="10" s="1"/>
  <c r="R13" i="10" s="1"/>
  <c r="R12" i="10" s="1"/>
  <c r="R11" i="10" s="1"/>
  <c r="R10" i="10" s="1"/>
  <c r="R9" i="10" s="1"/>
  <c r="R8" i="10" s="1"/>
  <c r="R7" i="10" s="1"/>
  <c r="R6" i="10" s="1"/>
  <c r="R5" i="10" s="1"/>
  <c r="R4" i="10" s="1"/>
  <c r="R3" i="10" s="1"/>
  <c r="M363" i="10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M6" i="10" s="1"/>
  <c r="M5" i="10" s="1"/>
  <c r="M4" i="10" s="1"/>
  <c r="M3" i="10" s="1"/>
  <c r="J362" i="10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J23" i="10" s="1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J6" i="10" s="1"/>
  <c r="J5" i="10" s="1"/>
  <c r="J4" i="10" s="1"/>
  <c r="J3" i="10" s="1"/>
  <c r="L26" i="8"/>
  <c r="L19" i="8"/>
  <c r="O18" i="8"/>
  <c r="O24" i="8"/>
  <c r="S363" i="10"/>
  <c r="P362" i="10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P23" i="10" s="1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N158" i="14" l="1"/>
  <c r="N258" i="11"/>
  <c r="N262" i="11" s="1"/>
  <c r="N261" i="11" s="1"/>
  <c r="H251" i="11" s="1"/>
  <c r="B254" i="11"/>
  <c r="I83" i="11"/>
  <c r="O91" i="11"/>
  <c r="H151" i="14"/>
  <c r="I150" i="8"/>
  <c r="O155" i="8"/>
  <c r="L235" i="8"/>
  <c r="L237" i="8" s="1"/>
  <c r="L216" i="8"/>
  <c r="L218" i="8" s="1"/>
  <c r="K373" i="8"/>
  <c r="G379" i="8" s="1"/>
  <c r="P20" i="20" s="1"/>
  <c r="K369" i="8"/>
  <c r="H368" i="8" s="1"/>
  <c r="H378" i="8" s="1"/>
  <c r="O17" i="20" s="1"/>
  <c r="H369" i="8"/>
  <c r="H379" i="8" s="1"/>
  <c r="P17" i="20" s="1"/>
  <c r="N374" i="8"/>
  <c r="O379" i="8" s="1"/>
  <c r="O378" i="8" s="1"/>
  <c r="I378" i="8" s="1"/>
  <c r="O22" i="20" s="1"/>
  <c r="L28" i="14"/>
  <c r="L30" i="14" s="1"/>
  <c r="L27" i="14"/>
  <c r="L29" i="14" s="1"/>
  <c r="L195" i="14"/>
  <c r="L199" i="14" s="1"/>
  <c r="H189" i="14" s="1"/>
  <c r="O195" i="8"/>
  <c r="B31" i="9" s="1"/>
  <c r="C31" i="9" s="1"/>
  <c r="H194" i="8" s="1"/>
  <c r="O190" i="8" s="1"/>
  <c r="O215" i="8"/>
  <c r="B37" i="9" s="1"/>
  <c r="C37" i="9" s="1"/>
  <c r="H214" i="8" s="1"/>
  <c r="O210" i="8" s="1"/>
  <c r="L196" i="8"/>
  <c r="L198" i="8" s="1"/>
  <c r="L173" i="8"/>
  <c r="L151" i="14"/>
  <c r="L150" i="14"/>
  <c r="H149" i="14" s="1"/>
  <c r="O165" i="14"/>
  <c r="L44" i="8"/>
  <c r="O36" i="8"/>
  <c r="L44" i="14"/>
  <c r="L170" i="8"/>
  <c r="L181" i="8" s="1"/>
  <c r="N9" i="9" s="1"/>
  <c r="P9" i="9" s="1"/>
  <c r="I173" i="8" s="1"/>
  <c r="O170" i="8" s="1"/>
  <c r="L102" i="8"/>
  <c r="L113" i="8" s="1"/>
  <c r="L255" i="8"/>
  <c r="L257" i="8" s="1"/>
  <c r="L315" i="8"/>
  <c r="L317" i="8" s="1"/>
  <c r="L309" i="8" s="1"/>
  <c r="H308" i="8" s="1"/>
  <c r="L316" i="8"/>
  <c r="L318" i="8" s="1"/>
  <c r="L310" i="8" s="1"/>
  <c r="I308" i="8" s="1"/>
  <c r="L170" i="14"/>
  <c r="L174" i="14" s="1"/>
  <c r="L236" i="8"/>
  <c r="L238" i="8" s="1"/>
  <c r="O88" i="14"/>
  <c r="J25" i="15" s="1"/>
  <c r="L25" i="15" s="1"/>
  <c r="I86" i="14" s="1"/>
  <c r="O84" i="14" s="1"/>
  <c r="O315" i="8"/>
  <c r="N27" i="9" s="1"/>
  <c r="O27" i="9" s="1"/>
  <c r="H314" i="8" s="1"/>
  <c r="O310" i="8" s="1"/>
  <c r="L88" i="14"/>
  <c r="L90" i="14" s="1"/>
  <c r="L102" i="14"/>
  <c r="F31" i="9"/>
  <c r="H31" i="9" s="1"/>
  <c r="L256" i="8"/>
  <c r="L258" i="8" s="1"/>
  <c r="O27" i="14"/>
  <c r="B25" i="15" s="1"/>
  <c r="C25" i="15" s="1"/>
  <c r="H25" i="14" s="1"/>
  <c r="O22" i="14" s="1"/>
  <c r="L215" i="8"/>
  <c r="L336" i="8"/>
  <c r="L338" i="8" s="1"/>
  <c r="L330" i="8" s="1"/>
  <c r="I328" i="8" s="1"/>
  <c r="I327" i="8" s="1"/>
  <c r="I332" i="8" s="1"/>
  <c r="O295" i="8"/>
  <c r="J37" i="9" s="1"/>
  <c r="L37" i="9" s="1"/>
  <c r="I294" i="8" s="1"/>
  <c r="O291" i="8" s="1"/>
  <c r="L295" i="8"/>
  <c r="L297" i="8" s="1"/>
  <c r="L130" i="14"/>
  <c r="L199" i="8"/>
  <c r="H189" i="8" s="1"/>
  <c r="L123" i="14"/>
  <c r="O275" i="8"/>
  <c r="J31" i="9" s="1"/>
  <c r="K31" i="9" s="1"/>
  <c r="H274" i="8" s="1"/>
  <c r="O270" i="8" s="1"/>
  <c r="L276" i="8"/>
  <c r="L278" i="8" s="1"/>
  <c r="O335" i="8"/>
  <c r="N15" i="9" s="1"/>
  <c r="O15" i="9" s="1"/>
  <c r="H334" i="8" s="1"/>
  <c r="O330" i="8" s="1"/>
  <c r="L335" i="8"/>
  <c r="L337" i="8" s="1"/>
  <c r="L329" i="8" s="1"/>
  <c r="H328" i="8" s="1"/>
  <c r="H327" i="8" s="1"/>
  <c r="H332" i="8" s="1"/>
  <c r="O122" i="14"/>
  <c r="O155" i="14"/>
  <c r="I150" i="14"/>
  <c r="L173" i="14"/>
  <c r="N155" i="14"/>
  <c r="H150" i="8"/>
  <c r="O171" i="14"/>
  <c r="O97" i="14"/>
  <c r="O36" i="14"/>
  <c r="L123" i="11"/>
  <c r="O128" i="11"/>
  <c r="L123" i="8"/>
  <c r="L166" i="14"/>
  <c r="O103" i="14"/>
  <c r="O42" i="14"/>
  <c r="L348" i="14"/>
  <c r="L349" i="14" s="1"/>
  <c r="H348" i="14" s="1"/>
  <c r="H347" i="14" s="1"/>
  <c r="H352" i="14" s="1"/>
  <c r="L174" i="11"/>
  <c r="L176" i="11" s="1"/>
  <c r="O355" i="11"/>
  <c r="N21" i="12" s="1"/>
  <c r="O21" i="12" s="1"/>
  <c r="H354" i="11" s="1"/>
  <c r="O350" i="11" s="1"/>
  <c r="L356" i="14"/>
  <c r="L358" i="14" s="1"/>
  <c r="L37" i="14"/>
  <c r="O355" i="14"/>
  <c r="N21" i="15" s="1"/>
  <c r="O21" i="15" s="1"/>
  <c r="H354" i="14" s="1"/>
  <c r="O350" i="14" s="1"/>
  <c r="L127" i="8"/>
  <c r="L138" i="8" s="1"/>
  <c r="J11" i="9" s="1"/>
  <c r="L11" i="9" s="1"/>
  <c r="L98" i="14"/>
  <c r="O88" i="11"/>
  <c r="J25" i="12" s="1"/>
  <c r="K25" i="12" s="1"/>
  <c r="H86" i="11" s="1"/>
  <c r="O83" i="11" s="1"/>
  <c r="O295" i="11"/>
  <c r="J37" i="12" s="1"/>
  <c r="L37" i="12" s="1"/>
  <c r="I294" i="11" s="1"/>
  <c r="O291" i="11" s="1"/>
  <c r="L127" i="14"/>
  <c r="L131" i="14" s="1"/>
  <c r="L133" i="14" s="1"/>
  <c r="O255" i="11"/>
  <c r="F37" i="12" s="1"/>
  <c r="G37" i="12" s="1"/>
  <c r="H254" i="11" s="1"/>
  <c r="O250" i="11" s="1"/>
  <c r="L130" i="8"/>
  <c r="O122" i="8"/>
  <c r="O88" i="8"/>
  <c r="J25" i="9" s="1"/>
  <c r="L25" i="9" s="1"/>
  <c r="I86" i="8" s="1"/>
  <c r="O84" i="8" s="1"/>
  <c r="L256" i="11"/>
  <c r="L258" i="11" s="1"/>
  <c r="L31" i="12"/>
  <c r="I274" i="11" s="1"/>
  <c r="O271" i="11" s="1"/>
  <c r="L268" i="11" s="1"/>
  <c r="L88" i="11"/>
  <c r="L90" i="11" s="1"/>
  <c r="O335" i="11"/>
  <c r="N15" i="12" s="1"/>
  <c r="O15" i="12" s="1"/>
  <c r="H334" i="11" s="1"/>
  <c r="O330" i="11" s="1"/>
  <c r="L336" i="11"/>
  <c r="L340" i="11" s="1"/>
  <c r="I329" i="11" s="1"/>
  <c r="O338" i="11" s="1"/>
  <c r="O342" i="11" s="1"/>
  <c r="L335" i="11"/>
  <c r="L339" i="11" s="1"/>
  <c r="H329" i="11" s="1"/>
  <c r="N338" i="11" s="1"/>
  <c r="N341" i="11" s="1"/>
  <c r="H331" i="11" s="1"/>
  <c r="L41" i="11"/>
  <c r="L52" i="11" s="1"/>
  <c r="B11" i="12" s="1"/>
  <c r="L127" i="11"/>
  <c r="L138" i="11" s="1"/>
  <c r="P9" i="12"/>
  <c r="I173" i="11" s="1"/>
  <c r="O170" i="11" s="1"/>
  <c r="L167" i="11" s="1"/>
  <c r="L175" i="11"/>
  <c r="L177" i="11" s="1"/>
  <c r="L195" i="11"/>
  <c r="L197" i="11" s="1"/>
  <c r="L355" i="11"/>
  <c r="L357" i="11" s="1"/>
  <c r="L349" i="11" s="1"/>
  <c r="H348" i="11" s="1"/>
  <c r="H347" i="11" s="1"/>
  <c r="H352" i="11" s="1"/>
  <c r="L356" i="11"/>
  <c r="L358" i="11" s="1"/>
  <c r="L350" i="11" s="1"/>
  <c r="I348" i="11" s="1"/>
  <c r="I347" i="11" s="1"/>
  <c r="I352" i="11" s="1"/>
  <c r="O195" i="11"/>
  <c r="B31" i="12" s="1"/>
  <c r="D31" i="12" s="1"/>
  <c r="I194" i="11" s="1"/>
  <c r="O191" i="11" s="1"/>
  <c r="L102" i="11"/>
  <c r="L107" i="11" s="1"/>
  <c r="L109" i="11" s="1"/>
  <c r="L200" i="11"/>
  <c r="I189" i="11" s="1"/>
  <c r="O97" i="8"/>
  <c r="O42" i="8"/>
  <c r="L276" i="11"/>
  <c r="L278" i="11" s="1"/>
  <c r="L275" i="11"/>
  <c r="L277" i="11" s="1"/>
  <c r="L335" i="14"/>
  <c r="L337" i="14" s="1"/>
  <c r="L329" i="14" s="1"/>
  <c r="H328" i="14" s="1"/>
  <c r="H327" i="14" s="1"/>
  <c r="H332" i="14" s="1"/>
  <c r="L256" i="14"/>
  <c r="L260" i="14" s="1"/>
  <c r="I249" i="14" s="1"/>
  <c r="L299" i="11"/>
  <c r="H289" i="11" s="1"/>
  <c r="L27" i="11"/>
  <c r="L29" i="11" s="1"/>
  <c r="L296" i="11"/>
  <c r="L298" i="11" s="1"/>
  <c r="I150" i="11"/>
  <c r="L348" i="8"/>
  <c r="O215" i="11"/>
  <c r="B37" i="12" s="1"/>
  <c r="D37" i="12" s="1"/>
  <c r="I214" i="11" s="1"/>
  <c r="O211" i="11" s="1"/>
  <c r="L216" i="11"/>
  <c r="L218" i="11" s="1"/>
  <c r="L70" i="11"/>
  <c r="L72" i="11" s="1"/>
  <c r="O27" i="11"/>
  <c r="B25" i="12" s="1"/>
  <c r="D25" i="12" s="1"/>
  <c r="I25" i="11" s="1"/>
  <c r="O23" i="11" s="1"/>
  <c r="L356" i="8"/>
  <c r="L358" i="8" s="1"/>
  <c r="L355" i="8"/>
  <c r="L357" i="8" s="1"/>
  <c r="L71" i="8"/>
  <c r="L73" i="8" s="1"/>
  <c r="O103" i="8"/>
  <c r="O122" i="11"/>
  <c r="L255" i="14"/>
  <c r="L257" i="14" s="1"/>
  <c r="L37" i="8"/>
  <c r="O36" i="11"/>
  <c r="O315" i="14"/>
  <c r="N27" i="15" s="1"/>
  <c r="O27" i="15" s="1"/>
  <c r="H314" i="14" s="1"/>
  <c r="O310" i="14" s="1"/>
  <c r="L235" i="14"/>
  <c r="L237" i="14" s="1"/>
  <c r="L88" i="8"/>
  <c r="L90" i="8" s="1"/>
  <c r="L27" i="8"/>
  <c r="L31" i="8" s="1"/>
  <c r="H21" i="8" s="1"/>
  <c r="L98" i="8"/>
  <c r="L130" i="11"/>
  <c r="O235" i="14"/>
  <c r="F31" i="15" s="1"/>
  <c r="H31" i="15" s="1"/>
  <c r="L295" i="14"/>
  <c r="L297" i="14" s="1"/>
  <c r="L215" i="14"/>
  <c r="L217" i="14" s="1"/>
  <c r="L315" i="14"/>
  <c r="L317" i="14" s="1"/>
  <c r="L309" i="14" s="1"/>
  <c r="H308" i="14" s="1"/>
  <c r="H307" i="14" s="1"/>
  <c r="H312" i="14" s="1"/>
  <c r="L71" i="14"/>
  <c r="L73" i="14" s="1"/>
  <c r="L219" i="11"/>
  <c r="H209" i="11" s="1"/>
  <c r="L41" i="8"/>
  <c r="L52" i="8" s="1"/>
  <c r="L41" i="14"/>
  <c r="L52" i="14" s="1"/>
  <c r="B19" i="15" s="1"/>
  <c r="O255" i="14"/>
  <c r="F37" i="15" s="1"/>
  <c r="G37" i="15" s="1"/>
  <c r="H254" i="14" s="1"/>
  <c r="O250" i="14" s="1"/>
  <c r="O70" i="11"/>
  <c r="F25" i="12" s="1"/>
  <c r="L98" i="11"/>
  <c r="L151" i="11"/>
  <c r="L359" i="14"/>
  <c r="H349" i="14" s="1"/>
  <c r="N358" i="14" s="1"/>
  <c r="N361" i="14" s="1"/>
  <c r="H351" i="14" s="1"/>
  <c r="O165" i="8"/>
  <c r="O27" i="8"/>
  <c r="B25" i="9" s="1"/>
  <c r="D25" i="9" s="1"/>
  <c r="I25" i="8" s="1"/>
  <c r="O23" i="8" s="1"/>
  <c r="O21" i="9"/>
  <c r="H354" i="8" s="1"/>
  <c r="O350" i="8" s="1"/>
  <c r="L91" i="11"/>
  <c r="L37" i="11"/>
  <c r="L198" i="14"/>
  <c r="O275" i="14"/>
  <c r="J31" i="15" s="1"/>
  <c r="L31" i="15" s="1"/>
  <c r="I274" i="14" s="1"/>
  <c r="O271" i="14" s="1"/>
  <c r="O97" i="11"/>
  <c r="O70" i="8"/>
  <c r="F25" i="9" s="1"/>
  <c r="G25" i="9" s="1"/>
  <c r="H68" i="8" s="1"/>
  <c r="H150" i="11"/>
  <c r="O42" i="11"/>
  <c r="L336" i="14"/>
  <c r="L338" i="14" s="1"/>
  <c r="L330" i="14" s="1"/>
  <c r="I328" i="14" s="1"/>
  <c r="I327" i="14" s="1"/>
  <c r="I332" i="14" s="1"/>
  <c r="L316" i="14"/>
  <c r="L318" i="14" s="1"/>
  <c r="L310" i="14" s="1"/>
  <c r="I308" i="14" s="1"/>
  <c r="I307" i="14" s="1"/>
  <c r="I312" i="14" s="1"/>
  <c r="L236" i="14"/>
  <c r="L238" i="14" s="1"/>
  <c r="O335" i="14"/>
  <c r="N15" i="15" s="1"/>
  <c r="P15" i="15" s="1"/>
  <c r="I334" i="14" s="1"/>
  <c r="O331" i="14" s="1"/>
  <c r="L105" i="11"/>
  <c r="L93" i="8"/>
  <c r="I82" i="8" s="1"/>
  <c r="L166" i="8"/>
  <c r="L150" i="8"/>
  <c r="L257" i="11"/>
  <c r="L296" i="14"/>
  <c r="L298" i="14" s="1"/>
  <c r="L276" i="14"/>
  <c r="L278" i="14" s="1"/>
  <c r="O295" i="14"/>
  <c r="J37" i="15" s="1"/>
  <c r="K37" i="15" s="1"/>
  <c r="H294" i="14" s="1"/>
  <c r="O290" i="14" s="1"/>
  <c r="O195" i="14"/>
  <c r="B31" i="15" s="1"/>
  <c r="C31" i="15" s="1"/>
  <c r="H194" i="14" s="1"/>
  <c r="O190" i="14" s="1"/>
  <c r="O171" i="8"/>
  <c r="O70" i="14"/>
  <c r="F25" i="15" s="1"/>
  <c r="H25" i="15" s="1"/>
  <c r="I68" i="14" s="1"/>
  <c r="L275" i="14"/>
  <c r="L277" i="14" s="1"/>
  <c r="O215" i="14"/>
  <c r="B37" i="15" s="1"/>
  <c r="C37" i="15" s="1"/>
  <c r="H214" i="14" s="1"/>
  <c r="O210" i="14" s="1"/>
  <c r="L70" i="14"/>
  <c r="L300" i="8"/>
  <c r="I289" i="8" s="1"/>
  <c r="L74" i="8"/>
  <c r="H64" i="8" s="1"/>
  <c r="L93" i="14"/>
  <c r="I82" i="14" s="1"/>
  <c r="O235" i="11"/>
  <c r="F31" i="12" s="1"/>
  <c r="L235" i="11"/>
  <c r="L236" i="11"/>
  <c r="L32" i="11"/>
  <c r="I21" i="11" s="1"/>
  <c r="L308" i="11"/>
  <c r="L316" i="11"/>
  <c r="O315" i="11"/>
  <c r="N27" i="12" s="1"/>
  <c r="L315" i="11"/>
  <c r="U362" i="16"/>
  <c r="U361" i="16" s="1"/>
  <c r="U360" i="16" s="1"/>
  <c r="U359" i="16" s="1"/>
  <c r="U358" i="16" s="1"/>
  <c r="U357" i="16" s="1"/>
  <c r="U356" i="16" s="1"/>
  <c r="U355" i="16" s="1"/>
  <c r="U354" i="16" s="1"/>
  <c r="U353" i="16" s="1"/>
  <c r="U352" i="16" s="1"/>
  <c r="U351" i="16" s="1"/>
  <c r="U350" i="16" s="1"/>
  <c r="U349" i="16" s="1"/>
  <c r="U348" i="16" s="1"/>
  <c r="U347" i="16" s="1"/>
  <c r="U346" i="16" s="1"/>
  <c r="U345" i="16" s="1"/>
  <c r="U344" i="16" s="1"/>
  <c r="U343" i="16" s="1"/>
  <c r="U342" i="16" s="1"/>
  <c r="U341" i="16" s="1"/>
  <c r="U340" i="16" s="1"/>
  <c r="U339" i="16" s="1"/>
  <c r="U338" i="16" s="1"/>
  <c r="U337" i="16" s="1"/>
  <c r="U336" i="16" s="1"/>
  <c r="U335" i="16" s="1"/>
  <c r="U334" i="16" s="1"/>
  <c r="U333" i="16" s="1"/>
  <c r="U332" i="16" s="1"/>
  <c r="U331" i="16" s="1"/>
  <c r="U330" i="16" s="1"/>
  <c r="U329" i="16" s="1"/>
  <c r="U328" i="16" s="1"/>
  <c r="U327" i="16" s="1"/>
  <c r="U326" i="16" s="1"/>
  <c r="U325" i="16" s="1"/>
  <c r="U324" i="16" s="1"/>
  <c r="U323" i="16" s="1"/>
  <c r="U322" i="16" s="1"/>
  <c r="U321" i="16" s="1"/>
  <c r="U320" i="16" s="1"/>
  <c r="U319" i="16" s="1"/>
  <c r="U318" i="16" s="1"/>
  <c r="U317" i="16" s="1"/>
  <c r="U316" i="16" s="1"/>
  <c r="U315" i="16" s="1"/>
  <c r="U314" i="16" s="1"/>
  <c r="U313" i="16" s="1"/>
  <c r="U312" i="16" s="1"/>
  <c r="U311" i="16" s="1"/>
  <c r="U310" i="16" s="1"/>
  <c r="U309" i="16" s="1"/>
  <c r="U308" i="16" s="1"/>
  <c r="U307" i="16" s="1"/>
  <c r="U306" i="16" s="1"/>
  <c r="U305" i="16" s="1"/>
  <c r="U304" i="16" s="1"/>
  <c r="U303" i="16" s="1"/>
  <c r="U302" i="16" s="1"/>
  <c r="U301" i="16" s="1"/>
  <c r="U300" i="16" s="1"/>
  <c r="U299" i="16" s="1"/>
  <c r="U298" i="16" s="1"/>
  <c r="U297" i="16" s="1"/>
  <c r="U296" i="16" s="1"/>
  <c r="U295" i="16" s="1"/>
  <c r="U294" i="16" s="1"/>
  <c r="U293" i="16" s="1"/>
  <c r="U292" i="16" s="1"/>
  <c r="U291" i="16" s="1"/>
  <c r="U290" i="16" s="1"/>
  <c r="U289" i="16" s="1"/>
  <c r="U288" i="16" s="1"/>
  <c r="U287" i="16" s="1"/>
  <c r="U286" i="16" s="1"/>
  <c r="U285" i="16" s="1"/>
  <c r="U284" i="16" s="1"/>
  <c r="U283" i="16" s="1"/>
  <c r="U282" i="16" s="1"/>
  <c r="U281" i="16" s="1"/>
  <c r="U280" i="16" s="1"/>
  <c r="U279" i="16" s="1"/>
  <c r="U278" i="16" s="1"/>
  <c r="U277" i="16" s="1"/>
  <c r="U276" i="16" s="1"/>
  <c r="U275" i="16" s="1"/>
  <c r="U274" i="16" s="1"/>
  <c r="U273" i="16" s="1"/>
  <c r="U272" i="16" s="1"/>
  <c r="U271" i="16" s="1"/>
  <c r="U270" i="16" s="1"/>
  <c r="U269" i="16" s="1"/>
  <c r="U268" i="16" s="1"/>
  <c r="U267" i="16" s="1"/>
  <c r="U266" i="16" s="1"/>
  <c r="U265" i="16" s="1"/>
  <c r="U264" i="16" s="1"/>
  <c r="U263" i="16" s="1"/>
  <c r="U262" i="16" s="1"/>
  <c r="U261" i="16" s="1"/>
  <c r="U260" i="16" s="1"/>
  <c r="U259" i="16" s="1"/>
  <c r="U258" i="16" s="1"/>
  <c r="U257" i="16" s="1"/>
  <c r="U256" i="16" s="1"/>
  <c r="U255" i="16" s="1"/>
  <c r="U254" i="16" s="1"/>
  <c r="U253" i="16" s="1"/>
  <c r="U252" i="16" s="1"/>
  <c r="U251" i="16" s="1"/>
  <c r="U250" i="16" s="1"/>
  <c r="U249" i="16" s="1"/>
  <c r="U248" i="16" s="1"/>
  <c r="U247" i="16" s="1"/>
  <c r="U246" i="16" s="1"/>
  <c r="U245" i="16" s="1"/>
  <c r="U244" i="16" s="1"/>
  <c r="U243" i="16" s="1"/>
  <c r="U242" i="16" s="1"/>
  <c r="U241" i="16" s="1"/>
  <c r="U240" i="16" s="1"/>
  <c r="U239" i="16" s="1"/>
  <c r="U238" i="16" s="1"/>
  <c r="U237" i="16" s="1"/>
  <c r="U236" i="16" s="1"/>
  <c r="U235" i="16" s="1"/>
  <c r="U234" i="16" s="1"/>
  <c r="U233" i="16" s="1"/>
  <c r="U232" i="16" s="1"/>
  <c r="U231" i="16" s="1"/>
  <c r="U230" i="16" s="1"/>
  <c r="U229" i="16" s="1"/>
  <c r="U228" i="16" s="1"/>
  <c r="U227" i="16" s="1"/>
  <c r="U226" i="16" s="1"/>
  <c r="U225" i="16" s="1"/>
  <c r="U224" i="16" s="1"/>
  <c r="U223" i="16" s="1"/>
  <c r="U222" i="16" s="1"/>
  <c r="U221" i="16" s="1"/>
  <c r="U220" i="16" s="1"/>
  <c r="U219" i="16" s="1"/>
  <c r="U218" i="16" s="1"/>
  <c r="U217" i="16" s="1"/>
  <c r="U216" i="16" s="1"/>
  <c r="U215" i="16" s="1"/>
  <c r="U214" i="16" s="1"/>
  <c r="U213" i="16" s="1"/>
  <c r="U212" i="16" s="1"/>
  <c r="U211" i="16" s="1"/>
  <c r="U210" i="16" s="1"/>
  <c r="U209" i="16" s="1"/>
  <c r="U208" i="16" s="1"/>
  <c r="U207" i="16" s="1"/>
  <c r="U206" i="16" s="1"/>
  <c r="U205" i="16" s="1"/>
  <c r="U204" i="16" s="1"/>
  <c r="U203" i="16" s="1"/>
  <c r="U202" i="16" s="1"/>
  <c r="U201" i="16" s="1"/>
  <c r="U200" i="16" s="1"/>
  <c r="U199" i="16" s="1"/>
  <c r="U198" i="16" s="1"/>
  <c r="U197" i="16" s="1"/>
  <c r="U196" i="16" s="1"/>
  <c r="U195" i="16" s="1"/>
  <c r="U194" i="16" s="1"/>
  <c r="U193" i="16" s="1"/>
  <c r="U192" i="16" s="1"/>
  <c r="U191" i="16" s="1"/>
  <c r="U190" i="16" s="1"/>
  <c r="U189" i="16" s="1"/>
  <c r="U188" i="16" s="1"/>
  <c r="U187" i="16" s="1"/>
  <c r="U186" i="16" s="1"/>
  <c r="U185" i="16" s="1"/>
  <c r="U184" i="16" s="1"/>
  <c r="U183" i="16" s="1"/>
  <c r="U182" i="16" s="1"/>
  <c r="U181" i="16" s="1"/>
  <c r="U180" i="16" s="1"/>
  <c r="U179" i="16" s="1"/>
  <c r="U178" i="16" s="1"/>
  <c r="U177" i="16" s="1"/>
  <c r="U176" i="16" s="1"/>
  <c r="U175" i="16" s="1"/>
  <c r="U174" i="16" s="1"/>
  <c r="U173" i="16" s="1"/>
  <c r="U172" i="16" s="1"/>
  <c r="U171" i="16" s="1"/>
  <c r="U170" i="16" s="1"/>
  <c r="U169" i="16" s="1"/>
  <c r="U168" i="16" s="1"/>
  <c r="U167" i="16" s="1"/>
  <c r="U166" i="16" s="1"/>
  <c r="U165" i="16" s="1"/>
  <c r="U164" i="16" s="1"/>
  <c r="U163" i="16" s="1"/>
  <c r="U162" i="16" s="1"/>
  <c r="U161" i="16" s="1"/>
  <c r="U160" i="16" s="1"/>
  <c r="U159" i="16" s="1"/>
  <c r="U158" i="16" s="1"/>
  <c r="U157" i="16" s="1"/>
  <c r="U156" i="16" s="1"/>
  <c r="U155" i="16" s="1"/>
  <c r="U154" i="16" s="1"/>
  <c r="U153" i="16" s="1"/>
  <c r="U152" i="16" s="1"/>
  <c r="U151" i="16" s="1"/>
  <c r="U150" i="16" s="1"/>
  <c r="U149" i="16" s="1"/>
  <c r="U148" i="16" s="1"/>
  <c r="U147" i="16" s="1"/>
  <c r="U146" i="16" s="1"/>
  <c r="U145" i="16" s="1"/>
  <c r="U144" i="16" s="1"/>
  <c r="U143" i="16" s="1"/>
  <c r="U142" i="16" s="1"/>
  <c r="U141" i="16" s="1"/>
  <c r="U140" i="16" s="1"/>
  <c r="U139" i="16" s="1"/>
  <c r="U138" i="16" s="1"/>
  <c r="U137" i="16" s="1"/>
  <c r="U136" i="16" s="1"/>
  <c r="U135" i="16" s="1"/>
  <c r="U134" i="16" s="1"/>
  <c r="U133" i="16" s="1"/>
  <c r="U132" i="16" s="1"/>
  <c r="U131" i="16" s="1"/>
  <c r="U130" i="16" s="1"/>
  <c r="U129" i="16" s="1"/>
  <c r="U128" i="16" s="1"/>
  <c r="U127" i="16" s="1"/>
  <c r="U126" i="16" s="1"/>
  <c r="U125" i="16" s="1"/>
  <c r="U124" i="16" s="1"/>
  <c r="U123" i="16" s="1"/>
  <c r="U122" i="16" s="1"/>
  <c r="U121" i="16" s="1"/>
  <c r="U120" i="16" s="1"/>
  <c r="U119" i="16" s="1"/>
  <c r="U118" i="16" s="1"/>
  <c r="U117" i="16" s="1"/>
  <c r="U116" i="16" s="1"/>
  <c r="U115" i="16" s="1"/>
  <c r="U114" i="16" s="1"/>
  <c r="U113" i="16" s="1"/>
  <c r="U112" i="16" s="1"/>
  <c r="U111" i="16" s="1"/>
  <c r="U110" i="16" s="1"/>
  <c r="U109" i="16" s="1"/>
  <c r="U108" i="16" s="1"/>
  <c r="U107" i="16" s="1"/>
  <c r="U106" i="16" s="1"/>
  <c r="U105" i="16" s="1"/>
  <c r="U104" i="16" s="1"/>
  <c r="U103" i="16" s="1"/>
  <c r="U102" i="16" s="1"/>
  <c r="U101" i="16" s="1"/>
  <c r="U100" i="16" s="1"/>
  <c r="U99" i="16" s="1"/>
  <c r="U98" i="16" s="1"/>
  <c r="U97" i="16" s="1"/>
  <c r="U96" i="16" s="1"/>
  <c r="U95" i="16" s="1"/>
  <c r="U94" i="16" s="1"/>
  <c r="U93" i="16" s="1"/>
  <c r="U92" i="16" s="1"/>
  <c r="U91" i="16" s="1"/>
  <c r="U90" i="16" s="1"/>
  <c r="U89" i="16" s="1"/>
  <c r="U88" i="16" s="1"/>
  <c r="U87" i="16" s="1"/>
  <c r="U86" i="16" s="1"/>
  <c r="U85" i="16" s="1"/>
  <c r="U84" i="16" s="1"/>
  <c r="U83" i="16" s="1"/>
  <c r="U82" i="16" s="1"/>
  <c r="U81" i="16" s="1"/>
  <c r="U80" i="16" s="1"/>
  <c r="U79" i="16" s="1"/>
  <c r="U78" i="16" s="1"/>
  <c r="U77" i="16" s="1"/>
  <c r="U76" i="16" s="1"/>
  <c r="U75" i="16" s="1"/>
  <c r="U74" i="16" s="1"/>
  <c r="U73" i="16" s="1"/>
  <c r="U72" i="16" s="1"/>
  <c r="U71" i="16" s="1"/>
  <c r="U70" i="16" s="1"/>
  <c r="U69" i="16" s="1"/>
  <c r="U68" i="16" s="1"/>
  <c r="U67" i="16" s="1"/>
  <c r="U66" i="16" s="1"/>
  <c r="U65" i="16" s="1"/>
  <c r="U64" i="16" s="1"/>
  <c r="U63" i="16" s="1"/>
  <c r="U62" i="16" s="1"/>
  <c r="U61" i="16" s="1"/>
  <c r="U60" i="16" s="1"/>
  <c r="U59" i="16" s="1"/>
  <c r="U58" i="16" s="1"/>
  <c r="U57" i="16" s="1"/>
  <c r="U56" i="16" s="1"/>
  <c r="U55" i="16" s="1"/>
  <c r="U54" i="16" s="1"/>
  <c r="U53" i="16" s="1"/>
  <c r="U52" i="16" s="1"/>
  <c r="U51" i="16" s="1"/>
  <c r="U50" i="16" s="1"/>
  <c r="U49" i="16" s="1"/>
  <c r="U48" i="16" s="1"/>
  <c r="U47" i="16" s="1"/>
  <c r="U46" i="16" s="1"/>
  <c r="U45" i="16" s="1"/>
  <c r="U44" i="16" s="1"/>
  <c r="U43" i="16" s="1"/>
  <c r="U42" i="16" s="1"/>
  <c r="U41" i="16" s="1"/>
  <c r="U40" i="16" s="1"/>
  <c r="U39" i="16" s="1"/>
  <c r="U38" i="16" s="1"/>
  <c r="U37" i="16" s="1"/>
  <c r="U36" i="16" s="1"/>
  <c r="U35" i="16" s="1"/>
  <c r="U34" i="16" s="1"/>
  <c r="U33" i="16" s="1"/>
  <c r="U32" i="16" s="1"/>
  <c r="U31" i="16" s="1"/>
  <c r="U30" i="16" s="1"/>
  <c r="U29" i="16" s="1"/>
  <c r="U28" i="16" s="1"/>
  <c r="U27" i="16" s="1"/>
  <c r="U26" i="16" s="1"/>
  <c r="U25" i="16" s="1"/>
  <c r="U24" i="16" s="1"/>
  <c r="U23" i="16" s="1"/>
  <c r="U22" i="16" s="1"/>
  <c r="U21" i="16" s="1"/>
  <c r="U20" i="16" s="1"/>
  <c r="U19" i="16" s="1"/>
  <c r="U18" i="16" s="1"/>
  <c r="U17" i="16" s="1"/>
  <c r="U16" i="16" s="1"/>
  <c r="U15" i="16" s="1"/>
  <c r="U14" i="16" s="1"/>
  <c r="U13" i="16" s="1"/>
  <c r="U12" i="16" s="1"/>
  <c r="U11" i="16" s="1"/>
  <c r="U10" i="16" s="1"/>
  <c r="U9" i="16" s="1"/>
  <c r="U8" i="16" s="1"/>
  <c r="U7" i="16" s="1"/>
  <c r="U6" i="16" s="1"/>
  <c r="U5" i="16" s="1"/>
  <c r="U4" i="16" s="1"/>
  <c r="U3" i="16" s="1"/>
  <c r="X363" i="16"/>
  <c r="AC363" i="16"/>
  <c r="Z362" i="16"/>
  <c r="Z361" i="16" s="1"/>
  <c r="Z360" i="16" s="1"/>
  <c r="Z359" i="16" s="1"/>
  <c r="Z358" i="16" s="1"/>
  <c r="Z357" i="16" s="1"/>
  <c r="Z356" i="16" s="1"/>
  <c r="Z355" i="16" s="1"/>
  <c r="Z354" i="16" s="1"/>
  <c r="Z353" i="16" s="1"/>
  <c r="Z352" i="16" s="1"/>
  <c r="Z351" i="16" s="1"/>
  <c r="Z350" i="16" s="1"/>
  <c r="Z349" i="16" s="1"/>
  <c r="Z348" i="16" s="1"/>
  <c r="Z347" i="16" s="1"/>
  <c r="Z346" i="16" s="1"/>
  <c r="Z345" i="16" s="1"/>
  <c r="Z344" i="16" s="1"/>
  <c r="Z343" i="16" s="1"/>
  <c r="Z342" i="16" s="1"/>
  <c r="Z341" i="16" s="1"/>
  <c r="Z340" i="16" s="1"/>
  <c r="Z339" i="16" s="1"/>
  <c r="Z338" i="16" s="1"/>
  <c r="Z337" i="16" s="1"/>
  <c r="Z336" i="16" s="1"/>
  <c r="Z335" i="16" s="1"/>
  <c r="Z334" i="16" s="1"/>
  <c r="Z333" i="16" s="1"/>
  <c r="Z332" i="16" s="1"/>
  <c r="Z331" i="16" s="1"/>
  <c r="Z330" i="16" s="1"/>
  <c r="Z329" i="16" s="1"/>
  <c r="Z328" i="16" s="1"/>
  <c r="Z327" i="16" s="1"/>
  <c r="Z326" i="16" s="1"/>
  <c r="Z325" i="16" s="1"/>
  <c r="Z324" i="16" s="1"/>
  <c r="Z323" i="16" s="1"/>
  <c r="Z322" i="16" s="1"/>
  <c r="Z321" i="16" s="1"/>
  <c r="Z320" i="16" s="1"/>
  <c r="Z319" i="16" s="1"/>
  <c r="Z318" i="16" s="1"/>
  <c r="Z317" i="16" s="1"/>
  <c r="Z316" i="16" s="1"/>
  <c r="Z315" i="16" s="1"/>
  <c r="Z314" i="16" s="1"/>
  <c r="Z313" i="16" s="1"/>
  <c r="Z312" i="16" s="1"/>
  <c r="Z311" i="16" s="1"/>
  <c r="Z310" i="16" s="1"/>
  <c r="Z309" i="16" s="1"/>
  <c r="Z308" i="16" s="1"/>
  <c r="Z307" i="16" s="1"/>
  <c r="Z306" i="16" s="1"/>
  <c r="Z305" i="16" s="1"/>
  <c r="Z304" i="16" s="1"/>
  <c r="Z303" i="16" s="1"/>
  <c r="Z302" i="16" s="1"/>
  <c r="Z301" i="16" s="1"/>
  <c r="Z300" i="16" s="1"/>
  <c r="Z299" i="16" s="1"/>
  <c r="Z298" i="16" s="1"/>
  <c r="Z297" i="16" s="1"/>
  <c r="Z296" i="16" s="1"/>
  <c r="Z295" i="16" s="1"/>
  <c r="Z294" i="16" s="1"/>
  <c r="Z293" i="16" s="1"/>
  <c r="Z292" i="16" s="1"/>
  <c r="Z291" i="16" s="1"/>
  <c r="Z290" i="16" s="1"/>
  <c r="Z289" i="16" s="1"/>
  <c r="Z288" i="16" s="1"/>
  <c r="Z287" i="16" s="1"/>
  <c r="Z286" i="16" s="1"/>
  <c r="Z285" i="16" s="1"/>
  <c r="Z284" i="16" s="1"/>
  <c r="Z283" i="16" s="1"/>
  <c r="Z282" i="16" s="1"/>
  <c r="Z281" i="16" s="1"/>
  <c r="Z280" i="16" s="1"/>
  <c r="Z279" i="16" s="1"/>
  <c r="Z278" i="16" s="1"/>
  <c r="Z277" i="16" s="1"/>
  <c r="Z276" i="16" s="1"/>
  <c r="Z275" i="16" s="1"/>
  <c r="Z274" i="16" s="1"/>
  <c r="Z273" i="16" s="1"/>
  <c r="Z272" i="16" s="1"/>
  <c r="Z271" i="16" s="1"/>
  <c r="Z270" i="16" s="1"/>
  <c r="Z269" i="16" s="1"/>
  <c r="Z268" i="16" s="1"/>
  <c r="Z267" i="16" s="1"/>
  <c r="Z266" i="16" s="1"/>
  <c r="Z265" i="16" s="1"/>
  <c r="Z264" i="16" s="1"/>
  <c r="Z263" i="16" s="1"/>
  <c r="Z262" i="16" s="1"/>
  <c r="Z261" i="16" s="1"/>
  <c r="Z260" i="16" s="1"/>
  <c r="Z259" i="16" s="1"/>
  <c r="Z258" i="16" s="1"/>
  <c r="Z257" i="16" s="1"/>
  <c r="Z256" i="16" s="1"/>
  <c r="Z255" i="16" s="1"/>
  <c r="Z254" i="16" s="1"/>
  <c r="Z253" i="16" s="1"/>
  <c r="Z252" i="16" s="1"/>
  <c r="Z251" i="16" s="1"/>
  <c r="Z250" i="16" s="1"/>
  <c r="Z249" i="16" s="1"/>
  <c r="Z248" i="16" s="1"/>
  <c r="Z247" i="16" s="1"/>
  <c r="Z246" i="16" s="1"/>
  <c r="Z245" i="16" s="1"/>
  <c r="Z244" i="16" s="1"/>
  <c r="Z243" i="16" s="1"/>
  <c r="Z242" i="16" s="1"/>
  <c r="Z241" i="16" s="1"/>
  <c r="Z240" i="16" s="1"/>
  <c r="Z239" i="16" s="1"/>
  <c r="Z238" i="16" s="1"/>
  <c r="Z237" i="16" s="1"/>
  <c r="Z236" i="16" s="1"/>
  <c r="Z235" i="16" s="1"/>
  <c r="Z234" i="16" s="1"/>
  <c r="Z233" i="16" s="1"/>
  <c r="Z232" i="16" s="1"/>
  <c r="Z231" i="16" s="1"/>
  <c r="Z230" i="16" s="1"/>
  <c r="Z229" i="16" s="1"/>
  <c r="Z228" i="16" s="1"/>
  <c r="Z227" i="16" s="1"/>
  <c r="Z226" i="16" s="1"/>
  <c r="Z225" i="16" s="1"/>
  <c r="Z224" i="16" s="1"/>
  <c r="Z223" i="16" s="1"/>
  <c r="Z222" i="16" s="1"/>
  <c r="Z221" i="16" s="1"/>
  <c r="Z220" i="16" s="1"/>
  <c r="Z219" i="16" s="1"/>
  <c r="Z218" i="16" s="1"/>
  <c r="Z217" i="16" s="1"/>
  <c r="Z216" i="16" s="1"/>
  <c r="Z215" i="16" s="1"/>
  <c r="Z214" i="16" s="1"/>
  <c r="Z213" i="16" s="1"/>
  <c r="Z212" i="16" s="1"/>
  <c r="Z211" i="16" s="1"/>
  <c r="Z210" i="16" s="1"/>
  <c r="Z209" i="16" s="1"/>
  <c r="Z208" i="16" s="1"/>
  <c r="Z207" i="16" s="1"/>
  <c r="Z206" i="16" s="1"/>
  <c r="Z205" i="16" s="1"/>
  <c r="Z204" i="16" s="1"/>
  <c r="Z203" i="16" s="1"/>
  <c r="Z202" i="16" s="1"/>
  <c r="Z201" i="16" s="1"/>
  <c r="Z200" i="16" s="1"/>
  <c r="Z199" i="16" s="1"/>
  <c r="Z198" i="16" s="1"/>
  <c r="Z197" i="16" s="1"/>
  <c r="Z196" i="16" s="1"/>
  <c r="Z195" i="16" s="1"/>
  <c r="Z194" i="16" s="1"/>
  <c r="Z193" i="16" s="1"/>
  <c r="Z192" i="16" s="1"/>
  <c r="Z191" i="16" s="1"/>
  <c r="Z190" i="16" s="1"/>
  <c r="Z189" i="16" s="1"/>
  <c r="Z188" i="16" s="1"/>
  <c r="Z187" i="16" s="1"/>
  <c r="Z186" i="16" s="1"/>
  <c r="Z185" i="16" s="1"/>
  <c r="Z184" i="16" s="1"/>
  <c r="Z183" i="16" s="1"/>
  <c r="Z182" i="16" s="1"/>
  <c r="Z181" i="16" s="1"/>
  <c r="Z180" i="16" s="1"/>
  <c r="Z179" i="16" s="1"/>
  <c r="Z178" i="16" s="1"/>
  <c r="Z177" i="16" s="1"/>
  <c r="Z176" i="16" s="1"/>
  <c r="Z175" i="16" s="1"/>
  <c r="Z174" i="16" s="1"/>
  <c r="Z173" i="16" s="1"/>
  <c r="Z172" i="16" s="1"/>
  <c r="Z171" i="16" s="1"/>
  <c r="Z170" i="16" s="1"/>
  <c r="Z169" i="16" s="1"/>
  <c r="Z168" i="16" s="1"/>
  <c r="Z167" i="16" s="1"/>
  <c r="Z166" i="16" s="1"/>
  <c r="Z165" i="16" s="1"/>
  <c r="Z164" i="16" s="1"/>
  <c r="Z163" i="16" s="1"/>
  <c r="Z162" i="16" s="1"/>
  <c r="Z161" i="16" s="1"/>
  <c r="Z160" i="16" s="1"/>
  <c r="Z159" i="16" s="1"/>
  <c r="Z158" i="16" s="1"/>
  <c r="Z157" i="16" s="1"/>
  <c r="Z156" i="16" s="1"/>
  <c r="Z155" i="16" s="1"/>
  <c r="Z154" i="16" s="1"/>
  <c r="Z153" i="16" s="1"/>
  <c r="Z152" i="16" s="1"/>
  <c r="Z151" i="16" s="1"/>
  <c r="Z150" i="16" s="1"/>
  <c r="Z149" i="16" s="1"/>
  <c r="Z148" i="16" s="1"/>
  <c r="Z147" i="16" s="1"/>
  <c r="Z146" i="16" s="1"/>
  <c r="Z145" i="16" s="1"/>
  <c r="Z144" i="16" s="1"/>
  <c r="Z143" i="16" s="1"/>
  <c r="Z142" i="16" s="1"/>
  <c r="Z141" i="16" s="1"/>
  <c r="Z140" i="16" s="1"/>
  <c r="Z139" i="16" s="1"/>
  <c r="Z138" i="16" s="1"/>
  <c r="Z137" i="16" s="1"/>
  <c r="Z136" i="16" s="1"/>
  <c r="Z135" i="16" s="1"/>
  <c r="Z134" i="16" s="1"/>
  <c r="Z133" i="16" s="1"/>
  <c r="Z132" i="16" s="1"/>
  <c r="Z131" i="16" s="1"/>
  <c r="Z130" i="16" s="1"/>
  <c r="Z129" i="16" s="1"/>
  <c r="Z128" i="16" s="1"/>
  <c r="Z127" i="16" s="1"/>
  <c r="Z126" i="16" s="1"/>
  <c r="Z125" i="16" s="1"/>
  <c r="Z124" i="16" s="1"/>
  <c r="Z123" i="16" s="1"/>
  <c r="Z122" i="16" s="1"/>
  <c r="Z121" i="16" s="1"/>
  <c r="Z120" i="16" s="1"/>
  <c r="Z119" i="16" s="1"/>
  <c r="Z118" i="16" s="1"/>
  <c r="Z117" i="16" s="1"/>
  <c r="Z116" i="16" s="1"/>
  <c r="Z115" i="16" s="1"/>
  <c r="Z114" i="16" s="1"/>
  <c r="Z113" i="16" s="1"/>
  <c r="Z112" i="16" s="1"/>
  <c r="Z111" i="16" s="1"/>
  <c r="Z110" i="16" s="1"/>
  <c r="Z109" i="16" s="1"/>
  <c r="Z108" i="16" s="1"/>
  <c r="Z107" i="16" s="1"/>
  <c r="Z106" i="16" s="1"/>
  <c r="Z105" i="16" s="1"/>
  <c r="Z104" i="16" s="1"/>
  <c r="Z103" i="16" s="1"/>
  <c r="Z102" i="16" s="1"/>
  <c r="Z101" i="16" s="1"/>
  <c r="Z100" i="16" s="1"/>
  <c r="Z99" i="16" s="1"/>
  <c r="Z98" i="16" s="1"/>
  <c r="Z97" i="16" s="1"/>
  <c r="Z96" i="16" s="1"/>
  <c r="Z95" i="16" s="1"/>
  <c r="Z94" i="16" s="1"/>
  <c r="Z93" i="16" s="1"/>
  <c r="Z92" i="16" s="1"/>
  <c r="Z91" i="16" s="1"/>
  <c r="Z90" i="16" s="1"/>
  <c r="Z89" i="16" s="1"/>
  <c r="Z88" i="16" s="1"/>
  <c r="Z87" i="16" s="1"/>
  <c r="Z86" i="16" s="1"/>
  <c r="Z85" i="16" s="1"/>
  <c r="Z84" i="16" s="1"/>
  <c r="Z83" i="16" s="1"/>
  <c r="Z82" i="16" s="1"/>
  <c r="Z81" i="16" s="1"/>
  <c r="Z80" i="16" s="1"/>
  <c r="Z79" i="16" s="1"/>
  <c r="Z78" i="16" s="1"/>
  <c r="Z77" i="16" s="1"/>
  <c r="Z76" i="16" s="1"/>
  <c r="Z75" i="16" s="1"/>
  <c r="Z74" i="16" s="1"/>
  <c r="Z73" i="16" s="1"/>
  <c r="Z72" i="16" s="1"/>
  <c r="Z71" i="16" s="1"/>
  <c r="Z70" i="16" s="1"/>
  <c r="Z69" i="16" s="1"/>
  <c r="Z68" i="16" s="1"/>
  <c r="Z67" i="16" s="1"/>
  <c r="Z66" i="16" s="1"/>
  <c r="Z65" i="16" s="1"/>
  <c r="Z64" i="16" s="1"/>
  <c r="Z63" i="16" s="1"/>
  <c r="Z62" i="16" s="1"/>
  <c r="Z61" i="16" s="1"/>
  <c r="Z60" i="16" s="1"/>
  <c r="Z59" i="16" s="1"/>
  <c r="Z58" i="16" s="1"/>
  <c r="Z57" i="16" s="1"/>
  <c r="Z56" i="16" s="1"/>
  <c r="Z55" i="16" s="1"/>
  <c r="Z54" i="16" s="1"/>
  <c r="Z53" i="16" s="1"/>
  <c r="Z52" i="16" s="1"/>
  <c r="Z51" i="16" s="1"/>
  <c r="Z50" i="16" s="1"/>
  <c r="Z49" i="16" s="1"/>
  <c r="Z48" i="16" s="1"/>
  <c r="Z47" i="16" s="1"/>
  <c r="Z46" i="16" s="1"/>
  <c r="Z45" i="16" s="1"/>
  <c r="Z44" i="16" s="1"/>
  <c r="Z43" i="16" s="1"/>
  <c r="Z42" i="16" s="1"/>
  <c r="Z41" i="16" s="1"/>
  <c r="Z40" i="16" s="1"/>
  <c r="Z39" i="16" s="1"/>
  <c r="Z38" i="16" s="1"/>
  <c r="Z37" i="16" s="1"/>
  <c r="Z36" i="16" s="1"/>
  <c r="Z35" i="16" s="1"/>
  <c r="Z34" i="16" s="1"/>
  <c r="Z33" i="16" s="1"/>
  <c r="Z32" i="16" s="1"/>
  <c r="Z31" i="16" s="1"/>
  <c r="Z30" i="16" s="1"/>
  <c r="Z29" i="16" s="1"/>
  <c r="Z28" i="16" s="1"/>
  <c r="Z27" i="16" s="1"/>
  <c r="Z26" i="16" s="1"/>
  <c r="Z25" i="16" s="1"/>
  <c r="Z24" i="16" s="1"/>
  <c r="Z23" i="16" s="1"/>
  <c r="Z22" i="16" s="1"/>
  <c r="Z21" i="16" s="1"/>
  <c r="Z20" i="16" s="1"/>
  <c r="Z19" i="16" s="1"/>
  <c r="Z18" i="16" s="1"/>
  <c r="Z17" i="16" s="1"/>
  <c r="Z16" i="16" s="1"/>
  <c r="Z15" i="16" s="1"/>
  <c r="Z14" i="16" s="1"/>
  <c r="Z13" i="16" s="1"/>
  <c r="Z12" i="16" s="1"/>
  <c r="Z11" i="16" s="1"/>
  <c r="Z10" i="16" s="1"/>
  <c r="Z9" i="16" s="1"/>
  <c r="Z8" i="16" s="1"/>
  <c r="Z7" i="16" s="1"/>
  <c r="Z6" i="16" s="1"/>
  <c r="Z5" i="16" s="1"/>
  <c r="Z4" i="16" s="1"/>
  <c r="Z3" i="16" s="1"/>
  <c r="S362" i="16"/>
  <c r="S361" i="16" s="1"/>
  <c r="S360" i="16" s="1"/>
  <c r="S359" i="16" s="1"/>
  <c r="S358" i="16" s="1"/>
  <c r="S357" i="16" s="1"/>
  <c r="S356" i="16" s="1"/>
  <c r="S355" i="16" s="1"/>
  <c r="S354" i="16" s="1"/>
  <c r="S353" i="16" s="1"/>
  <c r="S352" i="16" s="1"/>
  <c r="S351" i="16" s="1"/>
  <c r="S350" i="16" s="1"/>
  <c r="S349" i="16" s="1"/>
  <c r="S348" i="16" s="1"/>
  <c r="S347" i="16" s="1"/>
  <c r="S346" i="16" s="1"/>
  <c r="S345" i="16" s="1"/>
  <c r="S344" i="16" s="1"/>
  <c r="S343" i="16" s="1"/>
  <c r="S342" i="16" s="1"/>
  <c r="S341" i="16" s="1"/>
  <c r="S340" i="16" s="1"/>
  <c r="S339" i="16" s="1"/>
  <c r="S338" i="16" s="1"/>
  <c r="S337" i="16" s="1"/>
  <c r="S336" i="16" s="1"/>
  <c r="S335" i="16" s="1"/>
  <c r="S334" i="16" s="1"/>
  <c r="S333" i="16" s="1"/>
  <c r="S332" i="16" s="1"/>
  <c r="S331" i="16" s="1"/>
  <c r="S330" i="16" s="1"/>
  <c r="S329" i="16" s="1"/>
  <c r="S328" i="16" s="1"/>
  <c r="S327" i="16" s="1"/>
  <c r="S326" i="16" s="1"/>
  <c r="S325" i="16" s="1"/>
  <c r="S324" i="16" s="1"/>
  <c r="S323" i="16" s="1"/>
  <c r="S322" i="16" s="1"/>
  <c r="S321" i="16" s="1"/>
  <c r="S320" i="16" s="1"/>
  <c r="S319" i="16" s="1"/>
  <c r="S318" i="16" s="1"/>
  <c r="S317" i="16" s="1"/>
  <c r="S316" i="16" s="1"/>
  <c r="S315" i="16" s="1"/>
  <c r="S314" i="16" s="1"/>
  <c r="S313" i="16" s="1"/>
  <c r="S312" i="16" s="1"/>
  <c r="S311" i="16" s="1"/>
  <c r="S310" i="16" s="1"/>
  <c r="S309" i="16" s="1"/>
  <c r="S308" i="16" s="1"/>
  <c r="S307" i="16" s="1"/>
  <c r="S306" i="16" s="1"/>
  <c r="S305" i="16" s="1"/>
  <c r="S304" i="16" s="1"/>
  <c r="S303" i="16" s="1"/>
  <c r="S302" i="16" s="1"/>
  <c r="S301" i="16" s="1"/>
  <c r="S300" i="16" s="1"/>
  <c r="S299" i="16" s="1"/>
  <c r="S298" i="16" s="1"/>
  <c r="S297" i="16" s="1"/>
  <c r="S296" i="16" s="1"/>
  <c r="S295" i="16" s="1"/>
  <c r="S294" i="16" s="1"/>
  <c r="S293" i="16" s="1"/>
  <c r="S292" i="16" s="1"/>
  <c r="S291" i="16" s="1"/>
  <c r="S290" i="16" s="1"/>
  <c r="S289" i="16" s="1"/>
  <c r="S288" i="16" s="1"/>
  <c r="S287" i="16" s="1"/>
  <c r="S286" i="16" s="1"/>
  <c r="S285" i="16" s="1"/>
  <c r="S284" i="16" s="1"/>
  <c r="S283" i="16" s="1"/>
  <c r="S282" i="16" s="1"/>
  <c r="S281" i="16" s="1"/>
  <c r="S280" i="16" s="1"/>
  <c r="S279" i="16" s="1"/>
  <c r="S278" i="16" s="1"/>
  <c r="S277" i="16" s="1"/>
  <c r="S276" i="16" s="1"/>
  <c r="S275" i="16" s="1"/>
  <c r="S274" i="16" s="1"/>
  <c r="S273" i="16" s="1"/>
  <c r="S272" i="16" s="1"/>
  <c r="S271" i="16" s="1"/>
  <c r="S270" i="16" s="1"/>
  <c r="S269" i="16" s="1"/>
  <c r="S268" i="16" s="1"/>
  <c r="S267" i="16" s="1"/>
  <c r="S266" i="16" s="1"/>
  <c r="S265" i="16" s="1"/>
  <c r="S264" i="16" s="1"/>
  <c r="S263" i="16" s="1"/>
  <c r="S262" i="16" s="1"/>
  <c r="S261" i="16" s="1"/>
  <c r="S260" i="16" s="1"/>
  <c r="S259" i="16" s="1"/>
  <c r="S258" i="16" s="1"/>
  <c r="S257" i="16" s="1"/>
  <c r="S256" i="16" s="1"/>
  <c r="S255" i="16" s="1"/>
  <c r="S254" i="16" s="1"/>
  <c r="S253" i="16" s="1"/>
  <c r="S252" i="16" s="1"/>
  <c r="S251" i="16" s="1"/>
  <c r="S250" i="16" s="1"/>
  <c r="S249" i="16" s="1"/>
  <c r="S248" i="16" s="1"/>
  <c r="S247" i="16" s="1"/>
  <c r="S246" i="16" s="1"/>
  <c r="S245" i="16" s="1"/>
  <c r="S244" i="16" s="1"/>
  <c r="S243" i="16" s="1"/>
  <c r="S242" i="16" s="1"/>
  <c r="S241" i="16" s="1"/>
  <c r="S240" i="16" s="1"/>
  <c r="S239" i="16" s="1"/>
  <c r="S238" i="16" s="1"/>
  <c r="S237" i="16" s="1"/>
  <c r="S236" i="16" s="1"/>
  <c r="S235" i="16" s="1"/>
  <c r="S234" i="16" s="1"/>
  <c r="S233" i="16" s="1"/>
  <c r="S232" i="16" s="1"/>
  <c r="S231" i="16" s="1"/>
  <c r="S230" i="16" s="1"/>
  <c r="S229" i="16" s="1"/>
  <c r="S228" i="16" s="1"/>
  <c r="S227" i="16" s="1"/>
  <c r="S226" i="16" s="1"/>
  <c r="S225" i="16" s="1"/>
  <c r="S224" i="16" s="1"/>
  <c r="S223" i="16" s="1"/>
  <c r="S222" i="16" s="1"/>
  <c r="S221" i="16" s="1"/>
  <c r="S220" i="16" s="1"/>
  <c r="S219" i="16" s="1"/>
  <c r="S218" i="16" s="1"/>
  <c r="S217" i="16" s="1"/>
  <c r="S216" i="16" s="1"/>
  <c r="S215" i="16" s="1"/>
  <c r="S214" i="16" s="1"/>
  <c r="S213" i="16" s="1"/>
  <c r="S212" i="16" s="1"/>
  <c r="S211" i="16" s="1"/>
  <c r="S210" i="16" s="1"/>
  <c r="S209" i="16" s="1"/>
  <c r="S208" i="16" s="1"/>
  <c r="S207" i="16" s="1"/>
  <c r="S206" i="16" s="1"/>
  <c r="S205" i="16" s="1"/>
  <c r="S204" i="16" s="1"/>
  <c r="S203" i="16" s="1"/>
  <c r="S202" i="16" s="1"/>
  <c r="S201" i="16" s="1"/>
  <c r="S200" i="16" s="1"/>
  <c r="S199" i="16" s="1"/>
  <c r="S198" i="16" s="1"/>
  <c r="S197" i="16" s="1"/>
  <c r="S196" i="16" s="1"/>
  <c r="S195" i="16" s="1"/>
  <c r="S194" i="16" s="1"/>
  <c r="S193" i="16" s="1"/>
  <c r="S192" i="16" s="1"/>
  <c r="S191" i="16" s="1"/>
  <c r="S190" i="16" s="1"/>
  <c r="S189" i="16" s="1"/>
  <c r="S188" i="16" s="1"/>
  <c r="S187" i="16" s="1"/>
  <c r="S186" i="16" s="1"/>
  <c r="S185" i="16" s="1"/>
  <c r="S184" i="16" s="1"/>
  <c r="S183" i="16" s="1"/>
  <c r="S182" i="16" s="1"/>
  <c r="S181" i="16" s="1"/>
  <c r="S180" i="16" s="1"/>
  <c r="S179" i="16" s="1"/>
  <c r="S178" i="16" s="1"/>
  <c r="S177" i="16" s="1"/>
  <c r="S176" i="16" s="1"/>
  <c r="S175" i="16" s="1"/>
  <c r="S174" i="16" s="1"/>
  <c r="S173" i="16" s="1"/>
  <c r="S172" i="16" s="1"/>
  <c r="S171" i="16" s="1"/>
  <c r="S170" i="16" s="1"/>
  <c r="S169" i="16" s="1"/>
  <c r="S168" i="16" s="1"/>
  <c r="S167" i="16" s="1"/>
  <c r="S166" i="16" s="1"/>
  <c r="S165" i="16" s="1"/>
  <c r="S164" i="16" s="1"/>
  <c r="S163" i="16" s="1"/>
  <c r="S162" i="16" s="1"/>
  <c r="S161" i="16" s="1"/>
  <c r="S160" i="16" s="1"/>
  <c r="S159" i="16" s="1"/>
  <c r="S158" i="16" s="1"/>
  <c r="S157" i="16" s="1"/>
  <c r="S156" i="16" s="1"/>
  <c r="S155" i="16" s="1"/>
  <c r="S154" i="16" s="1"/>
  <c r="S153" i="16" s="1"/>
  <c r="S152" i="16" s="1"/>
  <c r="S151" i="16" s="1"/>
  <c r="S150" i="16" s="1"/>
  <c r="S149" i="16" s="1"/>
  <c r="S148" i="16" s="1"/>
  <c r="S147" i="16" s="1"/>
  <c r="S146" i="16" s="1"/>
  <c r="S145" i="16" s="1"/>
  <c r="S144" i="16" s="1"/>
  <c r="S143" i="16" s="1"/>
  <c r="S142" i="16" s="1"/>
  <c r="S141" i="16" s="1"/>
  <c r="S140" i="16" s="1"/>
  <c r="S139" i="16" s="1"/>
  <c r="S138" i="16" s="1"/>
  <c r="S137" i="16" s="1"/>
  <c r="S136" i="16" s="1"/>
  <c r="S135" i="16" s="1"/>
  <c r="S134" i="16" s="1"/>
  <c r="S133" i="16" s="1"/>
  <c r="S132" i="16" s="1"/>
  <c r="S131" i="16" s="1"/>
  <c r="S130" i="16" s="1"/>
  <c r="S129" i="16" s="1"/>
  <c r="S128" i="16" s="1"/>
  <c r="S127" i="16" s="1"/>
  <c r="S126" i="16" s="1"/>
  <c r="S125" i="16" s="1"/>
  <c r="S124" i="16" s="1"/>
  <c r="S123" i="16" s="1"/>
  <c r="S122" i="16" s="1"/>
  <c r="S121" i="16" s="1"/>
  <c r="S120" i="16" s="1"/>
  <c r="S119" i="16" s="1"/>
  <c r="S118" i="16" s="1"/>
  <c r="S117" i="16" s="1"/>
  <c r="S116" i="16" s="1"/>
  <c r="S115" i="16" s="1"/>
  <c r="S114" i="16" s="1"/>
  <c r="S113" i="16" s="1"/>
  <c r="S112" i="16" s="1"/>
  <c r="S111" i="16" s="1"/>
  <c r="S110" i="16" s="1"/>
  <c r="S109" i="16" s="1"/>
  <c r="S108" i="16" s="1"/>
  <c r="S107" i="16" s="1"/>
  <c r="S106" i="16" s="1"/>
  <c r="S105" i="16" s="1"/>
  <c r="S104" i="16" s="1"/>
  <c r="S103" i="16" s="1"/>
  <c r="S102" i="16" s="1"/>
  <c r="S101" i="16" s="1"/>
  <c r="S100" i="16" s="1"/>
  <c r="S99" i="16" s="1"/>
  <c r="S98" i="16" s="1"/>
  <c r="S97" i="16" s="1"/>
  <c r="S96" i="16" s="1"/>
  <c r="S95" i="16" s="1"/>
  <c r="S94" i="16" s="1"/>
  <c r="S93" i="16" s="1"/>
  <c r="S92" i="16" s="1"/>
  <c r="S91" i="16" s="1"/>
  <c r="S90" i="16" s="1"/>
  <c r="S89" i="16" s="1"/>
  <c r="S88" i="16" s="1"/>
  <c r="S87" i="16" s="1"/>
  <c r="S86" i="16" s="1"/>
  <c r="S85" i="16" s="1"/>
  <c r="S84" i="16" s="1"/>
  <c r="S83" i="16" s="1"/>
  <c r="S82" i="16" s="1"/>
  <c r="S81" i="16" s="1"/>
  <c r="S80" i="16" s="1"/>
  <c r="S79" i="16" s="1"/>
  <c r="S78" i="16" s="1"/>
  <c r="S77" i="16" s="1"/>
  <c r="S76" i="16" s="1"/>
  <c r="S75" i="16" s="1"/>
  <c r="S74" i="16" s="1"/>
  <c r="S73" i="16" s="1"/>
  <c r="S72" i="16" s="1"/>
  <c r="S71" i="16" s="1"/>
  <c r="S70" i="16" s="1"/>
  <c r="S69" i="16" s="1"/>
  <c r="S68" i="16" s="1"/>
  <c r="S67" i="16" s="1"/>
  <c r="S66" i="16" s="1"/>
  <c r="S65" i="16" s="1"/>
  <c r="S64" i="16" s="1"/>
  <c r="S63" i="16" s="1"/>
  <c r="S62" i="16" s="1"/>
  <c r="S61" i="16" s="1"/>
  <c r="S60" i="16" s="1"/>
  <c r="S59" i="16" s="1"/>
  <c r="S58" i="16" s="1"/>
  <c r="S57" i="16" s="1"/>
  <c r="S56" i="16" s="1"/>
  <c r="S55" i="16" s="1"/>
  <c r="S54" i="16" s="1"/>
  <c r="S53" i="16" s="1"/>
  <c r="S52" i="16" s="1"/>
  <c r="S51" i="16" s="1"/>
  <c r="S50" i="16" s="1"/>
  <c r="S49" i="16" s="1"/>
  <c r="S48" i="16" s="1"/>
  <c r="S47" i="16" s="1"/>
  <c r="S46" i="16" s="1"/>
  <c r="S45" i="16" s="1"/>
  <c r="S44" i="16" s="1"/>
  <c r="S43" i="16" s="1"/>
  <c r="S42" i="16" s="1"/>
  <c r="S41" i="16" s="1"/>
  <c r="S40" i="16" s="1"/>
  <c r="S39" i="16" s="1"/>
  <c r="S38" i="16" s="1"/>
  <c r="S37" i="16" s="1"/>
  <c r="S36" i="16" s="1"/>
  <c r="S35" i="16" s="1"/>
  <c r="S34" i="16" s="1"/>
  <c r="S33" i="16" s="1"/>
  <c r="S32" i="16" s="1"/>
  <c r="S31" i="16" s="1"/>
  <c r="S30" i="16" s="1"/>
  <c r="S29" i="16" s="1"/>
  <c r="S28" i="16" s="1"/>
  <c r="S27" i="16" s="1"/>
  <c r="S26" i="16" s="1"/>
  <c r="S25" i="16" s="1"/>
  <c r="S24" i="16" s="1"/>
  <c r="S23" i="16" s="1"/>
  <c r="S22" i="16" s="1"/>
  <c r="S21" i="16" s="1"/>
  <c r="S20" i="16" s="1"/>
  <c r="S19" i="16" s="1"/>
  <c r="S18" i="16" s="1"/>
  <c r="S17" i="16" s="1"/>
  <c r="S16" i="16" s="1"/>
  <c r="S15" i="16" s="1"/>
  <c r="S14" i="16" s="1"/>
  <c r="S13" i="16" s="1"/>
  <c r="S12" i="16" s="1"/>
  <c r="S11" i="16" s="1"/>
  <c r="S10" i="16" s="1"/>
  <c r="S9" i="16" s="1"/>
  <c r="S8" i="16" s="1"/>
  <c r="S7" i="16" s="1"/>
  <c r="S6" i="16" s="1"/>
  <c r="S5" i="16" s="1"/>
  <c r="S4" i="16" s="1"/>
  <c r="S3" i="16" s="1"/>
  <c r="V363" i="16"/>
  <c r="U362" i="13"/>
  <c r="U361" i="13" s="1"/>
  <c r="U360" i="13" s="1"/>
  <c r="U359" i="13" s="1"/>
  <c r="U358" i="13" s="1"/>
  <c r="U357" i="13" s="1"/>
  <c r="U356" i="13" s="1"/>
  <c r="U355" i="13" s="1"/>
  <c r="U354" i="13" s="1"/>
  <c r="U353" i="13" s="1"/>
  <c r="U352" i="13" s="1"/>
  <c r="U351" i="13" s="1"/>
  <c r="U350" i="13" s="1"/>
  <c r="U349" i="13" s="1"/>
  <c r="U348" i="13" s="1"/>
  <c r="U347" i="13" s="1"/>
  <c r="U346" i="13" s="1"/>
  <c r="U345" i="13" s="1"/>
  <c r="U344" i="13" s="1"/>
  <c r="U343" i="13" s="1"/>
  <c r="U342" i="13" s="1"/>
  <c r="U341" i="13" s="1"/>
  <c r="U340" i="13" s="1"/>
  <c r="U339" i="13" s="1"/>
  <c r="U338" i="13" s="1"/>
  <c r="U337" i="13" s="1"/>
  <c r="U336" i="13" s="1"/>
  <c r="U335" i="13" s="1"/>
  <c r="U334" i="13" s="1"/>
  <c r="U333" i="13" s="1"/>
  <c r="U332" i="13" s="1"/>
  <c r="U331" i="13" s="1"/>
  <c r="U330" i="13" s="1"/>
  <c r="U329" i="13" s="1"/>
  <c r="U328" i="13" s="1"/>
  <c r="U327" i="13" s="1"/>
  <c r="U326" i="13" s="1"/>
  <c r="U325" i="13" s="1"/>
  <c r="U324" i="13" s="1"/>
  <c r="U323" i="13" s="1"/>
  <c r="U322" i="13" s="1"/>
  <c r="U321" i="13" s="1"/>
  <c r="U320" i="13" s="1"/>
  <c r="U319" i="13" s="1"/>
  <c r="U318" i="13" s="1"/>
  <c r="U317" i="13" s="1"/>
  <c r="U316" i="13" s="1"/>
  <c r="U315" i="13" s="1"/>
  <c r="U314" i="13" s="1"/>
  <c r="U313" i="13" s="1"/>
  <c r="U312" i="13" s="1"/>
  <c r="U311" i="13" s="1"/>
  <c r="U310" i="13" s="1"/>
  <c r="U309" i="13" s="1"/>
  <c r="U308" i="13" s="1"/>
  <c r="U307" i="13" s="1"/>
  <c r="U306" i="13" s="1"/>
  <c r="U305" i="13" s="1"/>
  <c r="U304" i="13" s="1"/>
  <c r="U303" i="13" s="1"/>
  <c r="U302" i="13" s="1"/>
  <c r="U301" i="13" s="1"/>
  <c r="U300" i="13" s="1"/>
  <c r="U299" i="13" s="1"/>
  <c r="U298" i="13" s="1"/>
  <c r="U297" i="13" s="1"/>
  <c r="U296" i="13" s="1"/>
  <c r="U295" i="13" s="1"/>
  <c r="U294" i="13" s="1"/>
  <c r="U293" i="13" s="1"/>
  <c r="U292" i="13" s="1"/>
  <c r="U291" i="13" s="1"/>
  <c r="U290" i="13" s="1"/>
  <c r="U289" i="13" s="1"/>
  <c r="U288" i="13" s="1"/>
  <c r="U287" i="13" s="1"/>
  <c r="U286" i="13" s="1"/>
  <c r="U285" i="13" s="1"/>
  <c r="U284" i="13" s="1"/>
  <c r="U283" i="13" s="1"/>
  <c r="U282" i="13" s="1"/>
  <c r="U281" i="13" s="1"/>
  <c r="U280" i="13" s="1"/>
  <c r="U279" i="13" s="1"/>
  <c r="U278" i="13" s="1"/>
  <c r="U277" i="13" s="1"/>
  <c r="U276" i="13" s="1"/>
  <c r="U275" i="13" s="1"/>
  <c r="U274" i="13" s="1"/>
  <c r="U273" i="13" s="1"/>
  <c r="U272" i="13" s="1"/>
  <c r="U271" i="13" s="1"/>
  <c r="U270" i="13" s="1"/>
  <c r="U269" i="13" s="1"/>
  <c r="U268" i="13" s="1"/>
  <c r="U267" i="13" s="1"/>
  <c r="U266" i="13" s="1"/>
  <c r="U265" i="13" s="1"/>
  <c r="U264" i="13" s="1"/>
  <c r="U263" i="13" s="1"/>
  <c r="U262" i="13" s="1"/>
  <c r="U261" i="13" s="1"/>
  <c r="U260" i="13" s="1"/>
  <c r="U259" i="13" s="1"/>
  <c r="U258" i="13" s="1"/>
  <c r="U257" i="13" s="1"/>
  <c r="U256" i="13" s="1"/>
  <c r="U255" i="13" s="1"/>
  <c r="U254" i="13" s="1"/>
  <c r="U253" i="13" s="1"/>
  <c r="U252" i="13" s="1"/>
  <c r="U251" i="13" s="1"/>
  <c r="U250" i="13" s="1"/>
  <c r="U249" i="13" s="1"/>
  <c r="U248" i="13" s="1"/>
  <c r="U247" i="13" s="1"/>
  <c r="U246" i="13" s="1"/>
  <c r="U245" i="13" s="1"/>
  <c r="U244" i="13" s="1"/>
  <c r="U243" i="13" s="1"/>
  <c r="U242" i="13" s="1"/>
  <c r="U241" i="13" s="1"/>
  <c r="U240" i="13" s="1"/>
  <c r="U239" i="13" s="1"/>
  <c r="U238" i="13" s="1"/>
  <c r="U237" i="13" s="1"/>
  <c r="U236" i="13" s="1"/>
  <c r="U235" i="13" s="1"/>
  <c r="U234" i="13" s="1"/>
  <c r="U233" i="13" s="1"/>
  <c r="U232" i="13" s="1"/>
  <c r="U231" i="13" s="1"/>
  <c r="U230" i="13" s="1"/>
  <c r="U229" i="13" s="1"/>
  <c r="U228" i="13" s="1"/>
  <c r="U227" i="13" s="1"/>
  <c r="U226" i="13" s="1"/>
  <c r="U225" i="13" s="1"/>
  <c r="U224" i="13" s="1"/>
  <c r="U223" i="13" s="1"/>
  <c r="U222" i="13" s="1"/>
  <c r="U221" i="13" s="1"/>
  <c r="U220" i="13" s="1"/>
  <c r="U219" i="13" s="1"/>
  <c r="U218" i="13" s="1"/>
  <c r="U217" i="13" s="1"/>
  <c r="U216" i="13" s="1"/>
  <c r="U215" i="13" s="1"/>
  <c r="U214" i="13" s="1"/>
  <c r="U213" i="13" s="1"/>
  <c r="U212" i="13" s="1"/>
  <c r="U211" i="13" s="1"/>
  <c r="U210" i="13" s="1"/>
  <c r="U209" i="13" s="1"/>
  <c r="U208" i="13" s="1"/>
  <c r="U207" i="13" s="1"/>
  <c r="U206" i="13" s="1"/>
  <c r="U205" i="13" s="1"/>
  <c r="U204" i="13" s="1"/>
  <c r="U203" i="13" s="1"/>
  <c r="U202" i="13" s="1"/>
  <c r="U201" i="13" s="1"/>
  <c r="U200" i="13" s="1"/>
  <c r="U199" i="13" s="1"/>
  <c r="U198" i="13" s="1"/>
  <c r="U197" i="13" s="1"/>
  <c r="U196" i="13" s="1"/>
  <c r="U195" i="13" s="1"/>
  <c r="U194" i="13" s="1"/>
  <c r="U193" i="13" s="1"/>
  <c r="U192" i="13" s="1"/>
  <c r="U191" i="13" s="1"/>
  <c r="U190" i="13" s="1"/>
  <c r="U189" i="13" s="1"/>
  <c r="U188" i="13" s="1"/>
  <c r="U187" i="13" s="1"/>
  <c r="U186" i="13" s="1"/>
  <c r="U185" i="13" s="1"/>
  <c r="U184" i="13" s="1"/>
  <c r="U183" i="13" s="1"/>
  <c r="U182" i="13" s="1"/>
  <c r="U181" i="13" s="1"/>
  <c r="U180" i="13" s="1"/>
  <c r="U179" i="13" s="1"/>
  <c r="U178" i="13" s="1"/>
  <c r="U177" i="13" s="1"/>
  <c r="U176" i="13" s="1"/>
  <c r="U175" i="13" s="1"/>
  <c r="U174" i="13" s="1"/>
  <c r="U173" i="13" s="1"/>
  <c r="U172" i="13" s="1"/>
  <c r="U171" i="13" s="1"/>
  <c r="U170" i="13" s="1"/>
  <c r="U169" i="13" s="1"/>
  <c r="U168" i="13" s="1"/>
  <c r="U167" i="13" s="1"/>
  <c r="U166" i="13" s="1"/>
  <c r="U165" i="13" s="1"/>
  <c r="U164" i="13" s="1"/>
  <c r="U163" i="13" s="1"/>
  <c r="U162" i="13" s="1"/>
  <c r="U161" i="13" s="1"/>
  <c r="U160" i="13" s="1"/>
  <c r="U159" i="13" s="1"/>
  <c r="U158" i="13" s="1"/>
  <c r="U157" i="13" s="1"/>
  <c r="U156" i="13" s="1"/>
  <c r="U155" i="13" s="1"/>
  <c r="U154" i="13" s="1"/>
  <c r="U153" i="13" s="1"/>
  <c r="U152" i="13" s="1"/>
  <c r="U151" i="13" s="1"/>
  <c r="U150" i="13" s="1"/>
  <c r="U149" i="13" s="1"/>
  <c r="U148" i="13" s="1"/>
  <c r="U147" i="13" s="1"/>
  <c r="U146" i="13" s="1"/>
  <c r="U145" i="13" s="1"/>
  <c r="U144" i="13" s="1"/>
  <c r="U143" i="13" s="1"/>
  <c r="U142" i="13" s="1"/>
  <c r="U141" i="13" s="1"/>
  <c r="U140" i="13" s="1"/>
  <c r="U139" i="13" s="1"/>
  <c r="U138" i="13" s="1"/>
  <c r="U137" i="13" s="1"/>
  <c r="U136" i="13" s="1"/>
  <c r="U135" i="13" s="1"/>
  <c r="U134" i="13" s="1"/>
  <c r="U133" i="13" s="1"/>
  <c r="U132" i="13" s="1"/>
  <c r="U131" i="13" s="1"/>
  <c r="U130" i="13" s="1"/>
  <c r="U129" i="13" s="1"/>
  <c r="U128" i="13" s="1"/>
  <c r="U127" i="13" s="1"/>
  <c r="U126" i="13" s="1"/>
  <c r="U125" i="13" s="1"/>
  <c r="U124" i="13" s="1"/>
  <c r="U123" i="13" s="1"/>
  <c r="U122" i="13" s="1"/>
  <c r="U121" i="13" s="1"/>
  <c r="U120" i="13" s="1"/>
  <c r="U119" i="13" s="1"/>
  <c r="U118" i="13" s="1"/>
  <c r="U117" i="13" s="1"/>
  <c r="U116" i="13" s="1"/>
  <c r="U115" i="13" s="1"/>
  <c r="U114" i="13" s="1"/>
  <c r="U113" i="13" s="1"/>
  <c r="U112" i="13" s="1"/>
  <c r="U111" i="13" s="1"/>
  <c r="U110" i="13" s="1"/>
  <c r="U109" i="13" s="1"/>
  <c r="U108" i="13" s="1"/>
  <c r="U107" i="13" s="1"/>
  <c r="U106" i="13" s="1"/>
  <c r="U105" i="13" s="1"/>
  <c r="U104" i="13" s="1"/>
  <c r="U103" i="13" s="1"/>
  <c r="U102" i="13" s="1"/>
  <c r="U101" i="13" s="1"/>
  <c r="U100" i="13" s="1"/>
  <c r="U99" i="13" s="1"/>
  <c r="U98" i="13" s="1"/>
  <c r="U97" i="13" s="1"/>
  <c r="U96" i="13" s="1"/>
  <c r="U95" i="13" s="1"/>
  <c r="U94" i="13" s="1"/>
  <c r="U93" i="13" s="1"/>
  <c r="U92" i="13" s="1"/>
  <c r="U91" i="13" s="1"/>
  <c r="U90" i="13" s="1"/>
  <c r="U89" i="13" s="1"/>
  <c r="U88" i="13" s="1"/>
  <c r="U87" i="13" s="1"/>
  <c r="U86" i="13" s="1"/>
  <c r="U85" i="13" s="1"/>
  <c r="U84" i="13" s="1"/>
  <c r="U83" i="13" s="1"/>
  <c r="U82" i="13" s="1"/>
  <c r="U81" i="13" s="1"/>
  <c r="U80" i="13" s="1"/>
  <c r="U79" i="13" s="1"/>
  <c r="U78" i="13" s="1"/>
  <c r="U77" i="13" s="1"/>
  <c r="U76" i="13" s="1"/>
  <c r="U75" i="13" s="1"/>
  <c r="U74" i="13" s="1"/>
  <c r="U73" i="13" s="1"/>
  <c r="U72" i="13" s="1"/>
  <c r="U71" i="13" s="1"/>
  <c r="U70" i="13" s="1"/>
  <c r="U69" i="13" s="1"/>
  <c r="U68" i="13" s="1"/>
  <c r="U67" i="13" s="1"/>
  <c r="U66" i="13" s="1"/>
  <c r="U65" i="13" s="1"/>
  <c r="U64" i="13" s="1"/>
  <c r="U63" i="13" s="1"/>
  <c r="U62" i="13" s="1"/>
  <c r="U61" i="13" s="1"/>
  <c r="U60" i="13" s="1"/>
  <c r="U59" i="13" s="1"/>
  <c r="U58" i="13" s="1"/>
  <c r="U57" i="13" s="1"/>
  <c r="U56" i="13" s="1"/>
  <c r="U55" i="13" s="1"/>
  <c r="U54" i="13" s="1"/>
  <c r="U53" i="13" s="1"/>
  <c r="U52" i="13" s="1"/>
  <c r="U51" i="13" s="1"/>
  <c r="U50" i="13" s="1"/>
  <c r="U49" i="13" s="1"/>
  <c r="U48" i="13" s="1"/>
  <c r="U47" i="13" s="1"/>
  <c r="U46" i="13" s="1"/>
  <c r="U45" i="13" s="1"/>
  <c r="U44" i="13" s="1"/>
  <c r="U43" i="13" s="1"/>
  <c r="U42" i="13" s="1"/>
  <c r="U41" i="13" s="1"/>
  <c r="U40" i="13" s="1"/>
  <c r="U39" i="13" s="1"/>
  <c r="U38" i="13" s="1"/>
  <c r="U37" i="13" s="1"/>
  <c r="U36" i="13" s="1"/>
  <c r="U35" i="13" s="1"/>
  <c r="U34" i="13" s="1"/>
  <c r="U33" i="13" s="1"/>
  <c r="U32" i="13" s="1"/>
  <c r="U31" i="13" s="1"/>
  <c r="U30" i="13" s="1"/>
  <c r="U29" i="13" s="1"/>
  <c r="U28" i="13" s="1"/>
  <c r="U27" i="13" s="1"/>
  <c r="U26" i="13" s="1"/>
  <c r="U25" i="13" s="1"/>
  <c r="U24" i="13" s="1"/>
  <c r="U23" i="13" s="1"/>
  <c r="U22" i="13" s="1"/>
  <c r="U21" i="13" s="1"/>
  <c r="U20" i="13" s="1"/>
  <c r="U19" i="13" s="1"/>
  <c r="U18" i="13" s="1"/>
  <c r="U17" i="13" s="1"/>
  <c r="U16" i="13" s="1"/>
  <c r="U15" i="13" s="1"/>
  <c r="U14" i="13" s="1"/>
  <c r="U13" i="13" s="1"/>
  <c r="U12" i="13" s="1"/>
  <c r="U11" i="13" s="1"/>
  <c r="U10" i="13" s="1"/>
  <c r="U9" i="13" s="1"/>
  <c r="U8" i="13" s="1"/>
  <c r="U7" i="13" s="1"/>
  <c r="U6" i="13" s="1"/>
  <c r="U5" i="13" s="1"/>
  <c r="U4" i="13" s="1"/>
  <c r="U3" i="13" s="1"/>
  <c r="X363" i="13"/>
  <c r="L73" i="11"/>
  <c r="L75" i="11"/>
  <c r="I64" i="11" s="1"/>
  <c r="AC363" i="13"/>
  <c r="Z362" i="13"/>
  <c r="Z361" i="13" s="1"/>
  <c r="Z360" i="13" s="1"/>
  <c r="Z359" i="13" s="1"/>
  <c r="Z358" i="13" s="1"/>
  <c r="Z357" i="13" s="1"/>
  <c r="Z356" i="13" s="1"/>
  <c r="Z355" i="13" s="1"/>
  <c r="Z354" i="13" s="1"/>
  <c r="Z353" i="13" s="1"/>
  <c r="Z352" i="13" s="1"/>
  <c r="Z351" i="13" s="1"/>
  <c r="Z350" i="13" s="1"/>
  <c r="Z349" i="13" s="1"/>
  <c r="Z348" i="13" s="1"/>
  <c r="Z347" i="13" s="1"/>
  <c r="Z346" i="13" s="1"/>
  <c r="Z345" i="13" s="1"/>
  <c r="Z344" i="13" s="1"/>
  <c r="Z343" i="13" s="1"/>
  <c r="Z342" i="13" s="1"/>
  <c r="Z341" i="13" s="1"/>
  <c r="Z340" i="13" s="1"/>
  <c r="Z339" i="13" s="1"/>
  <c r="Z338" i="13" s="1"/>
  <c r="Z337" i="13" s="1"/>
  <c r="Z336" i="13" s="1"/>
  <c r="Z335" i="13" s="1"/>
  <c r="Z334" i="13" s="1"/>
  <c r="Z333" i="13" s="1"/>
  <c r="Z332" i="13" s="1"/>
  <c r="Z331" i="13" s="1"/>
  <c r="Z330" i="13" s="1"/>
  <c r="Z329" i="13" s="1"/>
  <c r="Z328" i="13" s="1"/>
  <c r="Z327" i="13" s="1"/>
  <c r="Z326" i="13" s="1"/>
  <c r="Z325" i="13" s="1"/>
  <c r="Z324" i="13" s="1"/>
  <c r="Z323" i="13" s="1"/>
  <c r="Z322" i="13" s="1"/>
  <c r="Z321" i="13" s="1"/>
  <c r="Z320" i="13" s="1"/>
  <c r="Z319" i="13" s="1"/>
  <c r="Z318" i="13" s="1"/>
  <c r="Z317" i="13" s="1"/>
  <c r="Z316" i="13" s="1"/>
  <c r="Z315" i="13" s="1"/>
  <c r="Z314" i="13" s="1"/>
  <c r="Z313" i="13" s="1"/>
  <c r="Z312" i="13" s="1"/>
  <c r="Z311" i="13" s="1"/>
  <c r="Z310" i="13" s="1"/>
  <c r="Z309" i="13" s="1"/>
  <c r="Z308" i="13" s="1"/>
  <c r="Z307" i="13" s="1"/>
  <c r="Z306" i="13" s="1"/>
  <c r="Z305" i="13" s="1"/>
  <c r="Z304" i="13" s="1"/>
  <c r="Z303" i="13" s="1"/>
  <c r="Z302" i="13" s="1"/>
  <c r="Z301" i="13" s="1"/>
  <c r="Z300" i="13" s="1"/>
  <c r="Z299" i="13" s="1"/>
  <c r="Z298" i="13" s="1"/>
  <c r="Z297" i="13" s="1"/>
  <c r="Z296" i="13" s="1"/>
  <c r="Z295" i="13" s="1"/>
  <c r="Z294" i="13" s="1"/>
  <c r="Z293" i="13" s="1"/>
  <c r="Z292" i="13" s="1"/>
  <c r="Z291" i="13" s="1"/>
  <c r="Z290" i="13" s="1"/>
  <c r="Z289" i="13" s="1"/>
  <c r="Z288" i="13" s="1"/>
  <c r="Z287" i="13" s="1"/>
  <c r="Z286" i="13" s="1"/>
  <c r="Z285" i="13" s="1"/>
  <c r="Z284" i="13" s="1"/>
  <c r="Z283" i="13" s="1"/>
  <c r="Z282" i="13" s="1"/>
  <c r="Z281" i="13" s="1"/>
  <c r="Z280" i="13" s="1"/>
  <c r="Z279" i="13" s="1"/>
  <c r="Z278" i="13" s="1"/>
  <c r="Z277" i="13" s="1"/>
  <c r="Z276" i="13" s="1"/>
  <c r="Z275" i="13" s="1"/>
  <c r="Z274" i="13" s="1"/>
  <c r="Z273" i="13" s="1"/>
  <c r="Z272" i="13" s="1"/>
  <c r="Z271" i="13" s="1"/>
  <c r="Z270" i="13" s="1"/>
  <c r="Z269" i="13" s="1"/>
  <c r="Z268" i="13" s="1"/>
  <c r="Z267" i="13" s="1"/>
  <c r="Z266" i="13" s="1"/>
  <c r="Z265" i="13" s="1"/>
  <c r="Z264" i="13" s="1"/>
  <c r="Z263" i="13" s="1"/>
  <c r="Z262" i="13" s="1"/>
  <c r="Z261" i="13" s="1"/>
  <c r="Z260" i="13" s="1"/>
  <c r="Z259" i="13" s="1"/>
  <c r="Z258" i="13" s="1"/>
  <c r="Z257" i="13" s="1"/>
  <c r="Z256" i="13" s="1"/>
  <c r="Z255" i="13" s="1"/>
  <c r="Z254" i="13" s="1"/>
  <c r="Z253" i="13" s="1"/>
  <c r="Z252" i="13" s="1"/>
  <c r="Z251" i="13" s="1"/>
  <c r="Z250" i="13" s="1"/>
  <c r="Z249" i="13" s="1"/>
  <c r="Z248" i="13" s="1"/>
  <c r="Z247" i="13" s="1"/>
  <c r="Z246" i="13" s="1"/>
  <c r="Z245" i="13" s="1"/>
  <c r="Z244" i="13" s="1"/>
  <c r="Z243" i="13" s="1"/>
  <c r="Z242" i="13" s="1"/>
  <c r="Z241" i="13" s="1"/>
  <c r="Z240" i="13" s="1"/>
  <c r="Z239" i="13" s="1"/>
  <c r="Z238" i="13" s="1"/>
  <c r="Z237" i="13" s="1"/>
  <c r="Z236" i="13" s="1"/>
  <c r="Z235" i="13" s="1"/>
  <c r="Z234" i="13" s="1"/>
  <c r="Z233" i="13" s="1"/>
  <c r="Z232" i="13" s="1"/>
  <c r="Z231" i="13" s="1"/>
  <c r="Z230" i="13" s="1"/>
  <c r="Z229" i="13" s="1"/>
  <c r="Z228" i="13" s="1"/>
  <c r="Z227" i="13" s="1"/>
  <c r="Z226" i="13" s="1"/>
  <c r="Z225" i="13" s="1"/>
  <c r="Z224" i="13" s="1"/>
  <c r="Z223" i="13" s="1"/>
  <c r="Z222" i="13" s="1"/>
  <c r="Z221" i="13" s="1"/>
  <c r="Z220" i="13" s="1"/>
  <c r="Z219" i="13" s="1"/>
  <c r="Z218" i="13" s="1"/>
  <c r="Z217" i="13" s="1"/>
  <c r="Z216" i="13" s="1"/>
  <c r="Z215" i="13" s="1"/>
  <c r="Z214" i="13" s="1"/>
  <c r="Z213" i="13" s="1"/>
  <c r="Z212" i="13" s="1"/>
  <c r="Z211" i="13" s="1"/>
  <c r="Z210" i="13" s="1"/>
  <c r="Z209" i="13" s="1"/>
  <c r="Z208" i="13" s="1"/>
  <c r="Z207" i="13" s="1"/>
  <c r="Z206" i="13" s="1"/>
  <c r="Z205" i="13" s="1"/>
  <c r="Z204" i="13" s="1"/>
  <c r="Z203" i="13" s="1"/>
  <c r="Z202" i="13" s="1"/>
  <c r="Z201" i="13" s="1"/>
  <c r="Z200" i="13" s="1"/>
  <c r="Z199" i="13" s="1"/>
  <c r="Z198" i="13" s="1"/>
  <c r="Z197" i="13" s="1"/>
  <c r="Z196" i="13" s="1"/>
  <c r="Z195" i="13" s="1"/>
  <c r="Z194" i="13" s="1"/>
  <c r="Z193" i="13" s="1"/>
  <c r="Z192" i="13" s="1"/>
  <c r="Z191" i="13" s="1"/>
  <c r="Z190" i="13" s="1"/>
  <c r="Z189" i="13" s="1"/>
  <c r="Z188" i="13" s="1"/>
  <c r="Z187" i="13" s="1"/>
  <c r="Z186" i="13" s="1"/>
  <c r="Z185" i="13" s="1"/>
  <c r="Z184" i="13" s="1"/>
  <c r="Z183" i="13" s="1"/>
  <c r="Z182" i="13" s="1"/>
  <c r="Z181" i="13" s="1"/>
  <c r="Z180" i="13" s="1"/>
  <c r="Z179" i="13" s="1"/>
  <c r="Z178" i="13" s="1"/>
  <c r="Z177" i="13" s="1"/>
  <c r="Z176" i="13" s="1"/>
  <c r="Z175" i="13" s="1"/>
  <c r="Z174" i="13" s="1"/>
  <c r="Z173" i="13" s="1"/>
  <c r="Z172" i="13" s="1"/>
  <c r="Z171" i="13" s="1"/>
  <c r="Z170" i="13" s="1"/>
  <c r="Z169" i="13" s="1"/>
  <c r="Z168" i="13" s="1"/>
  <c r="Z167" i="13" s="1"/>
  <c r="Z166" i="13" s="1"/>
  <c r="Z165" i="13" s="1"/>
  <c r="Z164" i="13" s="1"/>
  <c r="Z163" i="13" s="1"/>
  <c r="Z162" i="13" s="1"/>
  <c r="Z161" i="13" s="1"/>
  <c r="Z160" i="13" s="1"/>
  <c r="Z159" i="13" s="1"/>
  <c r="Z158" i="13" s="1"/>
  <c r="Z157" i="13" s="1"/>
  <c r="Z156" i="13" s="1"/>
  <c r="Z155" i="13" s="1"/>
  <c r="Z154" i="13" s="1"/>
  <c r="Z153" i="13" s="1"/>
  <c r="Z152" i="13" s="1"/>
  <c r="Z151" i="13" s="1"/>
  <c r="Z150" i="13" s="1"/>
  <c r="Z149" i="13" s="1"/>
  <c r="Z148" i="13" s="1"/>
  <c r="Z147" i="13" s="1"/>
  <c r="Z146" i="13" s="1"/>
  <c r="Z145" i="13" s="1"/>
  <c r="Z144" i="13" s="1"/>
  <c r="Z143" i="13" s="1"/>
  <c r="Z142" i="13" s="1"/>
  <c r="Z141" i="13" s="1"/>
  <c r="Z140" i="13" s="1"/>
  <c r="Z139" i="13" s="1"/>
  <c r="Z138" i="13" s="1"/>
  <c r="Z137" i="13" s="1"/>
  <c r="Z136" i="13" s="1"/>
  <c r="Z135" i="13" s="1"/>
  <c r="Z134" i="13" s="1"/>
  <c r="Z133" i="13" s="1"/>
  <c r="Z132" i="13" s="1"/>
  <c r="Z131" i="13" s="1"/>
  <c r="Z130" i="13" s="1"/>
  <c r="Z129" i="13" s="1"/>
  <c r="Z128" i="13" s="1"/>
  <c r="Z127" i="13" s="1"/>
  <c r="Z126" i="13" s="1"/>
  <c r="Z125" i="13" s="1"/>
  <c r="Z124" i="13" s="1"/>
  <c r="Z123" i="13" s="1"/>
  <c r="Z122" i="13" s="1"/>
  <c r="Z121" i="13" s="1"/>
  <c r="Z120" i="13" s="1"/>
  <c r="Z119" i="13" s="1"/>
  <c r="Z118" i="13" s="1"/>
  <c r="Z117" i="13" s="1"/>
  <c r="Z116" i="13" s="1"/>
  <c r="Z115" i="13" s="1"/>
  <c r="Z114" i="13" s="1"/>
  <c r="Z113" i="13" s="1"/>
  <c r="Z112" i="13" s="1"/>
  <c r="Z111" i="13" s="1"/>
  <c r="Z110" i="13" s="1"/>
  <c r="Z109" i="13" s="1"/>
  <c r="Z108" i="13" s="1"/>
  <c r="Z107" i="13" s="1"/>
  <c r="Z106" i="13" s="1"/>
  <c r="Z105" i="13" s="1"/>
  <c r="Z104" i="13" s="1"/>
  <c r="Z103" i="13" s="1"/>
  <c r="Z102" i="13" s="1"/>
  <c r="Z101" i="13" s="1"/>
  <c r="Z100" i="13" s="1"/>
  <c r="Z99" i="13" s="1"/>
  <c r="Z98" i="13" s="1"/>
  <c r="Z97" i="13" s="1"/>
  <c r="Z96" i="13" s="1"/>
  <c r="Z95" i="13" s="1"/>
  <c r="Z94" i="13" s="1"/>
  <c r="Z93" i="13" s="1"/>
  <c r="Z92" i="13" s="1"/>
  <c r="Z91" i="13" s="1"/>
  <c r="Z90" i="13" s="1"/>
  <c r="Z89" i="13" s="1"/>
  <c r="Z88" i="13" s="1"/>
  <c r="Z87" i="13" s="1"/>
  <c r="Z86" i="13" s="1"/>
  <c r="Z85" i="13" s="1"/>
  <c r="Z84" i="13" s="1"/>
  <c r="Z83" i="13" s="1"/>
  <c r="Z82" i="13" s="1"/>
  <c r="Z81" i="13" s="1"/>
  <c r="Z80" i="13" s="1"/>
  <c r="Z79" i="13" s="1"/>
  <c r="Z78" i="13" s="1"/>
  <c r="Z77" i="13" s="1"/>
  <c r="Z76" i="13" s="1"/>
  <c r="Z75" i="13" s="1"/>
  <c r="Z74" i="13" s="1"/>
  <c r="Z73" i="13" s="1"/>
  <c r="Z72" i="13" s="1"/>
  <c r="Z71" i="13" s="1"/>
  <c r="Z70" i="13" s="1"/>
  <c r="Z69" i="13" s="1"/>
  <c r="Z68" i="13" s="1"/>
  <c r="Z67" i="13" s="1"/>
  <c r="Z66" i="13" s="1"/>
  <c r="Z65" i="13" s="1"/>
  <c r="Z64" i="13" s="1"/>
  <c r="Z63" i="13" s="1"/>
  <c r="Z62" i="13" s="1"/>
  <c r="Z61" i="13" s="1"/>
  <c r="Z60" i="13" s="1"/>
  <c r="Z59" i="13" s="1"/>
  <c r="Z58" i="13" s="1"/>
  <c r="Z57" i="13" s="1"/>
  <c r="Z56" i="13" s="1"/>
  <c r="Z55" i="13" s="1"/>
  <c r="Z54" i="13" s="1"/>
  <c r="Z53" i="13" s="1"/>
  <c r="Z52" i="13" s="1"/>
  <c r="Z51" i="13" s="1"/>
  <c r="Z50" i="13" s="1"/>
  <c r="Z49" i="13" s="1"/>
  <c r="Z48" i="13" s="1"/>
  <c r="Z47" i="13" s="1"/>
  <c r="Z46" i="13" s="1"/>
  <c r="Z45" i="13" s="1"/>
  <c r="Z44" i="13" s="1"/>
  <c r="Z43" i="13" s="1"/>
  <c r="Z42" i="13" s="1"/>
  <c r="Z41" i="13" s="1"/>
  <c r="Z40" i="13" s="1"/>
  <c r="Z39" i="13" s="1"/>
  <c r="Z38" i="13" s="1"/>
  <c r="Z37" i="13" s="1"/>
  <c r="Z36" i="13" s="1"/>
  <c r="Z35" i="13" s="1"/>
  <c r="Z34" i="13" s="1"/>
  <c r="Z33" i="13" s="1"/>
  <c r="Z32" i="13" s="1"/>
  <c r="Z31" i="13" s="1"/>
  <c r="Z30" i="13" s="1"/>
  <c r="Z29" i="13" s="1"/>
  <c r="Z28" i="13" s="1"/>
  <c r="Z27" i="13" s="1"/>
  <c r="Z26" i="13" s="1"/>
  <c r="Z25" i="13" s="1"/>
  <c r="Z24" i="13" s="1"/>
  <c r="Z23" i="13" s="1"/>
  <c r="Z22" i="13" s="1"/>
  <c r="Z21" i="13" s="1"/>
  <c r="Z20" i="13" s="1"/>
  <c r="Z19" i="13" s="1"/>
  <c r="Z18" i="13" s="1"/>
  <c r="Z17" i="13" s="1"/>
  <c r="Z16" i="13" s="1"/>
  <c r="Z15" i="13" s="1"/>
  <c r="Z14" i="13" s="1"/>
  <c r="Z13" i="13" s="1"/>
  <c r="Z12" i="13" s="1"/>
  <c r="Z11" i="13" s="1"/>
  <c r="Z10" i="13" s="1"/>
  <c r="Z9" i="13" s="1"/>
  <c r="Z8" i="13" s="1"/>
  <c r="Z7" i="13" s="1"/>
  <c r="Z6" i="13" s="1"/>
  <c r="Z5" i="13" s="1"/>
  <c r="Z4" i="13" s="1"/>
  <c r="Z3" i="13" s="1"/>
  <c r="S362" i="13"/>
  <c r="S361" i="13" s="1"/>
  <c r="S360" i="13" s="1"/>
  <c r="S359" i="13" s="1"/>
  <c r="S358" i="13" s="1"/>
  <c r="S357" i="13" s="1"/>
  <c r="S356" i="13" s="1"/>
  <c r="S355" i="13" s="1"/>
  <c r="S354" i="13" s="1"/>
  <c r="S353" i="13" s="1"/>
  <c r="S352" i="13" s="1"/>
  <c r="S351" i="13" s="1"/>
  <c r="S350" i="13" s="1"/>
  <c r="S349" i="13" s="1"/>
  <c r="S348" i="13" s="1"/>
  <c r="S347" i="13" s="1"/>
  <c r="S346" i="13" s="1"/>
  <c r="S345" i="13" s="1"/>
  <c r="S344" i="13" s="1"/>
  <c r="S343" i="13" s="1"/>
  <c r="S342" i="13" s="1"/>
  <c r="S341" i="13" s="1"/>
  <c r="S340" i="13" s="1"/>
  <c r="S339" i="13" s="1"/>
  <c r="S338" i="13" s="1"/>
  <c r="S337" i="13" s="1"/>
  <c r="S336" i="13" s="1"/>
  <c r="S335" i="13" s="1"/>
  <c r="S334" i="13" s="1"/>
  <c r="S333" i="13" s="1"/>
  <c r="S332" i="13" s="1"/>
  <c r="S331" i="13" s="1"/>
  <c r="S330" i="13" s="1"/>
  <c r="S329" i="13" s="1"/>
  <c r="S328" i="13" s="1"/>
  <c r="S327" i="13" s="1"/>
  <c r="S326" i="13" s="1"/>
  <c r="S325" i="13" s="1"/>
  <c r="S324" i="13" s="1"/>
  <c r="S323" i="13" s="1"/>
  <c r="S322" i="13" s="1"/>
  <c r="S321" i="13" s="1"/>
  <c r="S320" i="13" s="1"/>
  <c r="S319" i="13" s="1"/>
  <c r="S318" i="13" s="1"/>
  <c r="S317" i="13" s="1"/>
  <c r="S316" i="13" s="1"/>
  <c r="S315" i="13" s="1"/>
  <c r="S314" i="13" s="1"/>
  <c r="S313" i="13" s="1"/>
  <c r="S312" i="13" s="1"/>
  <c r="S311" i="13" s="1"/>
  <c r="S310" i="13" s="1"/>
  <c r="S309" i="13" s="1"/>
  <c r="S308" i="13" s="1"/>
  <c r="S307" i="13" s="1"/>
  <c r="S306" i="13" s="1"/>
  <c r="S305" i="13" s="1"/>
  <c r="S304" i="13" s="1"/>
  <c r="S303" i="13" s="1"/>
  <c r="S302" i="13" s="1"/>
  <c r="S301" i="13" s="1"/>
  <c r="S300" i="13" s="1"/>
  <c r="S299" i="13" s="1"/>
  <c r="S298" i="13" s="1"/>
  <c r="S297" i="13" s="1"/>
  <c r="S296" i="13" s="1"/>
  <c r="S295" i="13" s="1"/>
  <c r="S294" i="13" s="1"/>
  <c r="S293" i="13" s="1"/>
  <c r="S292" i="13" s="1"/>
  <c r="S291" i="13" s="1"/>
  <c r="S290" i="13" s="1"/>
  <c r="S289" i="13" s="1"/>
  <c r="S288" i="13" s="1"/>
  <c r="S287" i="13" s="1"/>
  <c r="S286" i="13" s="1"/>
  <c r="S285" i="13" s="1"/>
  <c r="S284" i="13" s="1"/>
  <c r="S283" i="13" s="1"/>
  <c r="S282" i="13" s="1"/>
  <c r="S281" i="13" s="1"/>
  <c r="S280" i="13" s="1"/>
  <c r="S279" i="13" s="1"/>
  <c r="S278" i="13" s="1"/>
  <c r="S277" i="13" s="1"/>
  <c r="S276" i="13" s="1"/>
  <c r="S275" i="13" s="1"/>
  <c r="S274" i="13" s="1"/>
  <c r="S273" i="13" s="1"/>
  <c r="S272" i="13" s="1"/>
  <c r="S271" i="13" s="1"/>
  <c r="S270" i="13" s="1"/>
  <c r="S269" i="13" s="1"/>
  <c r="S268" i="13" s="1"/>
  <c r="S267" i="13" s="1"/>
  <c r="S266" i="13" s="1"/>
  <c r="S265" i="13" s="1"/>
  <c r="S264" i="13" s="1"/>
  <c r="S263" i="13" s="1"/>
  <c r="S262" i="13" s="1"/>
  <c r="S261" i="13" s="1"/>
  <c r="S260" i="13" s="1"/>
  <c r="S259" i="13" s="1"/>
  <c r="S258" i="13" s="1"/>
  <c r="S257" i="13" s="1"/>
  <c r="S256" i="13" s="1"/>
  <c r="S255" i="13" s="1"/>
  <c r="S254" i="13" s="1"/>
  <c r="S253" i="13" s="1"/>
  <c r="S252" i="13" s="1"/>
  <c r="S251" i="13" s="1"/>
  <c r="S250" i="13" s="1"/>
  <c r="S249" i="13" s="1"/>
  <c r="S248" i="13" s="1"/>
  <c r="S247" i="13" s="1"/>
  <c r="S246" i="13" s="1"/>
  <c r="S245" i="13" s="1"/>
  <c r="S244" i="13" s="1"/>
  <c r="S243" i="13" s="1"/>
  <c r="S242" i="13" s="1"/>
  <c r="S241" i="13" s="1"/>
  <c r="S240" i="13" s="1"/>
  <c r="S239" i="13" s="1"/>
  <c r="S238" i="13" s="1"/>
  <c r="S237" i="13" s="1"/>
  <c r="S236" i="13" s="1"/>
  <c r="S235" i="13" s="1"/>
  <c r="S234" i="13" s="1"/>
  <c r="S233" i="13" s="1"/>
  <c r="S232" i="13" s="1"/>
  <c r="S231" i="13" s="1"/>
  <c r="S230" i="13" s="1"/>
  <c r="S229" i="13" s="1"/>
  <c r="S228" i="13" s="1"/>
  <c r="S227" i="13" s="1"/>
  <c r="S226" i="13" s="1"/>
  <c r="S225" i="13" s="1"/>
  <c r="S224" i="13" s="1"/>
  <c r="S223" i="13" s="1"/>
  <c r="S222" i="13" s="1"/>
  <c r="S221" i="13" s="1"/>
  <c r="S220" i="13" s="1"/>
  <c r="S219" i="13" s="1"/>
  <c r="S218" i="13" s="1"/>
  <c r="S217" i="13" s="1"/>
  <c r="S216" i="13" s="1"/>
  <c r="S215" i="13" s="1"/>
  <c r="S214" i="13" s="1"/>
  <c r="S213" i="13" s="1"/>
  <c r="S212" i="13" s="1"/>
  <c r="S211" i="13" s="1"/>
  <c r="S210" i="13" s="1"/>
  <c r="S209" i="13" s="1"/>
  <c r="S208" i="13" s="1"/>
  <c r="S207" i="13" s="1"/>
  <c r="S206" i="13" s="1"/>
  <c r="S205" i="13" s="1"/>
  <c r="S204" i="13" s="1"/>
  <c r="S203" i="13" s="1"/>
  <c r="S202" i="13" s="1"/>
  <c r="S201" i="13" s="1"/>
  <c r="S200" i="13" s="1"/>
  <c r="S199" i="13" s="1"/>
  <c r="S198" i="13" s="1"/>
  <c r="S197" i="13" s="1"/>
  <c r="S196" i="13" s="1"/>
  <c r="S195" i="13" s="1"/>
  <c r="S194" i="13" s="1"/>
  <c r="S193" i="13" s="1"/>
  <c r="S192" i="13" s="1"/>
  <c r="S191" i="13" s="1"/>
  <c r="S190" i="13" s="1"/>
  <c r="S189" i="13" s="1"/>
  <c r="S188" i="13" s="1"/>
  <c r="S187" i="13" s="1"/>
  <c r="S186" i="13" s="1"/>
  <c r="S185" i="13" s="1"/>
  <c r="S184" i="13" s="1"/>
  <c r="S183" i="13" s="1"/>
  <c r="S182" i="13" s="1"/>
  <c r="S181" i="13" s="1"/>
  <c r="S180" i="13" s="1"/>
  <c r="S179" i="13" s="1"/>
  <c r="S178" i="13" s="1"/>
  <c r="S177" i="13" s="1"/>
  <c r="S176" i="13" s="1"/>
  <c r="S175" i="13" s="1"/>
  <c r="S174" i="13" s="1"/>
  <c r="S173" i="13" s="1"/>
  <c r="S172" i="13" s="1"/>
  <c r="S171" i="13" s="1"/>
  <c r="S170" i="13" s="1"/>
  <c r="S169" i="13" s="1"/>
  <c r="S168" i="13" s="1"/>
  <c r="S167" i="13" s="1"/>
  <c r="S166" i="13" s="1"/>
  <c r="S165" i="13" s="1"/>
  <c r="S164" i="13" s="1"/>
  <c r="S163" i="13" s="1"/>
  <c r="S162" i="13" s="1"/>
  <c r="S161" i="13" s="1"/>
  <c r="S160" i="13" s="1"/>
  <c r="S159" i="13" s="1"/>
  <c r="S158" i="13" s="1"/>
  <c r="S157" i="13" s="1"/>
  <c r="S156" i="13" s="1"/>
  <c r="S155" i="13" s="1"/>
  <c r="S154" i="13" s="1"/>
  <c r="S153" i="13" s="1"/>
  <c r="S152" i="13" s="1"/>
  <c r="S151" i="13" s="1"/>
  <c r="S150" i="13" s="1"/>
  <c r="S149" i="13" s="1"/>
  <c r="S148" i="13" s="1"/>
  <c r="S147" i="13" s="1"/>
  <c r="S146" i="13" s="1"/>
  <c r="S145" i="13" s="1"/>
  <c r="S144" i="13" s="1"/>
  <c r="S143" i="13" s="1"/>
  <c r="S142" i="13" s="1"/>
  <c r="S141" i="13" s="1"/>
  <c r="S140" i="13" s="1"/>
  <c r="S139" i="13" s="1"/>
  <c r="S138" i="13" s="1"/>
  <c r="S137" i="13" s="1"/>
  <c r="S136" i="13" s="1"/>
  <c r="S135" i="13" s="1"/>
  <c r="S134" i="13" s="1"/>
  <c r="S133" i="13" s="1"/>
  <c r="S132" i="13" s="1"/>
  <c r="S131" i="13" s="1"/>
  <c r="S130" i="13" s="1"/>
  <c r="S129" i="13" s="1"/>
  <c r="S128" i="13" s="1"/>
  <c r="S127" i="13" s="1"/>
  <c r="S126" i="13" s="1"/>
  <c r="S125" i="13" s="1"/>
  <c r="S124" i="13" s="1"/>
  <c r="S123" i="13" s="1"/>
  <c r="S122" i="13" s="1"/>
  <c r="S121" i="13" s="1"/>
  <c r="S120" i="13" s="1"/>
  <c r="S119" i="13" s="1"/>
  <c r="S118" i="13" s="1"/>
  <c r="S117" i="13" s="1"/>
  <c r="S116" i="13" s="1"/>
  <c r="S115" i="13" s="1"/>
  <c r="S114" i="13" s="1"/>
  <c r="S113" i="13" s="1"/>
  <c r="S112" i="13" s="1"/>
  <c r="S111" i="13" s="1"/>
  <c r="S110" i="13" s="1"/>
  <c r="S109" i="13" s="1"/>
  <c r="S108" i="13" s="1"/>
  <c r="S107" i="13" s="1"/>
  <c r="S106" i="13" s="1"/>
  <c r="S105" i="13" s="1"/>
  <c r="S104" i="13" s="1"/>
  <c r="S103" i="13" s="1"/>
  <c r="S102" i="13" s="1"/>
  <c r="S101" i="13" s="1"/>
  <c r="S100" i="13" s="1"/>
  <c r="S99" i="13" s="1"/>
  <c r="S98" i="13" s="1"/>
  <c r="S97" i="13" s="1"/>
  <c r="S96" i="13" s="1"/>
  <c r="S95" i="13" s="1"/>
  <c r="S94" i="13" s="1"/>
  <c r="S93" i="13" s="1"/>
  <c r="S92" i="13" s="1"/>
  <c r="S91" i="13" s="1"/>
  <c r="S90" i="13" s="1"/>
  <c r="S89" i="13" s="1"/>
  <c r="S88" i="13" s="1"/>
  <c r="S87" i="13" s="1"/>
  <c r="S86" i="13" s="1"/>
  <c r="S85" i="13" s="1"/>
  <c r="S84" i="13" s="1"/>
  <c r="S83" i="13" s="1"/>
  <c r="S82" i="13" s="1"/>
  <c r="S81" i="13" s="1"/>
  <c r="S80" i="13" s="1"/>
  <c r="S79" i="13" s="1"/>
  <c r="S78" i="13" s="1"/>
  <c r="S77" i="13" s="1"/>
  <c r="S76" i="13" s="1"/>
  <c r="S75" i="13" s="1"/>
  <c r="S74" i="13" s="1"/>
  <c r="S73" i="13" s="1"/>
  <c r="S72" i="13" s="1"/>
  <c r="S71" i="13" s="1"/>
  <c r="S70" i="13" s="1"/>
  <c r="S69" i="13" s="1"/>
  <c r="S68" i="13" s="1"/>
  <c r="S67" i="13" s="1"/>
  <c r="S66" i="13" s="1"/>
  <c r="S65" i="13" s="1"/>
  <c r="S64" i="13" s="1"/>
  <c r="S63" i="13" s="1"/>
  <c r="S62" i="13" s="1"/>
  <c r="S61" i="13" s="1"/>
  <c r="S60" i="13" s="1"/>
  <c r="S59" i="13" s="1"/>
  <c r="S58" i="13" s="1"/>
  <c r="S57" i="13" s="1"/>
  <c r="S56" i="13" s="1"/>
  <c r="S55" i="13" s="1"/>
  <c r="S54" i="13" s="1"/>
  <c r="S53" i="13" s="1"/>
  <c r="S52" i="13" s="1"/>
  <c r="S51" i="13" s="1"/>
  <c r="S50" i="13" s="1"/>
  <c r="S49" i="13" s="1"/>
  <c r="S48" i="13" s="1"/>
  <c r="S47" i="13" s="1"/>
  <c r="S46" i="13" s="1"/>
  <c r="S45" i="13" s="1"/>
  <c r="S44" i="13" s="1"/>
  <c r="S43" i="13" s="1"/>
  <c r="S42" i="13" s="1"/>
  <c r="S41" i="13" s="1"/>
  <c r="S40" i="13" s="1"/>
  <c r="S39" i="13" s="1"/>
  <c r="S38" i="13" s="1"/>
  <c r="S37" i="13" s="1"/>
  <c r="S36" i="13" s="1"/>
  <c r="S35" i="13" s="1"/>
  <c r="S34" i="13" s="1"/>
  <c r="S33" i="13" s="1"/>
  <c r="S32" i="13" s="1"/>
  <c r="S31" i="13" s="1"/>
  <c r="S30" i="13" s="1"/>
  <c r="S29" i="13" s="1"/>
  <c r="S28" i="13" s="1"/>
  <c r="S27" i="13" s="1"/>
  <c r="S26" i="13" s="1"/>
  <c r="S25" i="13" s="1"/>
  <c r="S24" i="13" s="1"/>
  <c r="S23" i="13" s="1"/>
  <c r="S22" i="13" s="1"/>
  <c r="S21" i="13" s="1"/>
  <c r="S20" i="13" s="1"/>
  <c r="S19" i="13" s="1"/>
  <c r="S18" i="13" s="1"/>
  <c r="S17" i="13" s="1"/>
  <c r="S16" i="13" s="1"/>
  <c r="S15" i="13" s="1"/>
  <c r="S14" i="13" s="1"/>
  <c r="S13" i="13" s="1"/>
  <c r="S12" i="13" s="1"/>
  <c r="S11" i="13" s="1"/>
  <c r="S10" i="13" s="1"/>
  <c r="S9" i="13" s="1"/>
  <c r="S8" i="13" s="1"/>
  <c r="S7" i="13" s="1"/>
  <c r="S6" i="13" s="1"/>
  <c r="S5" i="13" s="1"/>
  <c r="S4" i="13" s="1"/>
  <c r="S3" i="13" s="1"/>
  <c r="V363" i="13"/>
  <c r="S362" i="10"/>
  <c r="S361" i="10" s="1"/>
  <c r="S360" i="10" s="1"/>
  <c r="S359" i="10" s="1"/>
  <c r="S358" i="10" s="1"/>
  <c r="S357" i="10" s="1"/>
  <c r="S356" i="10" s="1"/>
  <c r="S355" i="10" s="1"/>
  <c r="S354" i="10" s="1"/>
  <c r="S353" i="10" s="1"/>
  <c r="S352" i="10" s="1"/>
  <c r="S351" i="10" s="1"/>
  <c r="S350" i="10" s="1"/>
  <c r="S349" i="10" s="1"/>
  <c r="S348" i="10" s="1"/>
  <c r="S347" i="10" s="1"/>
  <c r="S346" i="10" s="1"/>
  <c r="S345" i="10" s="1"/>
  <c r="S344" i="10" s="1"/>
  <c r="S343" i="10" s="1"/>
  <c r="S342" i="10" s="1"/>
  <c r="S341" i="10" s="1"/>
  <c r="S340" i="10" s="1"/>
  <c r="S339" i="10" s="1"/>
  <c r="S338" i="10" s="1"/>
  <c r="S337" i="10" s="1"/>
  <c r="S336" i="10" s="1"/>
  <c r="S335" i="10" s="1"/>
  <c r="S334" i="10" s="1"/>
  <c r="S333" i="10" s="1"/>
  <c r="S332" i="10" s="1"/>
  <c r="S331" i="10" s="1"/>
  <c r="S330" i="10" s="1"/>
  <c r="S329" i="10" s="1"/>
  <c r="S328" i="10" s="1"/>
  <c r="S327" i="10" s="1"/>
  <c r="S326" i="10" s="1"/>
  <c r="S325" i="10" s="1"/>
  <c r="S324" i="10" s="1"/>
  <c r="S323" i="10" s="1"/>
  <c r="S322" i="10" s="1"/>
  <c r="S321" i="10" s="1"/>
  <c r="S320" i="10" s="1"/>
  <c r="S319" i="10" s="1"/>
  <c r="S318" i="10" s="1"/>
  <c r="S317" i="10" s="1"/>
  <c r="S316" i="10" s="1"/>
  <c r="S315" i="10" s="1"/>
  <c r="S314" i="10" s="1"/>
  <c r="S313" i="10" s="1"/>
  <c r="S312" i="10" s="1"/>
  <c r="S311" i="10" s="1"/>
  <c r="S310" i="10" s="1"/>
  <c r="S309" i="10" s="1"/>
  <c r="S308" i="10" s="1"/>
  <c r="S307" i="10" s="1"/>
  <c r="S306" i="10" s="1"/>
  <c r="S305" i="10" s="1"/>
  <c r="S304" i="10" s="1"/>
  <c r="S303" i="10" s="1"/>
  <c r="S302" i="10" s="1"/>
  <c r="S301" i="10" s="1"/>
  <c r="S300" i="10" s="1"/>
  <c r="S299" i="10" s="1"/>
  <c r="S298" i="10" s="1"/>
  <c r="S297" i="10" s="1"/>
  <c r="S296" i="10" s="1"/>
  <c r="S295" i="10" s="1"/>
  <c r="S294" i="10" s="1"/>
  <c r="S293" i="10" s="1"/>
  <c r="S292" i="10" s="1"/>
  <c r="S291" i="10" s="1"/>
  <c r="S290" i="10" s="1"/>
  <c r="S289" i="10" s="1"/>
  <c r="S288" i="10" s="1"/>
  <c r="S287" i="10" s="1"/>
  <c r="S286" i="10" s="1"/>
  <c r="S285" i="10" s="1"/>
  <c r="S284" i="10" s="1"/>
  <c r="S283" i="10" s="1"/>
  <c r="S282" i="10" s="1"/>
  <c r="S281" i="10" s="1"/>
  <c r="S280" i="10" s="1"/>
  <c r="S279" i="10" s="1"/>
  <c r="S278" i="10" s="1"/>
  <c r="S277" i="10" s="1"/>
  <c r="S276" i="10" s="1"/>
  <c r="S275" i="10" s="1"/>
  <c r="S274" i="10" s="1"/>
  <c r="S273" i="10" s="1"/>
  <c r="S272" i="10" s="1"/>
  <c r="S271" i="10" s="1"/>
  <c r="S270" i="10" s="1"/>
  <c r="S269" i="10" s="1"/>
  <c r="S268" i="10" s="1"/>
  <c r="S267" i="10" s="1"/>
  <c r="S266" i="10" s="1"/>
  <c r="S265" i="10" s="1"/>
  <c r="S264" i="10" s="1"/>
  <c r="S263" i="10" s="1"/>
  <c r="S262" i="10" s="1"/>
  <c r="S261" i="10" s="1"/>
  <c r="S260" i="10" s="1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S6" i="10" s="1"/>
  <c r="S5" i="10" s="1"/>
  <c r="S4" i="10" s="1"/>
  <c r="S3" i="10" s="1"/>
  <c r="V363" i="10"/>
  <c r="L30" i="8"/>
  <c r="L32" i="8"/>
  <c r="I21" i="8" s="1"/>
  <c r="AC363" i="10"/>
  <c r="Z362" i="10"/>
  <c r="Z361" i="10" s="1"/>
  <c r="Z360" i="10" s="1"/>
  <c r="Z359" i="10" s="1"/>
  <c r="Z358" i="10" s="1"/>
  <c r="Z357" i="10" s="1"/>
  <c r="Z356" i="10" s="1"/>
  <c r="Z355" i="10" s="1"/>
  <c r="Z354" i="10" s="1"/>
  <c r="Z353" i="10" s="1"/>
  <c r="Z352" i="10" s="1"/>
  <c r="Z351" i="10" s="1"/>
  <c r="Z350" i="10" s="1"/>
  <c r="Z349" i="10" s="1"/>
  <c r="Z348" i="10" s="1"/>
  <c r="Z347" i="10" s="1"/>
  <c r="Z346" i="10" s="1"/>
  <c r="Z345" i="10" s="1"/>
  <c r="Z344" i="10" s="1"/>
  <c r="Z343" i="10" s="1"/>
  <c r="Z342" i="10" s="1"/>
  <c r="Z341" i="10" s="1"/>
  <c r="Z340" i="10" s="1"/>
  <c r="Z339" i="10" s="1"/>
  <c r="Z338" i="10" s="1"/>
  <c r="Z337" i="10" s="1"/>
  <c r="Z336" i="10" s="1"/>
  <c r="Z335" i="10" s="1"/>
  <c r="Z334" i="10" s="1"/>
  <c r="Z333" i="10" s="1"/>
  <c r="Z332" i="10" s="1"/>
  <c r="Z331" i="10" s="1"/>
  <c r="Z330" i="10" s="1"/>
  <c r="Z329" i="10" s="1"/>
  <c r="Z328" i="10" s="1"/>
  <c r="Z327" i="10" s="1"/>
  <c r="Z326" i="10" s="1"/>
  <c r="Z325" i="10" s="1"/>
  <c r="Z324" i="10" s="1"/>
  <c r="Z323" i="10" s="1"/>
  <c r="Z322" i="10" s="1"/>
  <c r="Z321" i="10" s="1"/>
  <c r="Z320" i="10" s="1"/>
  <c r="Z319" i="10" s="1"/>
  <c r="Z318" i="10" s="1"/>
  <c r="Z317" i="10" s="1"/>
  <c r="Z316" i="10" s="1"/>
  <c r="Z315" i="10" s="1"/>
  <c r="Z314" i="10" s="1"/>
  <c r="Z313" i="10" s="1"/>
  <c r="Z312" i="10" s="1"/>
  <c r="Z311" i="10" s="1"/>
  <c r="Z310" i="10" s="1"/>
  <c r="Z309" i="10" s="1"/>
  <c r="Z308" i="10" s="1"/>
  <c r="Z307" i="10" s="1"/>
  <c r="Z306" i="10" s="1"/>
  <c r="Z305" i="10" s="1"/>
  <c r="Z304" i="10" s="1"/>
  <c r="Z303" i="10" s="1"/>
  <c r="Z302" i="10" s="1"/>
  <c r="Z301" i="10" s="1"/>
  <c r="Z300" i="10" s="1"/>
  <c r="Z299" i="10" s="1"/>
  <c r="Z298" i="10" s="1"/>
  <c r="Z297" i="10" s="1"/>
  <c r="Z296" i="10" s="1"/>
  <c r="Z295" i="10" s="1"/>
  <c r="Z294" i="10" s="1"/>
  <c r="Z293" i="10" s="1"/>
  <c r="Z292" i="10" s="1"/>
  <c r="Z291" i="10" s="1"/>
  <c r="Z290" i="10" s="1"/>
  <c r="Z289" i="10" s="1"/>
  <c r="Z288" i="10" s="1"/>
  <c r="Z287" i="10" s="1"/>
  <c r="Z286" i="10" s="1"/>
  <c r="Z285" i="10" s="1"/>
  <c r="Z284" i="10" s="1"/>
  <c r="Z283" i="10" s="1"/>
  <c r="Z282" i="10" s="1"/>
  <c r="Z281" i="10" s="1"/>
  <c r="Z280" i="10" s="1"/>
  <c r="Z279" i="10" s="1"/>
  <c r="Z278" i="10" s="1"/>
  <c r="Z277" i="10" s="1"/>
  <c r="Z276" i="10" s="1"/>
  <c r="Z275" i="10" s="1"/>
  <c r="Z274" i="10" s="1"/>
  <c r="Z273" i="10" s="1"/>
  <c r="Z272" i="10" s="1"/>
  <c r="Z271" i="10" s="1"/>
  <c r="Z270" i="10" s="1"/>
  <c r="Z269" i="10" s="1"/>
  <c r="Z268" i="10" s="1"/>
  <c r="Z267" i="10" s="1"/>
  <c r="Z266" i="10" s="1"/>
  <c r="Z265" i="10" s="1"/>
  <c r="Z264" i="10" s="1"/>
  <c r="Z263" i="10" s="1"/>
  <c r="Z262" i="10" s="1"/>
  <c r="Z261" i="10" s="1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Z23" i="10" s="1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Z6" i="10" s="1"/>
  <c r="Z5" i="10" s="1"/>
  <c r="Z4" i="10" s="1"/>
  <c r="Z3" i="10" s="1"/>
  <c r="L277" i="8"/>
  <c r="L279" i="8"/>
  <c r="H269" i="8" s="1"/>
  <c r="U362" i="10"/>
  <c r="U361" i="10" s="1"/>
  <c r="U360" i="10" s="1"/>
  <c r="U359" i="10" s="1"/>
  <c r="U358" i="10" s="1"/>
  <c r="U357" i="10" s="1"/>
  <c r="U356" i="10" s="1"/>
  <c r="U355" i="10" s="1"/>
  <c r="U354" i="10" s="1"/>
  <c r="U353" i="10" s="1"/>
  <c r="U352" i="10" s="1"/>
  <c r="U351" i="10" s="1"/>
  <c r="U350" i="10" s="1"/>
  <c r="U349" i="10" s="1"/>
  <c r="U348" i="10" s="1"/>
  <c r="U347" i="10" s="1"/>
  <c r="U346" i="10" s="1"/>
  <c r="U345" i="10" s="1"/>
  <c r="U344" i="10" s="1"/>
  <c r="U343" i="10" s="1"/>
  <c r="U342" i="10" s="1"/>
  <c r="U341" i="10" s="1"/>
  <c r="U340" i="10" s="1"/>
  <c r="U339" i="10" s="1"/>
  <c r="U338" i="10" s="1"/>
  <c r="U337" i="10" s="1"/>
  <c r="U336" i="10" s="1"/>
  <c r="U335" i="10" s="1"/>
  <c r="U334" i="10" s="1"/>
  <c r="U333" i="10" s="1"/>
  <c r="U332" i="10" s="1"/>
  <c r="U331" i="10" s="1"/>
  <c r="U330" i="10" s="1"/>
  <c r="U329" i="10" s="1"/>
  <c r="U328" i="10" s="1"/>
  <c r="U327" i="10" s="1"/>
  <c r="U326" i="10" s="1"/>
  <c r="U325" i="10" s="1"/>
  <c r="U324" i="10" s="1"/>
  <c r="U323" i="10" s="1"/>
  <c r="U322" i="10" s="1"/>
  <c r="U321" i="10" s="1"/>
  <c r="U320" i="10" s="1"/>
  <c r="U319" i="10" s="1"/>
  <c r="U318" i="10" s="1"/>
  <c r="U317" i="10" s="1"/>
  <c r="U316" i="10" s="1"/>
  <c r="U315" i="10" s="1"/>
  <c r="U314" i="10" s="1"/>
  <c r="U313" i="10" s="1"/>
  <c r="U312" i="10" s="1"/>
  <c r="U311" i="10" s="1"/>
  <c r="U310" i="10" s="1"/>
  <c r="U309" i="10" s="1"/>
  <c r="U308" i="10" s="1"/>
  <c r="U307" i="10" s="1"/>
  <c r="U306" i="10" s="1"/>
  <c r="U305" i="10" s="1"/>
  <c r="U304" i="10" s="1"/>
  <c r="U303" i="10" s="1"/>
  <c r="U302" i="10" s="1"/>
  <c r="U301" i="10" s="1"/>
  <c r="U300" i="10" s="1"/>
  <c r="U299" i="10" s="1"/>
  <c r="U298" i="10" s="1"/>
  <c r="U297" i="10" s="1"/>
  <c r="U296" i="10" s="1"/>
  <c r="U295" i="10" s="1"/>
  <c r="U294" i="10" s="1"/>
  <c r="U293" i="10" s="1"/>
  <c r="U292" i="10" s="1"/>
  <c r="U291" i="10" s="1"/>
  <c r="U290" i="10" s="1"/>
  <c r="U289" i="10" s="1"/>
  <c r="U288" i="10" s="1"/>
  <c r="U287" i="10" s="1"/>
  <c r="U286" i="10" s="1"/>
  <c r="U285" i="10" s="1"/>
  <c r="U284" i="10" s="1"/>
  <c r="U283" i="10" s="1"/>
  <c r="U282" i="10" s="1"/>
  <c r="U281" i="10" s="1"/>
  <c r="U280" i="10" s="1"/>
  <c r="U279" i="10" s="1"/>
  <c r="U278" i="10" s="1"/>
  <c r="U277" i="10" s="1"/>
  <c r="U276" i="10" s="1"/>
  <c r="U275" i="10" s="1"/>
  <c r="U274" i="10" s="1"/>
  <c r="U273" i="10" s="1"/>
  <c r="U272" i="10" s="1"/>
  <c r="U271" i="10" s="1"/>
  <c r="U270" i="10" s="1"/>
  <c r="U269" i="10" s="1"/>
  <c r="U268" i="10" s="1"/>
  <c r="U267" i="10" s="1"/>
  <c r="U266" i="10" s="1"/>
  <c r="U265" i="10" s="1"/>
  <c r="U264" i="10" s="1"/>
  <c r="U263" i="10" s="1"/>
  <c r="U262" i="10" s="1"/>
  <c r="U261" i="10" s="1"/>
  <c r="U260" i="10" s="1"/>
  <c r="U259" i="10" s="1"/>
  <c r="U258" i="10" s="1"/>
  <c r="U257" i="10" s="1"/>
  <c r="U256" i="10" s="1"/>
  <c r="U255" i="10" s="1"/>
  <c r="U254" i="10" s="1"/>
  <c r="U253" i="10" s="1"/>
  <c r="U252" i="10" s="1"/>
  <c r="U251" i="10" s="1"/>
  <c r="U250" i="10" s="1"/>
  <c r="U249" i="10" s="1"/>
  <c r="U248" i="10" s="1"/>
  <c r="U247" i="10" s="1"/>
  <c r="U246" i="10" s="1"/>
  <c r="U245" i="10" s="1"/>
  <c r="U244" i="10" s="1"/>
  <c r="U243" i="10" s="1"/>
  <c r="U242" i="10" s="1"/>
  <c r="U241" i="10" s="1"/>
  <c r="U240" i="10" s="1"/>
  <c r="U239" i="10" s="1"/>
  <c r="U238" i="10" s="1"/>
  <c r="U237" i="10" s="1"/>
  <c r="U236" i="10" s="1"/>
  <c r="U235" i="10" s="1"/>
  <c r="U234" i="10" s="1"/>
  <c r="U233" i="10" s="1"/>
  <c r="U232" i="10" s="1"/>
  <c r="U231" i="10" s="1"/>
  <c r="U230" i="10" s="1"/>
  <c r="U229" i="10" s="1"/>
  <c r="U228" i="10" s="1"/>
  <c r="U227" i="10" s="1"/>
  <c r="U226" i="10" s="1"/>
  <c r="U225" i="10" s="1"/>
  <c r="U224" i="10" s="1"/>
  <c r="U223" i="10" s="1"/>
  <c r="U222" i="10" s="1"/>
  <c r="U221" i="10" s="1"/>
  <c r="U220" i="10" s="1"/>
  <c r="U219" i="10" s="1"/>
  <c r="U218" i="10" s="1"/>
  <c r="U217" i="10" s="1"/>
  <c r="U216" i="10" s="1"/>
  <c r="U215" i="10" s="1"/>
  <c r="U214" i="10" s="1"/>
  <c r="U213" i="10" s="1"/>
  <c r="U212" i="10" s="1"/>
  <c r="U211" i="10" s="1"/>
  <c r="U210" i="10" s="1"/>
  <c r="U209" i="10" s="1"/>
  <c r="U208" i="10" s="1"/>
  <c r="U207" i="10" s="1"/>
  <c r="U206" i="10" s="1"/>
  <c r="U205" i="10" s="1"/>
  <c r="U204" i="10" s="1"/>
  <c r="U203" i="10" s="1"/>
  <c r="U202" i="10" s="1"/>
  <c r="U201" i="10" s="1"/>
  <c r="U200" i="10" s="1"/>
  <c r="U199" i="10" s="1"/>
  <c r="U198" i="10" s="1"/>
  <c r="U197" i="10" s="1"/>
  <c r="U196" i="10" s="1"/>
  <c r="U195" i="10" s="1"/>
  <c r="U194" i="10" s="1"/>
  <c r="U193" i="10" s="1"/>
  <c r="U192" i="10" s="1"/>
  <c r="U191" i="10" s="1"/>
  <c r="U190" i="10" s="1"/>
  <c r="U189" i="10" s="1"/>
  <c r="U188" i="10" s="1"/>
  <c r="U187" i="10" s="1"/>
  <c r="U186" i="10" s="1"/>
  <c r="U185" i="10" s="1"/>
  <c r="U184" i="10" s="1"/>
  <c r="U183" i="10" s="1"/>
  <c r="U182" i="10" s="1"/>
  <c r="U181" i="10" s="1"/>
  <c r="U180" i="10" s="1"/>
  <c r="U179" i="10" s="1"/>
  <c r="U178" i="10" s="1"/>
  <c r="U177" i="10" s="1"/>
  <c r="U176" i="10" s="1"/>
  <c r="U175" i="10" s="1"/>
  <c r="U174" i="10" s="1"/>
  <c r="U173" i="10" s="1"/>
  <c r="U172" i="10" s="1"/>
  <c r="U171" i="10" s="1"/>
  <c r="U170" i="10" s="1"/>
  <c r="U169" i="10" s="1"/>
  <c r="U168" i="10" s="1"/>
  <c r="U167" i="10" s="1"/>
  <c r="U166" i="10" s="1"/>
  <c r="U165" i="10" s="1"/>
  <c r="U164" i="10" s="1"/>
  <c r="U163" i="10" s="1"/>
  <c r="U162" i="10" s="1"/>
  <c r="U161" i="10" s="1"/>
  <c r="U160" i="10" s="1"/>
  <c r="U159" i="10" s="1"/>
  <c r="U158" i="10" s="1"/>
  <c r="U157" i="10" s="1"/>
  <c r="U156" i="10" s="1"/>
  <c r="U155" i="10" s="1"/>
  <c r="U154" i="10" s="1"/>
  <c r="U153" i="10" s="1"/>
  <c r="U152" i="10" s="1"/>
  <c r="U151" i="10" s="1"/>
  <c r="U150" i="10" s="1"/>
  <c r="U149" i="10" s="1"/>
  <c r="U148" i="10" s="1"/>
  <c r="U147" i="10" s="1"/>
  <c r="U146" i="10" s="1"/>
  <c r="U145" i="10" s="1"/>
  <c r="U144" i="10" s="1"/>
  <c r="U143" i="10" s="1"/>
  <c r="U142" i="10" s="1"/>
  <c r="U141" i="10" s="1"/>
  <c r="U140" i="10" s="1"/>
  <c r="U139" i="10" s="1"/>
  <c r="U138" i="10" s="1"/>
  <c r="U137" i="10" s="1"/>
  <c r="U136" i="10" s="1"/>
  <c r="U135" i="10" s="1"/>
  <c r="U134" i="10" s="1"/>
  <c r="U133" i="10" s="1"/>
  <c r="U132" i="10" s="1"/>
  <c r="U131" i="10" s="1"/>
  <c r="U130" i="10" s="1"/>
  <c r="U129" i="10" s="1"/>
  <c r="U128" i="10" s="1"/>
  <c r="U127" i="10" s="1"/>
  <c r="U126" i="10" s="1"/>
  <c r="U125" i="10" s="1"/>
  <c r="U124" i="10" s="1"/>
  <c r="U123" i="10" s="1"/>
  <c r="U122" i="10" s="1"/>
  <c r="U121" i="10" s="1"/>
  <c r="U120" i="10" s="1"/>
  <c r="U119" i="10" s="1"/>
  <c r="U118" i="10" s="1"/>
  <c r="U117" i="10" s="1"/>
  <c r="U116" i="10" s="1"/>
  <c r="U115" i="10" s="1"/>
  <c r="U114" i="10" s="1"/>
  <c r="U113" i="10" s="1"/>
  <c r="U112" i="10" s="1"/>
  <c r="U111" i="10" s="1"/>
  <c r="U110" i="10" s="1"/>
  <c r="U109" i="10" s="1"/>
  <c r="U108" i="10" s="1"/>
  <c r="U107" i="10" s="1"/>
  <c r="U106" i="10" s="1"/>
  <c r="U105" i="10" s="1"/>
  <c r="U104" i="10" s="1"/>
  <c r="U103" i="10" s="1"/>
  <c r="U102" i="10" s="1"/>
  <c r="U101" i="10" s="1"/>
  <c r="U100" i="10" s="1"/>
  <c r="U99" i="10" s="1"/>
  <c r="U98" i="10" s="1"/>
  <c r="U97" i="10" s="1"/>
  <c r="U96" i="10" s="1"/>
  <c r="U95" i="10" s="1"/>
  <c r="U94" i="10" s="1"/>
  <c r="U93" i="10" s="1"/>
  <c r="U92" i="10" s="1"/>
  <c r="U91" i="10" s="1"/>
  <c r="U90" i="10" s="1"/>
  <c r="U89" i="10" s="1"/>
  <c r="U88" i="10" s="1"/>
  <c r="U87" i="10" s="1"/>
  <c r="U86" i="10" s="1"/>
  <c r="U85" i="10" s="1"/>
  <c r="U84" i="10" s="1"/>
  <c r="U83" i="10" s="1"/>
  <c r="U82" i="10" s="1"/>
  <c r="U81" i="10" s="1"/>
  <c r="U80" i="10" s="1"/>
  <c r="U79" i="10" s="1"/>
  <c r="U78" i="10" s="1"/>
  <c r="U77" i="10" s="1"/>
  <c r="U76" i="10" s="1"/>
  <c r="U75" i="10" s="1"/>
  <c r="U74" i="10" s="1"/>
  <c r="U73" i="10" s="1"/>
  <c r="U72" i="10" s="1"/>
  <c r="U71" i="10" s="1"/>
  <c r="U70" i="10" s="1"/>
  <c r="U69" i="10" s="1"/>
  <c r="U68" i="10" s="1"/>
  <c r="U67" i="10" s="1"/>
  <c r="U66" i="10" s="1"/>
  <c r="U65" i="10" s="1"/>
  <c r="U64" i="10" s="1"/>
  <c r="U63" i="10" s="1"/>
  <c r="U62" i="10" s="1"/>
  <c r="U61" i="10" s="1"/>
  <c r="U60" i="10" s="1"/>
  <c r="U59" i="10" s="1"/>
  <c r="U58" i="10" s="1"/>
  <c r="U57" i="10" s="1"/>
  <c r="U56" i="10" s="1"/>
  <c r="U55" i="10" s="1"/>
  <c r="U54" i="10" s="1"/>
  <c r="U53" i="10" s="1"/>
  <c r="U52" i="10" s="1"/>
  <c r="U51" i="10" s="1"/>
  <c r="U50" i="10" s="1"/>
  <c r="U49" i="10" s="1"/>
  <c r="U48" i="10" s="1"/>
  <c r="U47" i="10" s="1"/>
  <c r="U46" i="10" s="1"/>
  <c r="U45" i="10" s="1"/>
  <c r="U44" i="10" s="1"/>
  <c r="U43" i="10" s="1"/>
  <c r="U42" i="10" s="1"/>
  <c r="U41" i="10" s="1"/>
  <c r="U40" i="10" s="1"/>
  <c r="U39" i="10" s="1"/>
  <c r="U38" i="10" s="1"/>
  <c r="U37" i="10" s="1"/>
  <c r="U36" i="10" s="1"/>
  <c r="U35" i="10" s="1"/>
  <c r="U34" i="10" s="1"/>
  <c r="U33" i="10" s="1"/>
  <c r="U32" i="10" s="1"/>
  <c r="U31" i="10" s="1"/>
  <c r="U30" i="10" s="1"/>
  <c r="U29" i="10" s="1"/>
  <c r="U28" i="10" s="1"/>
  <c r="U27" i="10" s="1"/>
  <c r="U26" i="10" s="1"/>
  <c r="U25" i="10" s="1"/>
  <c r="U24" i="10" s="1"/>
  <c r="U23" i="10" s="1"/>
  <c r="U22" i="10" s="1"/>
  <c r="U21" i="10" s="1"/>
  <c r="U20" i="10" s="1"/>
  <c r="U19" i="10" s="1"/>
  <c r="U18" i="10" s="1"/>
  <c r="U17" i="10" s="1"/>
  <c r="U16" i="10" s="1"/>
  <c r="U15" i="10" s="1"/>
  <c r="U14" i="10" s="1"/>
  <c r="U13" i="10" s="1"/>
  <c r="U12" i="10" s="1"/>
  <c r="U11" i="10" s="1"/>
  <c r="U10" i="10" s="1"/>
  <c r="U9" i="10" s="1"/>
  <c r="U8" i="10" s="1"/>
  <c r="U7" i="10" s="1"/>
  <c r="U6" i="10" s="1"/>
  <c r="U5" i="10" s="1"/>
  <c r="U4" i="10" s="1"/>
  <c r="U3" i="10" s="1"/>
  <c r="X363" i="10"/>
  <c r="H37" i="9"/>
  <c r="I254" i="8" s="1"/>
  <c r="O251" i="8" s="1"/>
  <c r="G37" i="9"/>
  <c r="H254" i="8" s="1"/>
  <c r="O250" i="8" s="1"/>
  <c r="P18" i="20" l="1"/>
  <c r="P19" i="20"/>
  <c r="O19" i="20"/>
  <c r="O18" i="20"/>
  <c r="O91" i="14"/>
  <c r="O158" i="14"/>
  <c r="I149" i="14" s="1"/>
  <c r="B194" i="14"/>
  <c r="C254" i="14"/>
  <c r="I307" i="8"/>
  <c r="I312" i="8" s="1"/>
  <c r="B194" i="8"/>
  <c r="O158" i="8"/>
  <c r="O30" i="8"/>
  <c r="O91" i="8"/>
  <c r="N30" i="8"/>
  <c r="N73" i="8"/>
  <c r="B274" i="8"/>
  <c r="C294" i="8"/>
  <c r="N158" i="8"/>
  <c r="N259" i="11"/>
  <c r="N260" i="11" s="1"/>
  <c r="H250" i="11" s="1"/>
  <c r="N298" i="11"/>
  <c r="N302" i="11" s="1"/>
  <c r="B294" i="11"/>
  <c r="I22" i="11"/>
  <c r="O30" i="11"/>
  <c r="I65" i="11"/>
  <c r="O73" i="11"/>
  <c r="H151" i="11"/>
  <c r="N158" i="11"/>
  <c r="H149" i="11" s="1"/>
  <c r="H148" i="11" s="1"/>
  <c r="H152" i="11" s="1"/>
  <c r="N218" i="11"/>
  <c r="N219" i="11" s="1"/>
  <c r="N220" i="11" s="1"/>
  <c r="H210" i="11" s="1"/>
  <c r="B214" i="11"/>
  <c r="I151" i="11"/>
  <c r="O158" i="11"/>
  <c r="I149" i="11" s="1"/>
  <c r="I148" i="11" s="1"/>
  <c r="I152" i="11" s="1"/>
  <c r="O198" i="11"/>
  <c r="O199" i="11" s="1"/>
  <c r="O200" i="11" s="1"/>
  <c r="I190" i="11" s="1"/>
  <c r="C194" i="11"/>
  <c r="L45" i="8"/>
  <c r="I151" i="14"/>
  <c r="H148" i="14"/>
  <c r="H152" i="14" s="1"/>
  <c r="O258" i="14"/>
  <c r="O262" i="14" s="1"/>
  <c r="O261" i="14" s="1"/>
  <c r="I251" i="14" s="1"/>
  <c r="N198" i="14"/>
  <c r="N199" i="14" s="1"/>
  <c r="N200" i="14" s="1"/>
  <c r="H190" i="14" s="1"/>
  <c r="I83" i="14"/>
  <c r="N278" i="8"/>
  <c r="N282" i="8" s="1"/>
  <c r="N281" i="8" s="1"/>
  <c r="H271" i="8" s="1"/>
  <c r="O298" i="8"/>
  <c r="O299" i="8" s="1"/>
  <c r="O300" i="8" s="1"/>
  <c r="I290" i="8" s="1"/>
  <c r="N198" i="8"/>
  <c r="N202" i="8" s="1"/>
  <c r="N201" i="8" s="1"/>
  <c r="H191" i="8" s="1"/>
  <c r="I151" i="8"/>
  <c r="H151" i="8"/>
  <c r="I83" i="8"/>
  <c r="H65" i="8"/>
  <c r="I22" i="8"/>
  <c r="H22" i="8"/>
  <c r="L239" i="8"/>
  <c r="H229" i="8" s="1"/>
  <c r="L219" i="8"/>
  <c r="H209" i="8" s="1"/>
  <c r="L217" i="8"/>
  <c r="O374" i="8"/>
  <c r="O375" i="8" s="1"/>
  <c r="O376" i="8" s="1"/>
  <c r="F379" i="8" s="1"/>
  <c r="P21" i="20" s="1"/>
  <c r="N375" i="8"/>
  <c r="N376" i="8" s="1"/>
  <c r="H307" i="8"/>
  <c r="H312" i="8" s="1"/>
  <c r="L46" i="8"/>
  <c r="L48" i="8" s="1"/>
  <c r="L174" i="8"/>
  <c r="L176" i="8" s="1"/>
  <c r="L32" i="14"/>
  <c r="I21" i="14" s="1"/>
  <c r="L175" i="14"/>
  <c r="L177" i="14" s="1"/>
  <c r="D31" i="9"/>
  <c r="I194" i="8" s="1"/>
  <c r="O191" i="8" s="1"/>
  <c r="L188" i="8" s="1"/>
  <c r="L190" i="8" s="1"/>
  <c r="D37" i="9"/>
  <c r="I214" i="8" s="1"/>
  <c r="O211" i="8" s="1"/>
  <c r="L208" i="8" s="1"/>
  <c r="L176" i="14"/>
  <c r="L113" i="14"/>
  <c r="F19" i="15" s="1"/>
  <c r="H19" i="15" s="1"/>
  <c r="L106" i="14"/>
  <c r="L108" i="14" s="1"/>
  <c r="L45" i="14"/>
  <c r="L49" i="14" s="1"/>
  <c r="H48" i="14" s="1"/>
  <c r="L46" i="14"/>
  <c r="L48" i="14" s="1"/>
  <c r="L175" i="8"/>
  <c r="L179" i="8" s="1"/>
  <c r="I168" i="8" s="1"/>
  <c r="O9" i="9"/>
  <c r="H173" i="8" s="1"/>
  <c r="O169" i="8" s="1"/>
  <c r="L167" i="8" s="1"/>
  <c r="L106" i="8"/>
  <c r="L108" i="8" s="1"/>
  <c r="L260" i="8"/>
  <c r="I249" i="8" s="1"/>
  <c r="L259" i="8"/>
  <c r="H249" i="8" s="1"/>
  <c r="L107" i="8"/>
  <c r="L111" i="8" s="1"/>
  <c r="I108" i="8" s="1"/>
  <c r="L240" i="8"/>
  <c r="I229" i="8" s="1"/>
  <c r="L320" i="8"/>
  <c r="I309" i="8" s="1"/>
  <c r="L107" i="14"/>
  <c r="L109" i="14" s="1"/>
  <c r="L181" i="14"/>
  <c r="N9" i="15" s="1"/>
  <c r="P9" i="15" s="1"/>
  <c r="I173" i="14" s="1"/>
  <c r="O170" i="14" s="1"/>
  <c r="P27" i="9"/>
  <c r="I314" i="8" s="1"/>
  <c r="O311" i="8" s="1"/>
  <c r="L319" i="8"/>
  <c r="H309" i="8" s="1"/>
  <c r="L280" i="8"/>
  <c r="I269" i="8" s="1"/>
  <c r="L340" i="8"/>
  <c r="I329" i="8" s="1"/>
  <c r="O338" i="8" s="1"/>
  <c r="O339" i="8" s="1"/>
  <c r="O340" i="8" s="1"/>
  <c r="I330" i="8" s="1"/>
  <c r="L92" i="14"/>
  <c r="H82" i="14" s="1"/>
  <c r="G31" i="9"/>
  <c r="H234" i="8" s="1"/>
  <c r="O230" i="8" s="1"/>
  <c r="L299" i="8"/>
  <c r="H289" i="8" s="1"/>
  <c r="K25" i="15"/>
  <c r="H86" i="14" s="1"/>
  <c r="O83" i="14" s="1"/>
  <c r="L81" i="14" s="1"/>
  <c r="L83" i="14" s="1"/>
  <c r="L197" i="8"/>
  <c r="L31" i="14"/>
  <c r="H21" i="14" s="1"/>
  <c r="D25" i="15"/>
  <c r="I25" i="14" s="1"/>
  <c r="O23" i="14" s="1"/>
  <c r="L20" i="14" s="1"/>
  <c r="L22" i="14" s="1"/>
  <c r="K37" i="9"/>
  <c r="H294" i="8" s="1"/>
  <c r="O290" i="8" s="1"/>
  <c r="L288" i="8" s="1"/>
  <c r="L290" i="8" s="1"/>
  <c r="P21" i="12"/>
  <c r="I354" i="11" s="1"/>
  <c r="O351" i="11" s="1"/>
  <c r="L31" i="9"/>
  <c r="I274" i="8" s="1"/>
  <c r="O271" i="8" s="1"/>
  <c r="L268" i="8" s="1"/>
  <c r="L270" i="8" s="1"/>
  <c r="L280" i="11"/>
  <c r="I269" i="11" s="1"/>
  <c r="L220" i="8"/>
  <c r="I209" i="8" s="1"/>
  <c r="L339" i="8"/>
  <c r="H329" i="8" s="1"/>
  <c r="N338" i="8" s="1"/>
  <c r="N342" i="8" s="1"/>
  <c r="L360" i="11"/>
  <c r="I349" i="11" s="1"/>
  <c r="O358" i="11" s="1"/>
  <c r="O361" i="11" s="1"/>
  <c r="I351" i="11" s="1"/>
  <c r="P15" i="9"/>
  <c r="I334" i="8" s="1"/>
  <c r="O331" i="8" s="1"/>
  <c r="L200" i="8"/>
  <c r="I189" i="8" s="1"/>
  <c r="K25" i="9"/>
  <c r="H86" i="8" s="1"/>
  <c r="O83" i="8" s="1"/>
  <c r="L81" i="8" s="1"/>
  <c r="L82" i="8" s="1"/>
  <c r="J19" i="9"/>
  <c r="K19" i="9" s="1"/>
  <c r="L25" i="12"/>
  <c r="I86" i="11" s="1"/>
  <c r="O84" i="11" s="1"/>
  <c r="L81" i="11" s="1"/>
  <c r="L83" i="11" s="1"/>
  <c r="L132" i="8"/>
  <c r="L136" i="8" s="1"/>
  <c r="I134" i="8" s="1"/>
  <c r="L178" i="11"/>
  <c r="H168" i="11" s="1"/>
  <c r="L337" i="11"/>
  <c r="L329" i="11" s="1"/>
  <c r="H328" i="11" s="1"/>
  <c r="H327" i="11" s="1"/>
  <c r="H332" i="11" s="1"/>
  <c r="P21" i="15"/>
  <c r="I354" i="14" s="1"/>
  <c r="O351" i="14" s="1"/>
  <c r="L360" i="14"/>
  <c r="I349" i="14" s="1"/>
  <c r="O358" i="14" s="1"/>
  <c r="O362" i="14" s="1"/>
  <c r="L131" i="8"/>
  <c r="L135" i="8" s="1"/>
  <c r="H134" i="8" s="1"/>
  <c r="L46" i="11"/>
  <c r="L48" i="11" s="1"/>
  <c r="L138" i="14"/>
  <c r="J19" i="15" s="1"/>
  <c r="L350" i="14"/>
  <c r="I348" i="14" s="1"/>
  <c r="I347" i="14" s="1"/>
  <c r="I352" i="14" s="1"/>
  <c r="L131" i="11"/>
  <c r="L133" i="11" s="1"/>
  <c r="L132" i="11"/>
  <c r="L136" i="11" s="1"/>
  <c r="I133" i="11" s="1"/>
  <c r="K37" i="12"/>
  <c r="H294" i="11" s="1"/>
  <c r="O290" i="11" s="1"/>
  <c r="L288" i="11" s="1"/>
  <c r="L289" i="11" s="1"/>
  <c r="L132" i="14"/>
  <c r="L134" i="14" s="1"/>
  <c r="P15" i="12"/>
  <c r="I334" i="11" s="1"/>
  <c r="O331" i="11" s="1"/>
  <c r="H37" i="12"/>
  <c r="I254" i="11" s="1"/>
  <c r="O251" i="11" s="1"/>
  <c r="L248" i="11" s="1"/>
  <c r="L249" i="11" s="1"/>
  <c r="L260" i="11"/>
  <c r="I249" i="11" s="1"/>
  <c r="L92" i="11"/>
  <c r="H82" i="11" s="1"/>
  <c r="N342" i="11"/>
  <c r="N339" i="11"/>
  <c r="N340" i="11" s="1"/>
  <c r="H330" i="11" s="1"/>
  <c r="O341" i="11"/>
  <c r="I331" i="11" s="1"/>
  <c r="O339" i="11"/>
  <c r="O340" i="11" s="1"/>
  <c r="I330" i="11" s="1"/>
  <c r="L338" i="11"/>
  <c r="L330" i="11" s="1"/>
  <c r="I328" i="11" s="1"/>
  <c r="I327" i="11" s="1"/>
  <c r="I332" i="11" s="1"/>
  <c r="B19" i="12"/>
  <c r="C19" i="12" s="1"/>
  <c r="L113" i="11"/>
  <c r="F11" i="12" s="1"/>
  <c r="L45" i="11"/>
  <c r="L47" i="11" s="1"/>
  <c r="L106" i="11"/>
  <c r="L110" i="11" s="1"/>
  <c r="L169" i="11"/>
  <c r="L179" i="11"/>
  <c r="L199" i="11"/>
  <c r="H189" i="11" s="1"/>
  <c r="C37" i="12"/>
  <c r="H214" i="11" s="1"/>
  <c r="O210" i="11" s="1"/>
  <c r="L208" i="11" s="1"/>
  <c r="L209" i="11" s="1"/>
  <c r="L258" i="14"/>
  <c r="L359" i="11"/>
  <c r="H349" i="11" s="1"/>
  <c r="N358" i="11" s="1"/>
  <c r="N359" i="11" s="1"/>
  <c r="N360" i="11" s="1"/>
  <c r="H350" i="11" s="1"/>
  <c r="C31" i="12"/>
  <c r="H194" i="11" s="1"/>
  <c r="O190" i="11" s="1"/>
  <c r="L188" i="11" s="1"/>
  <c r="P27" i="15"/>
  <c r="I314" i="14" s="1"/>
  <c r="O311" i="14" s="1"/>
  <c r="D31" i="15"/>
  <c r="I194" i="14" s="1"/>
  <c r="O191" i="14" s="1"/>
  <c r="L188" i="14" s="1"/>
  <c r="L190" i="14" s="1"/>
  <c r="L200" i="14"/>
  <c r="I189" i="14" s="1"/>
  <c r="L135" i="14"/>
  <c r="H134" i="14" s="1"/>
  <c r="L319" i="14"/>
  <c r="H309" i="14" s="1"/>
  <c r="N318" i="14" s="1"/>
  <c r="N321" i="14" s="1"/>
  <c r="H311" i="14" s="1"/>
  <c r="L259" i="14"/>
  <c r="H249" i="14" s="1"/>
  <c r="L269" i="11"/>
  <c r="L360" i="8"/>
  <c r="I349" i="8" s="1"/>
  <c r="O358" i="8" s="1"/>
  <c r="O362" i="8" s="1"/>
  <c r="L279" i="11"/>
  <c r="H269" i="11" s="1"/>
  <c r="B19" i="9"/>
  <c r="D19" i="9" s="1"/>
  <c r="C25" i="9"/>
  <c r="H25" i="8" s="1"/>
  <c r="O22" i="8" s="1"/>
  <c r="L20" i="8" s="1"/>
  <c r="L22" i="8" s="1"/>
  <c r="H37" i="15"/>
  <c r="I254" i="14" s="1"/>
  <c r="O251" i="14" s="1"/>
  <c r="L248" i="14" s="1"/>
  <c r="L249" i="14" s="1"/>
  <c r="L349" i="8"/>
  <c r="H348" i="8" s="1"/>
  <c r="H347" i="8" s="1"/>
  <c r="H352" i="8" s="1"/>
  <c r="L339" i="14"/>
  <c r="H329" i="14" s="1"/>
  <c r="N338" i="14" s="1"/>
  <c r="N341" i="14" s="1"/>
  <c r="H331" i="14" s="1"/>
  <c r="L300" i="11"/>
  <c r="I289" i="11" s="1"/>
  <c r="L280" i="14"/>
  <c r="I269" i="14" s="1"/>
  <c r="L74" i="11"/>
  <c r="L75" i="8"/>
  <c r="I64" i="8" s="1"/>
  <c r="L359" i="8"/>
  <c r="H349" i="8" s="1"/>
  <c r="N358" i="8" s="1"/>
  <c r="N362" i="8" s="1"/>
  <c r="L300" i="14"/>
  <c r="I289" i="14" s="1"/>
  <c r="L31" i="11"/>
  <c r="H21" i="11" s="1"/>
  <c r="O15" i="15"/>
  <c r="H334" i="14" s="1"/>
  <c r="O330" i="14" s="1"/>
  <c r="L220" i="11"/>
  <c r="I209" i="11" s="1"/>
  <c r="C25" i="12"/>
  <c r="H25" i="11" s="1"/>
  <c r="O22" i="11" s="1"/>
  <c r="L20" i="11" s="1"/>
  <c r="L350" i="8"/>
  <c r="I348" i="8" s="1"/>
  <c r="I347" i="8" s="1"/>
  <c r="I352" i="8" s="1"/>
  <c r="H25" i="9"/>
  <c r="I68" i="8" s="1"/>
  <c r="O66" i="8" s="1"/>
  <c r="G31" i="15"/>
  <c r="H234" i="14" s="1"/>
  <c r="O230" i="14" s="1"/>
  <c r="D37" i="15"/>
  <c r="I214" i="14" s="1"/>
  <c r="O211" i="14" s="1"/>
  <c r="L208" i="14" s="1"/>
  <c r="L210" i="14" s="1"/>
  <c r="L29" i="8"/>
  <c r="L219" i="14"/>
  <c r="H209" i="14" s="1"/>
  <c r="N359" i="14"/>
  <c r="N360" i="14" s="1"/>
  <c r="H350" i="14" s="1"/>
  <c r="L239" i="14"/>
  <c r="H229" i="14" s="1"/>
  <c r="L92" i="8"/>
  <c r="H82" i="8" s="1"/>
  <c r="C19" i="15"/>
  <c r="D19" i="15"/>
  <c r="L340" i="14"/>
  <c r="I329" i="14" s="1"/>
  <c r="O338" i="14" s="1"/>
  <c r="O342" i="14" s="1"/>
  <c r="L75" i="14"/>
  <c r="I64" i="14" s="1"/>
  <c r="L299" i="14"/>
  <c r="H289" i="14" s="1"/>
  <c r="G25" i="15"/>
  <c r="H68" i="14" s="1"/>
  <c r="N362" i="14"/>
  <c r="K31" i="15"/>
  <c r="H274" i="14" s="1"/>
  <c r="O270" i="14" s="1"/>
  <c r="L268" i="14" s="1"/>
  <c r="H25" i="12"/>
  <c r="I68" i="11" s="1"/>
  <c r="G25" i="12"/>
  <c r="H68" i="11" s="1"/>
  <c r="L111" i="11"/>
  <c r="I108" i="11" s="1"/>
  <c r="J11" i="12"/>
  <c r="J19" i="12"/>
  <c r="K11" i="9"/>
  <c r="L37" i="15"/>
  <c r="I294" i="14" s="1"/>
  <c r="O291" i="14" s="1"/>
  <c r="L288" i="14" s="1"/>
  <c r="L289" i="14" s="1"/>
  <c r="L270" i="11"/>
  <c r="B11" i="15"/>
  <c r="L320" i="14"/>
  <c r="I309" i="14" s="1"/>
  <c r="O318" i="14" s="1"/>
  <c r="L279" i="14"/>
  <c r="H269" i="14" s="1"/>
  <c r="L168" i="11"/>
  <c r="L240" i="14"/>
  <c r="I229" i="14" s="1"/>
  <c r="L197" i="14"/>
  <c r="L220" i="14"/>
  <c r="I209" i="14" s="1"/>
  <c r="F19" i="9"/>
  <c r="F11" i="9"/>
  <c r="L72" i="14"/>
  <c r="L74" i="14"/>
  <c r="H64" i="14" s="1"/>
  <c r="O27" i="12"/>
  <c r="H314" i="11" s="1"/>
  <c r="O310" i="11" s="1"/>
  <c r="P27" i="12"/>
  <c r="I314" i="11" s="1"/>
  <c r="O311" i="11" s="1"/>
  <c r="L238" i="11"/>
  <c r="L240" i="11"/>
  <c r="I229" i="11" s="1"/>
  <c r="H31" i="12"/>
  <c r="G31" i="12"/>
  <c r="L317" i="11"/>
  <c r="L309" i="11" s="1"/>
  <c r="H308" i="11" s="1"/>
  <c r="H307" i="11" s="1"/>
  <c r="H312" i="11" s="1"/>
  <c r="L319" i="11"/>
  <c r="H309" i="11" s="1"/>
  <c r="N318" i="11" s="1"/>
  <c r="L318" i="11"/>
  <c r="L310" i="11" s="1"/>
  <c r="I308" i="11" s="1"/>
  <c r="I307" i="11" s="1"/>
  <c r="I312" i="11" s="1"/>
  <c r="L320" i="11"/>
  <c r="I309" i="11" s="1"/>
  <c r="O318" i="11" s="1"/>
  <c r="L237" i="11"/>
  <c r="L239" i="11"/>
  <c r="H229" i="11" s="1"/>
  <c r="L248" i="8"/>
  <c r="L250" i="8" s="1"/>
  <c r="Y363" i="16"/>
  <c r="V362" i="16"/>
  <c r="V361" i="16" s="1"/>
  <c r="V360" i="16" s="1"/>
  <c r="V359" i="16" s="1"/>
  <c r="V358" i="16" s="1"/>
  <c r="V357" i="16" s="1"/>
  <c r="V356" i="16" s="1"/>
  <c r="V355" i="16" s="1"/>
  <c r="V354" i="16" s="1"/>
  <c r="V353" i="16" s="1"/>
  <c r="V352" i="16" s="1"/>
  <c r="V351" i="16" s="1"/>
  <c r="V350" i="16" s="1"/>
  <c r="V349" i="16" s="1"/>
  <c r="V348" i="16" s="1"/>
  <c r="V347" i="16" s="1"/>
  <c r="V346" i="16" s="1"/>
  <c r="V345" i="16" s="1"/>
  <c r="V344" i="16" s="1"/>
  <c r="V343" i="16" s="1"/>
  <c r="V342" i="16" s="1"/>
  <c r="V341" i="16" s="1"/>
  <c r="V340" i="16" s="1"/>
  <c r="V339" i="16" s="1"/>
  <c r="V338" i="16" s="1"/>
  <c r="V337" i="16" s="1"/>
  <c r="V336" i="16" s="1"/>
  <c r="V335" i="16" s="1"/>
  <c r="V334" i="16" s="1"/>
  <c r="V333" i="16" s="1"/>
  <c r="V332" i="16" s="1"/>
  <c r="V331" i="16" s="1"/>
  <c r="V330" i="16" s="1"/>
  <c r="V329" i="16" s="1"/>
  <c r="V328" i="16" s="1"/>
  <c r="V327" i="16" s="1"/>
  <c r="V326" i="16" s="1"/>
  <c r="V325" i="16" s="1"/>
  <c r="V324" i="16" s="1"/>
  <c r="V323" i="16" s="1"/>
  <c r="V322" i="16" s="1"/>
  <c r="V321" i="16" s="1"/>
  <c r="V320" i="16" s="1"/>
  <c r="V319" i="16" s="1"/>
  <c r="V318" i="16" s="1"/>
  <c r="V317" i="16" s="1"/>
  <c r="V316" i="16" s="1"/>
  <c r="V315" i="16" s="1"/>
  <c r="V314" i="16" s="1"/>
  <c r="V313" i="16" s="1"/>
  <c r="V312" i="16" s="1"/>
  <c r="V311" i="16" s="1"/>
  <c r="V310" i="16" s="1"/>
  <c r="V309" i="16" s="1"/>
  <c r="V308" i="16" s="1"/>
  <c r="V307" i="16" s="1"/>
  <c r="V306" i="16" s="1"/>
  <c r="V305" i="16" s="1"/>
  <c r="V304" i="16" s="1"/>
  <c r="V303" i="16" s="1"/>
  <c r="V302" i="16" s="1"/>
  <c r="V301" i="16" s="1"/>
  <c r="V300" i="16" s="1"/>
  <c r="V299" i="16" s="1"/>
  <c r="V298" i="16" s="1"/>
  <c r="V297" i="16" s="1"/>
  <c r="V296" i="16" s="1"/>
  <c r="V295" i="16" s="1"/>
  <c r="V294" i="16" s="1"/>
  <c r="V293" i="16" s="1"/>
  <c r="V292" i="16" s="1"/>
  <c r="V291" i="16" s="1"/>
  <c r="V290" i="16" s="1"/>
  <c r="V289" i="16" s="1"/>
  <c r="V288" i="16" s="1"/>
  <c r="V287" i="16" s="1"/>
  <c r="V286" i="16" s="1"/>
  <c r="V285" i="16" s="1"/>
  <c r="V284" i="16" s="1"/>
  <c r="V283" i="16" s="1"/>
  <c r="V282" i="16" s="1"/>
  <c r="V281" i="16" s="1"/>
  <c r="V280" i="16" s="1"/>
  <c r="V279" i="16" s="1"/>
  <c r="V278" i="16" s="1"/>
  <c r="V277" i="16" s="1"/>
  <c r="V276" i="16" s="1"/>
  <c r="V275" i="16" s="1"/>
  <c r="V274" i="16" s="1"/>
  <c r="V273" i="16" s="1"/>
  <c r="V272" i="16" s="1"/>
  <c r="V271" i="16" s="1"/>
  <c r="V270" i="16" s="1"/>
  <c r="V269" i="16" s="1"/>
  <c r="V268" i="16" s="1"/>
  <c r="V267" i="16" s="1"/>
  <c r="V266" i="16" s="1"/>
  <c r="V265" i="16" s="1"/>
  <c r="V264" i="16" s="1"/>
  <c r="V263" i="16" s="1"/>
  <c r="V262" i="16" s="1"/>
  <c r="V261" i="16" s="1"/>
  <c r="V260" i="16" s="1"/>
  <c r="V259" i="16" s="1"/>
  <c r="V258" i="16" s="1"/>
  <c r="V257" i="16" s="1"/>
  <c r="V256" i="16" s="1"/>
  <c r="V255" i="16" s="1"/>
  <c r="V254" i="16" s="1"/>
  <c r="V253" i="16" s="1"/>
  <c r="V252" i="16" s="1"/>
  <c r="V251" i="16" s="1"/>
  <c r="V250" i="16" s="1"/>
  <c r="V249" i="16" s="1"/>
  <c r="V248" i="16" s="1"/>
  <c r="V247" i="16" s="1"/>
  <c r="V246" i="16" s="1"/>
  <c r="V245" i="16" s="1"/>
  <c r="V244" i="16" s="1"/>
  <c r="V243" i="16" s="1"/>
  <c r="V242" i="16" s="1"/>
  <c r="V241" i="16" s="1"/>
  <c r="V240" i="16" s="1"/>
  <c r="V239" i="16" s="1"/>
  <c r="V238" i="16" s="1"/>
  <c r="V237" i="16" s="1"/>
  <c r="V236" i="16" s="1"/>
  <c r="V235" i="16" s="1"/>
  <c r="V234" i="16" s="1"/>
  <c r="V233" i="16" s="1"/>
  <c r="V232" i="16" s="1"/>
  <c r="V231" i="16" s="1"/>
  <c r="V230" i="16" s="1"/>
  <c r="V229" i="16" s="1"/>
  <c r="V228" i="16" s="1"/>
  <c r="V227" i="16" s="1"/>
  <c r="V226" i="16" s="1"/>
  <c r="V225" i="16" s="1"/>
  <c r="V224" i="16" s="1"/>
  <c r="V223" i="16" s="1"/>
  <c r="V222" i="16" s="1"/>
  <c r="V221" i="16" s="1"/>
  <c r="V220" i="16" s="1"/>
  <c r="V219" i="16" s="1"/>
  <c r="V218" i="16" s="1"/>
  <c r="V217" i="16" s="1"/>
  <c r="V216" i="16" s="1"/>
  <c r="V215" i="16" s="1"/>
  <c r="V214" i="16" s="1"/>
  <c r="V213" i="16" s="1"/>
  <c r="V212" i="16" s="1"/>
  <c r="V211" i="16" s="1"/>
  <c r="V210" i="16" s="1"/>
  <c r="V209" i="16" s="1"/>
  <c r="V208" i="16" s="1"/>
  <c r="V207" i="16" s="1"/>
  <c r="V206" i="16" s="1"/>
  <c r="V205" i="16" s="1"/>
  <c r="V204" i="16" s="1"/>
  <c r="V203" i="16" s="1"/>
  <c r="V202" i="16" s="1"/>
  <c r="V201" i="16" s="1"/>
  <c r="V200" i="16" s="1"/>
  <c r="V199" i="16" s="1"/>
  <c r="V198" i="16" s="1"/>
  <c r="V197" i="16" s="1"/>
  <c r="V196" i="16" s="1"/>
  <c r="V195" i="16" s="1"/>
  <c r="V194" i="16" s="1"/>
  <c r="V193" i="16" s="1"/>
  <c r="V192" i="16" s="1"/>
  <c r="V191" i="16" s="1"/>
  <c r="V190" i="16" s="1"/>
  <c r="V189" i="16" s="1"/>
  <c r="V188" i="16" s="1"/>
  <c r="V187" i="16" s="1"/>
  <c r="V186" i="16" s="1"/>
  <c r="V185" i="16" s="1"/>
  <c r="V184" i="16" s="1"/>
  <c r="V183" i="16" s="1"/>
  <c r="V182" i="16" s="1"/>
  <c r="V181" i="16" s="1"/>
  <c r="V180" i="16" s="1"/>
  <c r="V179" i="16" s="1"/>
  <c r="V178" i="16" s="1"/>
  <c r="V177" i="16" s="1"/>
  <c r="V176" i="16" s="1"/>
  <c r="V175" i="16" s="1"/>
  <c r="V174" i="16" s="1"/>
  <c r="V173" i="16" s="1"/>
  <c r="V172" i="16" s="1"/>
  <c r="V171" i="16" s="1"/>
  <c r="V170" i="16" s="1"/>
  <c r="V169" i="16" s="1"/>
  <c r="V168" i="16" s="1"/>
  <c r="V167" i="16" s="1"/>
  <c r="V166" i="16" s="1"/>
  <c r="V165" i="16" s="1"/>
  <c r="V164" i="16" s="1"/>
  <c r="V163" i="16" s="1"/>
  <c r="V162" i="16" s="1"/>
  <c r="V161" i="16" s="1"/>
  <c r="V160" i="16" s="1"/>
  <c r="V159" i="16" s="1"/>
  <c r="V158" i="16" s="1"/>
  <c r="V157" i="16" s="1"/>
  <c r="V156" i="16" s="1"/>
  <c r="V155" i="16" s="1"/>
  <c r="V154" i="16" s="1"/>
  <c r="V153" i="16" s="1"/>
  <c r="V152" i="16" s="1"/>
  <c r="V151" i="16" s="1"/>
  <c r="V150" i="16" s="1"/>
  <c r="V149" i="16" s="1"/>
  <c r="V148" i="16" s="1"/>
  <c r="V147" i="16" s="1"/>
  <c r="V146" i="16" s="1"/>
  <c r="V145" i="16" s="1"/>
  <c r="V144" i="16" s="1"/>
  <c r="V143" i="16" s="1"/>
  <c r="V142" i="16" s="1"/>
  <c r="V141" i="16" s="1"/>
  <c r="V140" i="16" s="1"/>
  <c r="V139" i="16" s="1"/>
  <c r="V138" i="16" s="1"/>
  <c r="V137" i="16" s="1"/>
  <c r="V136" i="16" s="1"/>
  <c r="V135" i="16" s="1"/>
  <c r="V134" i="16" s="1"/>
  <c r="V133" i="16" s="1"/>
  <c r="V132" i="16" s="1"/>
  <c r="V131" i="16" s="1"/>
  <c r="V130" i="16" s="1"/>
  <c r="V129" i="16" s="1"/>
  <c r="V128" i="16" s="1"/>
  <c r="V127" i="16" s="1"/>
  <c r="V126" i="16" s="1"/>
  <c r="V125" i="16" s="1"/>
  <c r="V124" i="16" s="1"/>
  <c r="V123" i="16" s="1"/>
  <c r="V122" i="16" s="1"/>
  <c r="V121" i="16" s="1"/>
  <c r="V120" i="16" s="1"/>
  <c r="V119" i="16" s="1"/>
  <c r="V118" i="16" s="1"/>
  <c r="V117" i="16" s="1"/>
  <c r="V116" i="16" s="1"/>
  <c r="V115" i="16" s="1"/>
  <c r="V114" i="16" s="1"/>
  <c r="V113" i="16" s="1"/>
  <c r="V112" i="16" s="1"/>
  <c r="V111" i="16" s="1"/>
  <c r="V110" i="16" s="1"/>
  <c r="V109" i="16" s="1"/>
  <c r="V108" i="16" s="1"/>
  <c r="V107" i="16" s="1"/>
  <c r="V106" i="16" s="1"/>
  <c r="V105" i="16" s="1"/>
  <c r="V104" i="16" s="1"/>
  <c r="V103" i="16" s="1"/>
  <c r="V102" i="16" s="1"/>
  <c r="V101" i="16" s="1"/>
  <c r="V100" i="16" s="1"/>
  <c r="V99" i="16" s="1"/>
  <c r="V98" i="16" s="1"/>
  <c r="V97" i="16" s="1"/>
  <c r="V96" i="16" s="1"/>
  <c r="V95" i="16" s="1"/>
  <c r="V94" i="16" s="1"/>
  <c r="V93" i="16" s="1"/>
  <c r="V92" i="16" s="1"/>
  <c r="V91" i="16" s="1"/>
  <c r="V90" i="16" s="1"/>
  <c r="V89" i="16" s="1"/>
  <c r="V88" i="16" s="1"/>
  <c r="V87" i="16" s="1"/>
  <c r="V86" i="16" s="1"/>
  <c r="V85" i="16" s="1"/>
  <c r="V84" i="16" s="1"/>
  <c r="V83" i="16" s="1"/>
  <c r="V82" i="16" s="1"/>
  <c r="V81" i="16" s="1"/>
  <c r="V80" i="16" s="1"/>
  <c r="V79" i="16" s="1"/>
  <c r="V78" i="16" s="1"/>
  <c r="V77" i="16" s="1"/>
  <c r="V76" i="16" s="1"/>
  <c r="V75" i="16" s="1"/>
  <c r="V74" i="16" s="1"/>
  <c r="V73" i="16" s="1"/>
  <c r="V72" i="16" s="1"/>
  <c r="V71" i="16" s="1"/>
  <c r="V70" i="16" s="1"/>
  <c r="V69" i="16" s="1"/>
  <c r="V68" i="16" s="1"/>
  <c r="V67" i="16" s="1"/>
  <c r="V66" i="16" s="1"/>
  <c r="V65" i="16" s="1"/>
  <c r="V64" i="16" s="1"/>
  <c r="V63" i="16" s="1"/>
  <c r="V62" i="16" s="1"/>
  <c r="V61" i="16" s="1"/>
  <c r="V60" i="16" s="1"/>
  <c r="V59" i="16" s="1"/>
  <c r="V58" i="16" s="1"/>
  <c r="V57" i="16" s="1"/>
  <c r="V56" i="16" s="1"/>
  <c r="V55" i="16" s="1"/>
  <c r="V54" i="16" s="1"/>
  <c r="V53" i="16" s="1"/>
  <c r="V52" i="16" s="1"/>
  <c r="V51" i="16" s="1"/>
  <c r="V50" i="16" s="1"/>
  <c r="V49" i="16" s="1"/>
  <c r="V48" i="16" s="1"/>
  <c r="V47" i="16" s="1"/>
  <c r="V46" i="16" s="1"/>
  <c r="V45" i="16" s="1"/>
  <c r="V44" i="16" s="1"/>
  <c r="V43" i="16" s="1"/>
  <c r="V42" i="16" s="1"/>
  <c r="V41" i="16" s="1"/>
  <c r="V40" i="16" s="1"/>
  <c r="V39" i="16" s="1"/>
  <c r="V38" i="16" s="1"/>
  <c r="V37" i="16" s="1"/>
  <c r="V36" i="16" s="1"/>
  <c r="V35" i="16" s="1"/>
  <c r="V34" i="16" s="1"/>
  <c r="V33" i="16" s="1"/>
  <c r="V32" i="16" s="1"/>
  <c r="V31" i="16" s="1"/>
  <c r="V30" i="16" s="1"/>
  <c r="V29" i="16" s="1"/>
  <c r="V28" i="16" s="1"/>
  <c r="V27" i="16" s="1"/>
  <c r="V26" i="16" s="1"/>
  <c r="V25" i="16" s="1"/>
  <c r="V24" i="16" s="1"/>
  <c r="V23" i="16" s="1"/>
  <c r="V22" i="16" s="1"/>
  <c r="V21" i="16" s="1"/>
  <c r="V20" i="16" s="1"/>
  <c r="V19" i="16" s="1"/>
  <c r="V18" i="16" s="1"/>
  <c r="V17" i="16" s="1"/>
  <c r="V16" i="16" s="1"/>
  <c r="V15" i="16" s="1"/>
  <c r="V14" i="16" s="1"/>
  <c r="V13" i="16" s="1"/>
  <c r="V12" i="16" s="1"/>
  <c r="V11" i="16" s="1"/>
  <c r="V10" i="16" s="1"/>
  <c r="V9" i="16" s="1"/>
  <c r="V8" i="16" s="1"/>
  <c r="V7" i="16" s="1"/>
  <c r="V6" i="16" s="1"/>
  <c r="V5" i="16" s="1"/>
  <c r="V4" i="16" s="1"/>
  <c r="V3" i="16" s="1"/>
  <c r="I234" i="14"/>
  <c r="O231" i="14" s="1"/>
  <c r="O66" i="14"/>
  <c r="AC362" i="16"/>
  <c r="AC361" i="16" s="1"/>
  <c r="AC360" i="16" s="1"/>
  <c r="AC359" i="16" s="1"/>
  <c r="AC358" i="16" s="1"/>
  <c r="AC357" i="16" s="1"/>
  <c r="AC356" i="16" s="1"/>
  <c r="AC355" i="16" s="1"/>
  <c r="AC354" i="16" s="1"/>
  <c r="AC353" i="16" s="1"/>
  <c r="AC352" i="16" s="1"/>
  <c r="AC351" i="16" s="1"/>
  <c r="AC350" i="16" s="1"/>
  <c r="AC349" i="16" s="1"/>
  <c r="AC348" i="16" s="1"/>
  <c r="AC347" i="16" s="1"/>
  <c r="AC346" i="16" s="1"/>
  <c r="AC345" i="16" s="1"/>
  <c r="AC344" i="16" s="1"/>
  <c r="AC343" i="16" s="1"/>
  <c r="AC342" i="16" s="1"/>
  <c r="AC341" i="16" s="1"/>
  <c r="AC340" i="16" s="1"/>
  <c r="AC339" i="16" s="1"/>
  <c r="AC338" i="16" s="1"/>
  <c r="AC337" i="16" s="1"/>
  <c r="AC336" i="16" s="1"/>
  <c r="AC335" i="16" s="1"/>
  <c r="AC334" i="16" s="1"/>
  <c r="AC333" i="16" s="1"/>
  <c r="AC332" i="16" s="1"/>
  <c r="AC331" i="16" s="1"/>
  <c r="AC330" i="16" s="1"/>
  <c r="AC329" i="16" s="1"/>
  <c r="AC328" i="16" s="1"/>
  <c r="AC327" i="16" s="1"/>
  <c r="AC326" i="16" s="1"/>
  <c r="AC325" i="16" s="1"/>
  <c r="AC324" i="16" s="1"/>
  <c r="AC323" i="16" s="1"/>
  <c r="AC322" i="16" s="1"/>
  <c r="AC321" i="16" s="1"/>
  <c r="AC320" i="16" s="1"/>
  <c r="AC319" i="16" s="1"/>
  <c r="AC318" i="16" s="1"/>
  <c r="AC317" i="16" s="1"/>
  <c r="AC316" i="16" s="1"/>
  <c r="AC315" i="16" s="1"/>
  <c r="AC314" i="16" s="1"/>
  <c r="AC313" i="16" s="1"/>
  <c r="AC312" i="16" s="1"/>
  <c r="AC311" i="16" s="1"/>
  <c r="AC310" i="16" s="1"/>
  <c r="AC309" i="16" s="1"/>
  <c r="AC308" i="16" s="1"/>
  <c r="AC307" i="16" s="1"/>
  <c r="AC306" i="16" s="1"/>
  <c r="AC305" i="16" s="1"/>
  <c r="AC304" i="16" s="1"/>
  <c r="AC303" i="16" s="1"/>
  <c r="AC302" i="16" s="1"/>
  <c r="AC301" i="16" s="1"/>
  <c r="AC300" i="16" s="1"/>
  <c r="AC299" i="16" s="1"/>
  <c r="AC298" i="16" s="1"/>
  <c r="AC297" i="16" s="1"/>
  <c r="AC296" i="16" s="1"/>
  <c r="AC295" i="16" s="1"/>
  <c r="AC294" i="16" s="1"/>
  <c r="AC293" i="16" s="1"/>
  <c r="AC292" i="16" s="1"/>
  <c r="AC291" i="16" s="1"/>
  <c r="AC290" i="16" s="1"/>
  <c r="AC289" i="16" s="1"/>
  <c r="AC288" i="16" s="1"/>
  <c r="AC287" i="16" s="1"/>
  <c r="AC286" i="16" s="1"/>
  <c r="AC285" i="16" s="1"/>
  <c r="AC284" i="16" s="1"/>
  <c r="AC283" i="16" s="1"/>
  <c r="AC282" i="16" s="1"/>
  <c r="AC281" i="16" s="1"/>
  <c r="AC280" i="16" s="1"/>
  <c r="AC279" i="16" s="1"/>
  <c r="AC278" i="16" s="1"/>
  <c r="AC277" i="16" s="1"/>
  <c r="AC276" i="16" s="1"/>
  <c r="AC275" i="16" s="1"/>
  <c r="AC274" i="16" s="1"/>
  <c r="AC273" i="16" s="1"/>
  <c r="AC272" i="16" s="1"/>
  <c r="AC271" i="16" s="1"/>
  <c r="AC270" i="16" s="1"/>
  <c r="AC269" i="16" s="1"/>
  <c r="AC268" i="16" s="1"/>
  <c r="AC267" i="16" s="1"/>
  <c r="AC266" i="16" s="1"/>
  <c r="AC265" i="16" s="1"/>
  <c r="AC264" i="16" s="1"/>
  <c r="AC263" i="16" s="1"/>
  <c r="AC262" i="16" s="1"/>
  <c r="AC261" i="16" s="1"/>
  <c r="AC260" i="16" s="1"/>
  <c r="AC259" i="16" s="1"/>
  <c r="AC258" i="16" s="1"/>
  <c r="AC257" i="16" s="1"/>
  <c r="AC256" i="16" s="1"/>
  <c r="AC255" i="16" s="1"/>
  <c r="AC254" i="16" s="1"/>
  <c r="AC253" i="16" s="1"/>
  <c r="AC252" i="16" s="1"/>
  <c r="AC251" i="16" s="1"/>
  <c r="AC250" i="16" s="1"/>
  <c r="AC249" i="16" s="1"/>
  <c r="AC248" i="16" s="1"/>
  <c r="AC247" i="16" s="1"/>
  <c r="AC246" i="16" s="1"/>
  <c r="AC245" i="16" s="1"/>
  <c r="AC244" i="16" s="1"/>
  <c r="AC243" i="16" s="1"/>
  <c r="AC242" i="16" s="1"/>
  <c r="AC241" i="16" s="1"/>
  <c r="AC240" i="16" s="1"/>
  <c r="AC239" i="16" s="1"/>
  <c r="AC238" i="16" s="1"/>
  <c r="AC237" i="16" s="1"/>
  <c r="AC236" i="16" s="1"/>
  <c r="AC235" i="16" s="1"/>
  <c r="AC234" i="16" s="1"/>
  <c r="AC233" i="16" s="1"/>
  <c r="AC232" i="16" s="1"/>
  <c r="AC231" i="16" s="1"/>
  <c r="AC230" i="16" s="1"/>
  <c r="AC229" i="16" s="1"/>
  <c r="AC228" i="16" s="1"/>
  <c r="AC227" i="16" s="1"/>
  <c r="AC226" i="16" s="1"/>
  <c r="AC225" i="16" s="1"/>
  <c r="AC224" i="16" s="1"/>
  <c r="AC223" i="16" s="1"/>
  <c r="AC222" i="16" s="1"/>
  <c r="AC221" i="16" s="1"/>
  <c r="AC220" i="16" s="1"/>
  <c r="AC219" i="16" s="1"/>
  <c r="AC218" i="16" s="1"/>
  <c r="AC217" i="16" s="1"/>
  <c r="AC216" i="16" s="1"/>
  <c r="AC215" i="16" s="1"/>
  <c r="AC214" i="16" s="1"/>
  <c r="AC213" i="16" s="1"/>
  <c r="AC212" i="16" s="1"/>
  <c r="AC211" i="16" s="1"/>
  <c r="AC210" i="16" s="1"/>
  <c r="AC209" i="16" s="1"/>
  <c r="AC208" i="16" s="1"/>
  <c r="AC207" i="16" s="1"/>
  <c r="AC206" i="16" s="1"/>
  <c r="AC205" i="16" s="1"/>
  <c r="AC204" i="16" s="1"/>
  <c r="AC203" i="16" s="1"/>
  <c r="AC202" i="16" s="1"/>
  <c r="AC201" i="16" s="1"/>
  <c r="AC200" i="16" s="1"/>
  <c r="AC199" i="16" s="1"/>
  <c r="AC198" i="16" s="1"/>
  <c r="AC197" i="16" s="1"/>
  <c r="AC196" i="16" s="1"/>
  <c r="AC195" i="16" s="1"/>
  <c r="AC194" i="16" s="1"/>
  <c r="AC193" i="16" s="1"/>
  <c r="AC192" i="16" s="1"/>
  <c r="AC191" i="16" s="1"/>
  <c r="AC190" i="16" s="1"/>
  <c r="AC189" i="16" s="1"/>
  <c r="AC188" i="16" s="1"/>
  <c r="AC187" i="16" s="1"/>
  <c r="AC186" i="16" s="1"/>
  <c r="AC185" i="16" s="1"/>
  <c r="AC184" i="16" s="1"/>
  <c r="AC183" i="16" s="1"/>
  <c r="AC182" i="16" s="1"/>
  <c r="AC181" i="16" s="1"/>
  <c r="AC180" i="16" s="1"/>
  <c r="AC179" i="16" s="1"/>
  <c r="AC178" i="16" s="1"/>
  <c r="AC177" i="16" s="1"/>
  <c r="AC176" i="16" s="1"/>
  <c r="AC175" i="16" s="1"/>
  <c r="AC174" i="16" s="1"/>
  <c r="AC173" i="16" s="1"/>
  <c r="AC172" i="16" s="1"/>
  <c r="AC171" i="16" s="1"/>
  <c r="AC170" i="16" s="1"/>
  <c r="AC169" i="16" s="1"/>
  <c r="AC168" i="16" s="1"/>
  <c r="AC167" i="16" s="1"/>
  <c r="AC166" i="16" s="1"/>
  <c r="AC165" i="16" s="1"/>
  <c r="AC164" i="16" s="1"/>
  <c r="AC163" i="16" s="1"/>
  <c r="AC162" i="16" s="1"/>
  <c r="AC161" i="16" s="1"/>
  <c r="AC160" i="16" s="1"/>
  <c r="AC159" i="16" s="1"/>
  <c r="AC158" i="16" s="1"/>
  <c r="AC157" i="16" s="1"/>
  <c r="AC156" i="16" s="1"/>
  <c r="AC155" i="16" s="1"/>
  <c r="AC154" i="16" s="1"/>
  <c r="AC153" i="16" s="1"/>
  <c r="AC152" i="16" s="1"/>
  <c r="AC151" i="16" s="1"/>
  <c r="AC150" i="16" s="1"/>
  <c r="AC149" i="16" s="1"/>
  <c r="AC148" i="16" s="1"/>
  <c r="AC147" i="16" s="1"/>
  <c r="AC146" i="16" s="1"/>
  <c r="AC145" i="16" s="1"/>
  <c r="AC144" i="16" s="1"/>
  <c r="AC143" i="16" s="1"/>
  <c r="AC142" i="16" s="1"/>
  <c r="AC141" i="16" s="1"/>
  <c r="AC140" i="16" s="1"/>
  <c r="AC139" i="16" s="1"/>
  <c r="AC138" i="16" s="1"/>
  <c r="AC137" i="16" s="1"/>
  <c r="AC136" i="16" s="1"/>
  <c r="AC135" i="16" s="1"/>
  <c r="AC134" i="16" s="1"/>
  <c r="AC133" i="16" s="1"/>
  <c r="AC132" i="16" s="1"/>
  <c r="AC131" i="16" s="1"/>
  <c r="AC130" i="16" s="1"/>
  <c r="AC129" i="16" s="1"/>
  <c r="AC128" i="16" s="1"/>
  <c r="AC127" i="16" s="1"/>
  <c r="AC126" i="16" s="1"/>
  <c r="AC125" i="16" s="1"/>
  <c r="AC124" i="16" s="1"/>
  <c r="AC123" i="16" s="1"/>
  <c r="AC122" i="16" s="1"/>
  <c r="AC121" i="16" s="1"/>
  <c r="AC120" i="16" s="1"/>
  <c r="AC119" i="16" s="1"/>
  <c r="AC118" i="16" s="1"/>
  <c r="AC117" i="16" s="1"/>
  <c r="AC116" i="16" s="1"/>
  <c r="AC115" i="16" s="1"/>
  <c r="AC114" i="16" s="1"/>
  <c r="AC113" i="16" s="1"/>
  <c r="AC112" i="16" s="1"/>
  <c r="AC111" i="16" s="1"/>
  <c r="AC110" i="16" s="1"/>
  <c r="AC109" i="16" s="1"/>
  <c r="AC108" i="16" s="1"/>
  <c r="AC107" i="16" s="1"/>
  <c r="AC106" i="16" s="1"/>
  <c r="AC105" i="16" s="1"/>
  <c r="AC104" i="16" s="1"/>
  <c r="AC103" i="16" s="1"/>
  <c r="AC102" i="16" s="1"/>
  <c r="AC101" i="16" s="1"/>
  <c r="AC100" i="16" s="1"/>
  <c r="AC99" i="16" s="1"/>
  <c r="AC98" i="16" s="1"/>
  <c r="AC97" i="16" s="1"/>
  <c r="AC96" i="16" s="1"/>
  <c r="AC95" i="16" s="1"/>
  <c r="AC94" i="16" s="1"/>
  <c r="AC93" i="16" s="1"/>
  <c r="AC92" i="16" s="1"/>
  <c r="AC91" i="16" s="1"/>
  <c r="AC90" i="16" s="1"/>
  <c r="AC89" i="16" s="1"/>
  <c r="AC88" i="16" s="1"/>
  <c r="AC87" i="16" s="1"/>
  <c r="AC86" i="16" s="1"/>
  <c r="AC85" i="16" s="1"/>
  <c r="AC84" i="16" s="1"/>
  <c r="AC83" i="16" s="1"/>
  <c r="AC82" i="16" s="1"/>
  <c r="AC81" i="16" s="1"/>
  <c r="AC80" i="16" s="1"/>
  <c r="AC79" i="16" s="1"/>
  <c r="AC78" i="16" s="1"/>
  <c r="AC77" i="16" s="1"/>
  <c r="AC76" i="16" s="1"/>
  <c r="AC75" i="16" s="1"/>
  <c r="AC74" i="16" s="1"/>
  <c r="AC73" i="16" s="1"/>
  <c r="AC72" i="16" s="1"/>
  <c r="AC71" i="16" s="1"/>
  <c r="AC70" i="16" s="1"/>
  <c r="AC69" i="16" s="1"/>
  <c r="AC68" i="16" s="1"/>
  <c r="AC67" i="16" s="1"/>
  <c r="AC66" i="16" s="1"/>
  <c r="AC65" i="16" s="1"/>
  <c r="AC64" i="16" s="1"/>
  <c r="AC63" i="16" s="1"/>
  <c r="AC62" i="16" s="1"/>
  <c r="AC61" i="16" s="1"/>
  <c r="AC60" i="16" s="1"/>
  <c r="AC59" i="16" s="1"/>
  <c r="AC58" i="16" s="1"/>
  <c r="AC57" i="16" s="1"/>
  <c r="AC56" i="16" s="1"/>
  <c r="AC55" i="16" s="1"/>
  <c r="AC54" i="16" s="1"/>
  <c r="AC53" i="16" s="1"/>
  <c r="AC52" i="16" s="1"/>
  <c r="AC51" i="16" s="1"/>
  <c r="AC50" i="16" s="1"/>
  <c r="AC49" i="16" s="1"/>
  <c r="AC48" i="16" s="1"/>
  <c r="AC47" i="16" s="1"/>
  <c r="AC46" i="16" s="1"/>
  <c r="AC45" i="16" s="1"/>
  <c r="AC44" i="16" s="1"/>
  <c r="AC43" i="16" s="1"/>
  <c r="AC42" i="16" s="1"/>
  <c r="AC41" i="16" s="1"/>
  <c r="AC40" i="16" s="1"/>
  <c r="AC39" i="16" s="1"/>
  <c r="AC38" i="16" s="1"/>
  <c r="AC37" i="16" s="1"/>
  <c r="AC36" i="16" s="1"/>
  <c r="AC35" i="16" s="1"/>
  <c r="AC34" i="16" s="1"/>
  <c r="AC33" i="16" s="1"/>
  <c r="AC32" i="16" s="1"/>
  <c r="AC31" i="16" s="1"/>
  <c r="AC30" i="16" s="1"/>
  <c r="AC29" i="16" s="1"/>
  <c r="AC28" i="16" s="1"/>
  <c r="AC27" i="16" s="1"/>
  <c r="AC26" i="16" s="1"/>
  <c r="AC25" i="16" s="1"/>
  <c r="AC24" i="16" s="1"/>
  <c r="AC23" i="16" s="1"/>
  <c r="AC22" i="16" s="1"/>
  <c r="AC21" i="16" s="1"/>
  <c r="AC20" i="16" s="1"/>
  <c r="AC19" i="16" s="1"/>
  <c r="AC18" i="16" s="1"/>
  <c r="AC17" i="16" s="1"/>
  <c r="AC16" i="16" s="1"/>
  <c r="AC15" i="16" s="1"/>
  <c r="AC14" i="16" s="1"/>
  <c r="AC13" i="16" s="1"/>
  <c r="AC12" i="16" s="1"/>
  <c r="AC11" i="16" s="1"/>
  <c r="AC10" i="16" s="1"/>
  <c r="AC9" i="16" s="1"/>
  <c r="AC8" i="16" s="1"/>
  <c r="AC7" i="16" s="1"/>
  <c r="AC6" i="16" s="1"/>
  <c r="AC5" i="16" s="1"/>
  <c r="AC4" i="16" s="1"/>
  <c r="AC3" i="16" s="1"/>
  <c r="AF363" i="16"/>
  <c r="AA363" i="16"/>
  <c r="X362" i="16"/>
  <c r="X361" i="16" s="1"/>
  <c r="X360" i="16" s="1"/>
  <c r="X359" i="16" s="1"/>
  <c r="X358" i="16" s="1"/>
  <c r="X357" i="16" s="1"/>
  <c r="X356" i="16" s="1"/>
  <c r="X355" i="16" s="1"/>
  <c r="X354" i="16" s="1"/>
  <c r="X353" i="16" s="1"/>
  <c r="X352" i="16" s="1"/>
  <c r="X351" i="16" s="1"/>
  <c r="X350" i="16" s="1"/>
  <c r="X349" i="16" s="1"/>
  <c r="X348" i="16" s="1"/>
  <c r="X347" i="16" s="1"/>
  <c r="X346" i="16" s="1"/>
  <c r="X345" i="16" s="1"/>
  <c r="X344" i="16" s="1"/>
  <c r="X343" i="16" s="1"/>
  <c r="X342" i="16" s="1"/>
  <c r="X341" i="16" s="1"/>
  <c r="X340" i="16" s="1"/>
  <c r="X339" i="16" s="1"/>
  <c r="X338" i="16" s="1"/>
  <c r="X337" i="16" s="1"/>
  <c r="X336" i="16" s="1"/>
  <c r="X335" i="16" s="1"/>
  <c r="X334" i="16" s="1"/>
  <c r="X333" i="16" s="1"/>
  <c r="X332" i="16" s="1"/>
  <c r="X331" i="16" s="1"/>
  <c r="X330" i="16" s="1"/>
  <c r="X329" i="16" s="1"/>
  <c r="X328" i="16" s="1"/>
  <c r="X327" i="16" s="1"/>
  <c r="X326" i="16" s="1"/>
  <c r="X325" i="16" s="1"/>
  <c r="X324" i="16" s="1"/>
  <c r="X323" i="16" s="1"/>
  <c r="X322" i="16" s="1"/>
  <c r="X321" i="16" s="1"/>
  <c r="X320" i="16" s="1"/>
  <c r="X319" i="16" s="1"/>
  <c r="X318" i="16" s="1"/>
  <c r="X317" i="16" s="1"/>
  <c r="X316" i="16" s="1"/>
  <c r="X315" i="16" s="1"/>
  <c r="X314" i="16" s="1"/>
  <c r="X313" i="16" s="1"/>
  <c r="X312" i="16" s="1"/>
  <c r="X311" i="16" s="1"/>
  <c r="X310" i="16" s="1"/>
  <c r="X309" i="16" s="1"/>
  <c r="X308" i="16" s="1"/>
  <c r="X307" i="16" s="1"/>
  <c r="X306" i="16" s="1"/>
  <c r="X305" i="16" s="1"/>
  <c r="X304" i="16" s="1"/>
  <c r="X303" i="16" s="1"/>
  <c r="X302" i="16" s="1"/>
  <c r="X301" i="16" s="1"/>
  <c r="X300" i="16" s="1"/>
  <c r="X299" i="16" s="1"/>
  <c r="X298" i="16" s="1"/>
  <c r="X297" i="16" s="1"/>
  <c r="X296" i="16" s="1"/>
  <c r="X295" i="16" s="1"/>
  <c r="X294" i="16" s="1"/>
  <c r="X293" i="16" s="1"/>
  <c r="X292" i="16" s="1"/>
  <c r="X291" i="16" s="1"/>
  <c r="X290" i="16" s="1"/>
  <c r="X289" i="16" s="1"/>
  <c r="X288" i="16" s="1"/>
  <c r="X287" i="16" s="1"/>
  <c r="X286" i="16" s="1"/>
  <c r="X285" i="16" s="1"/>
  <c r="X284" i="16" s="1"/>
  <c r="X283" i="16" s="1"/>
  <c r="X282" i="16" s="1"/>
  <c r="X281" i="16" s="1"/>
  <c r="X280" i="16" s="1"/>
  <c r="X279" i="16" s="1"/>
  <c r="X278" i="16" s="1"/>
  <c r="X277" i="16" s="1"/>
  <c r="X276" i="16" s="1"/>
  <c r="X275" i="16" s="1"/>
  <c r="X274" i="16" s="1"/>
  <c r="X273" i="16" s="1"/>
  <c r="X272" i="16" s="1"/>
  <c r="X271" i="16" s="1"/>
  <c r="X270" i="16" s="1"/>
  <c r="X269" i="16" s="1"/>
  <c r="X268" i="16" s="1"/>
  <c r="X267" i="16" s="1"/>
  <c r="X266" i="16" s="1"/>
  <c r="X265" i="16" s="1"/>
  <c r="X264" i="16" s="1"/>
  <c r="X263" i="16" s="1"/>
  <c r="X262" i="16" s="1"/>
  <c r="X261" i="16" s="1"/>
  <c r="X260" i="16" s="1"/>
  <c r="X259" i="16" s="1"/>
  <c r="X258" i="16" s="1"/>
  <c r="X257" i="16" s="1"/>
  <c r="X256" i="16" s="1"/>
  <c r="X255" i="16" s="1"/>
  <c r="X254" i="16" s="1"/>
  <c r="X253" i="16" s="1"/>
  <c r="X252" i="16" s="1"/>
  <c r="X251" i="16" s="1"/>
  <c r="X250" i="16" s="1"/>
  <c r="X249" i="16" s="1"/>
  <c r="X248" i="16" s="1"/>
  <c r="X247" i="16" s="1"/>
  <c r="X246" i="16" s="1"/>
  <c r="X245" i="16" s="1"/>
  <c r="X244" i="16" s="1"/>
  <c r="X243" i="16" s="1"/>
  <c r="X242" i="16" s="1"/>
  <c r="X241" i="16" s="1"/>
  <c r="X240" i="16" s="1"/>
  <c r="X239" i="16" s="1"/>
  <c r="X238" i="16" s="1"/>
  <c r="X237" i="16" s="1"/>
  <c r="X236" i="16" s="1"/>
  <c r="X235" i="16" s="1"/>
  <c r="X234" i="16" s="1"/>
  <c r="X233" i="16" s="1"/>
  <c r="X232" i="16" s="1"/>
  <c r="X231" i="16" s="1"/>
  <c r="X230" i="16" s="1"/>
  <c r="X229" i="16" s="1"/>
  <c r="X228" i="16" s="1"/>
  <c r="X227" i="16" s="1"/>
  <c r="X226" i="16" s="1"/>
  <c r="X225" i="16" s="1"/>
  <c r="X224" i="16" s="1"/>
  <c r="X223" i="16" s="1"/>
  <c r="X222" i="16" s="1"/>
  <c r="X221" i="16" s="1"/>
  <c r="X220" i="16" s="1"/>
  <c r="X219" i="16" s="1"/>
  <c r="X218" i="16" s="1"/>
  <c r="X217" i="16" s="1"/>
  <c r="X216" i="16" s="1"/>
  <c r="X215" i="16" s="1"/>
  <c r="X214" i="16" s="1"/>
  <c r="X213" i="16" s="1"/>
  <c r="X212" i="16" s="1"/>
  <c r="X211" i="16" s="1"/>
  <c r="X210" i="16" s="1"/>
  <c r="X209" i="16" s="1"/>
  <c r="X208" i="16" s="1"/>
  <c r="X207" i="16" s="1"/>
  <c r="X206" i="16" s="1"/>
  <c r="X205" i="16" s="1"/>
  <c r="X204" i="16" s="1"/>
  <c r="X203" i="16" s="1"/>
  <c r="X202" i="16" s="1"/>
  <c r="X201" i="16" s="1"/>
  <c r="X200" i="16" s="1"/>
  <c r="X199" i="16" s="1"/>
  <c r="X198" i="16" s="1"/>
  <c r="X197" i="16" s="1"/>
  <c r="X196" i="16" s="1"/>
  <c r="X195" i="16" s="1"/>
  <c r="X194" i="16" s="1"/>
  <c r="X193" i="16" s="1"/>
  <c r="X192" i="16" s="1"/>
  <c r="X191" i="16" s="1"/>
  <c r="X190" i="16" s="1"/>
  <c r="X189" i="16" s="1"/>
  <c r="X188" i="16" s="1"/>
  <c r="X187" i="16" s="1"/>
  <c r="X186" i="16" s="1"/>
  <c r="X185" i="16" s="1"/>
  <c r="X184" i="16" s="1"/>
  <c r="X183" i="16" s="1"/>
  <c r="X182" i="16" s="1"/>
  <c r="X181" i="16" s="1"/>
  <c r="X180" i="16" s="1"/>
  <c r="X179" i="16" s="1"/>
  <c r="X178" i="16" s="1"/>
  <c r="X177" i="16" s="1"/>
  <c r="X176" i="16" s="1"/>
  <c r="X175" i="16" s="1"/>
  <c r="X174" i="16" s="1"/>
  <c r="X173" i="16" s="1"/>
  <c r="X172" i="16" s="1"/>
  <c r="X171" i="16" s="1"/>
  <c r="X170" i="16" s="1"/>
  <c r="X169" i="16" s="1"/>
  <c r="X168" i="16" s="1"/>
  <c r="X167" i="16" s="1"/>
  <c r="X166" i="16" s="1"/>
  <c r="X165" i="16" s="1"/>
  <c r="X164" i="16" s="1"/>
  <c r="X163" i="16" s="1"/>
  <c r="X162" i="16" s="1"/>
  <c r="X161" i="16" s="1"/>
  <c r="X160" i="16" s="1"/>
  <c r="X159" i="16" s="1"/>
  <c r="X158" i="16" s="1"/>
  <c r="X157" i="16" s="1"/>
  <c r="X156" i="16" s="1"/>
  <c r="X155" i="16" s="1"/>
  <c r="X154" i="16" s="1"/>
  <c r="X153" i="16" s="1"/>
  <c r="X152" i="16" s="1"/>
  <c r="X151" i="16" s="1"/>
  <c r="X150" i="16" s="1"/>
  <c r="X149" i="16" s="1"/>
  <c r="X148" i="16" s="1"/>
  <c r="X147" i="16" s="1"/>
  <c r="X146" i="16" s="1"/>
  <c r="X145" i="16" s="1"/>
  <c r="X144" i="16" s="1"/>
  <c r="X143" i="16" s="1"/>
  <c r="X142" i="16" s="1"/>
  <c r="X141" i="16" s="1"/>
  <c r="X140" i="16" s="1"/>
  <c r="X139" i="16" s="1"/>
  <c r="X138" i="16" s="1"/>
  <c r="X137" i="16" s="1"/>
  <c r="X136" i="16" s="1"/>
  <c r="X135" i="16" s="1"/>
  <c r="X134" i="16" s="1"/>
  <c r="X133" i="16" s="1"/>
  <c r="X132" i="16" s="1"/>
  <c r="X131" i="16" s="1"/>
  <c r="X130" i="16" s="1"/>
  <c r="X129" i="16" s="1"/>
  <c r="X128" i="16" s="1"/>
  <c r="X127" i="16" s="1"/>
  <c r="X126" i="16" s="1"/>
  <c r="X125" i="16" s="1"/>
  <c r="X124" i="16" s="1"/>
  <c r="X123" i="16" s="1"/>
  <c r="X122" i="16" s="1"/>
  <c r="X121" i="16" s="1"/>
  <c r="X120" i="16" s="1"/>
  <c r="X119" i="16" s="1"/>
  <c r="X118" i="16" s="1"/>
  <c r="X117" i="16" s="1"/>
  <c r="X116" i="16" s="1"/>
  <c r="X115" i="16" s="1"/>
  <c r="X114" i="16" s="1"/>
  <c r="X113" i="16" s="1"/>
  <c r="X112" i="16" s="1"/>
  <c r="X111" i="16" s="1"/>
  <c r="X110" i="16" s="1"/>
  <c r="X109" i="16" s="1"/>
  <c r="X108" i="16" s="1"/>
  <c r="X107" i="16" s="1"/>
  <c r="X106" i="16" s="1"/>
  <c r="X105" i="16" s="1"/>
  <c r="X104" i="16" s="1"/>
  <c r="X103" i="16" s="1"/>
  <c r="X102" i="16" s="1"/>
  <c r="X101" i="16" s="1"/>
  <c r="X100" i="16" s="1"/>
  <c r="X99" i="16" s="1"/>
  <c r="X98" i="16" s="1"/>
  <c r="X97" i="16" s="1"/>
  <c r="X96" i="16" s="1"/>
  <c r="X95" i="16" s="1"/>
  <c r="X94" i="16" s="1"/>
  <c r="X93" i="16" s="1"/>
  <c r="X92" i="16" s="1"/>
  <c r="X91" i="16" s="1"/>
  <c r="X90" i="16" s="1"/>
  <c r="X89" i="16" s="1"/>
  <c r="X88" i="16" s="1"/>
  <c r="X87" i="16" s="1"/>
  <c r="X86" i="16" s="1"/>
  <c r="X85" i="16" s="1"/>
  <c r="X84" i="16" s="1"/>
  <c r="X83" i="16" s="1"/>
  <c r="X82" i="16" s="1"/>
  <c r="X81" i="16" s="1"/>
  <c r="X80" i="16" s="1"/>
  <c r="X79" i="16" s="1"/>
  <c r="X78" i="16" s="1"/>
  <c r="X77" i="16" s="1"/>
  <c r="X76" i="16" s="1"/>
  <c r="X75" i="16" s="1"/>
  <c r="X74" i="16" s="1"/>
  <c r="X73" i="16" s="1"/>
  <c r="X72" i="16" s="1"/>
  <c r="X71" i="16" s="1"/>
  <c r="X70" i="16" s="1"/>
  <c r="X69" i="16" s="1"/>
  <c r="X68" i="16" s="1"/>
  <c r="X67" i="16" s="1"/>
  <c r="X66" i="16" s="1"/>
  <c r="X65" i="16" s="1"/>
  <c r="X64" i="16" s="1"/>
  <c r="X63" i="16" s="1"/>
  <c r="X62" i="16" s="1"/>
  <c r="X61" i="16" s="1"/>
  <c r="X60" i="16" s="1"/>
  <c r="X59" i="16" s="1"/>
  <c r="X58" i="16" s="1"/>
  <c r="X57" i="16" s="1"/>
  <c r="X56" i="16" s="1"/>
  <c r="X55" i="16" s="1"/>
  <c r="X54" i="16" s="1"/>
  <c r="X53" i="16" s="1"/>
  <c r="X52" i="16" s="1"/>
  <c r="X51" i="16" s="1"/>
  <c r="X50" i="16" s="1"/>
  <c r="X49" i="16" s="1"/>
  <c r="X48" i="16" s="1"/>
  <c r="X47" i="16" s="1"/>
  <c r="X46" i="16" s="1"/>
  <c r="X45" i="16" s="1"/>
  <c r="X44" i="16" s="1"/>
  <c r="X43" i="16" s="1"/>
  <c r="X42" i="16" s="1"/>
  <c r="X41" i="16" s="1"/>
  <c r="X40" i="16" s="1"/>
  <c r="X39" i="16" s="1"/>
  <c r="X38" i="16" s="1"/>
  <c r="X37" i="16" s="1"/>
  <c r="X36" i="16" s="1"/>
  <c r="X35" i="16" s="1"/>
  <c r="X34" i="16" s="1"/>
  <c r="X33" i="16" s="1"/>
  <c r="X32" i="16" s="1"/>
  <c r="X31" i="16" s="1"/>
  <c r="X30" i="16" s="1"/>
  <c r="X29" i="16" s="1"/>
  <c r="X28" i="16" s="1"/>
  <c r="X27" i="16" s="1"/>
  <c r="X26" i="16" s="1"/>
  <c r="X25" i="16" s="1"/>
  <c r="X24" i="16" s="1"/>
  <c r="X23" i="16" s="1"/>
  <c r="X22" i="16" s="1"/>
  <c r="X21" i="16" s="1"/>
  <c r="X20" i="16" s="1"/>
  <c r="X19" i="16" s="1"/>
  <c r="X18" i="16" s="1"/>
  <c r="X17" i="16" s="1"/>
  <c r="X16" i="16" s="1"/>
  <c r="X15" i="16" s="1"/>
  <c r="X14" i="16" s="1"/>
  <c r="X13" i="16" s="1"/>
  <c r="X12" i="16" s="1"/>
  <c r="X11" i="16" s="1"/>
  <c r="X10" i="16" s="1"/>
  <c r="X9" i="16" s="1"/>
  <c r="X8" i="16" s="1"/>
  <c r="X7" i="16" s="1"/>
  <c r="X6" i="16" s="1"/>
  <c r="X5" i="16" s="1"/>
  <c r="X4" i="16" s="1"/>
  <c r="X3" i="16" s="1"/>
  <c r="Y363" i="13"/>
  <c r="V362" i="13"/>
  <c r="V361" i="13" s="1"/>
  <c r="V360" i="13" s="1"/>
  <c r="V359" i="13" s="1"/>
  <c r="V358" i="13" s="1"/>
  <c r="V357" i="13" s="1"/>
  <c r="V356" i="13" s="1"/>
  <c r="V355" i="13" s="1"/>
  <c r="V354" i="13" s="1"/>
  <c r="V353" i="13" s="1"/>
  <c r="V352" i="13" s="1"/>
  <c r="V351" i="13" s="1"/>
  <c r="V350" i="13" s="1"/>
  <c r="V349" i="13" s="1"/>
  <c r="V348" i="13" s="1"/>
  <c r="V347" i="13" s="1"/>
  <c r="V346" i="13" s="1"/>
  <c r="V345" i="13" s="1"/>
  <c r="V344" i="13" s="1"/>
  <c r="V343" i="13" s="1"/>
  <c r="V342" i="13" s="1"/>
  <c r="V341" i="13" s="1"/>
  <c r="V340" i="13" s="1"/>
  <c r="V339" i="13" s="1"/>
  <c r="V338" i="13" s="1"/>
  <c r="V337" i="13" s="1"/>
  <c r="V336" i="13" s="1"/>
  <c r="V335" i="13" s="1"/>
  <c r="V334" i="13" s="1"/>
  <c r="V333" i="13" s="1"/>
  <c r="V332" i="13" s="1"/>
  <c r="V331" i="13" s="1"/>
  <c r="V330" i="13" s="1"/>
  <c r="V329" i="13" s="1"/>
  <c r="V328" i="13" s="1"/>
  <c r="V327" i="13" s="1"/>
  <c r="V326" i="13" s="1"/>
  <c r="V325" i="13" s="1"/>
  <c r="V324" i="13" s="1"/>
  <c r="V323" i="13" s="1"/>
  <c r="V322" i="13" s="1"/>
  <c r="V321" i="13" s="1"/>
  <c r="V320" i="13" s="1"/>
  <c r="V319" i="13" s="1"/>
  <c r="V318" i="13" s="1"/>
  <c r="V317" i="13" s="1"/>
  <c r="V316" i="13" s="1"/>
  <c r="V315" i="13" s="1"/>
  <c r="V314" i="13" s="1"/>
  <c r="V313" i="13" s="1"/>
  <c r="V312" i="13" s="1"/>
  <c r="V311" i="13" s="1"/>
  <c r="V310" i="13" s="1"/>
  <c r="V309" i="13" s="1"/>
  <c r="V308" i="13" s="1"/>
  <c r="V307" i="13" s="1"/>
  <c r="V306" i="13" s="1"/>
  <c r="V305" i="13" s="1"/>
  <c r="V304" i="13" s="1"/>
  <c r="V303" i="13" s="1"/>
  <c r="V302" i="13" s="1"/>
  <c r="V301" i="13" s="1"/>
  <c r="V300" i="13" s="1"/>
  <c r="V299" i="13" s="1"/>
  <c r="V298" i="13" s="1"/>
  <c r="V297" i="13" s="1"/>
  <c r="V296" i="13" s="1"/>
  <c r="V295" i="13" s="1"/>
  <c r="V294" i="13" s="1"/>
  <c r="V293" i="13" s="1"/>
  <c r="V292" i="13" s="1"/>
  <c r="V291" i="13" s="1"/>
  <c r="V290" i="13" s="1"/>
  <c r="V289" i="13" s="1"/>
  <c r="V288" i="13" s="1"/>
  <c r="V287" i="13" s="1"/>
  <c r="V286" i="13" s="1"/>
  <c r="V285" i="13" s="1"/>
  <c r="V284" i="13" s="1"/>
  <c r="V283" i="13" s="1"/>
  <c r="V282" i="13" s="1"/>
  <c r="V281" i="13" s="1"/>
  <c r="V280" i="13" s="1"/>
  <c r="V279" i="13" s="1"/>
  <c r="V278" i="13" s="1"/>
  <c r="V277" i="13" s="1"/>
  <c r="V276" i="13" s="1"/>
  <c r="V275" i="13" s="1"/>
  <c r="V274" i="13" s="1"/>
  <c r="V273" i="13" s="1"/>
  <c r="V272" i="13" s="1"/>
  <c r="V271" i="13" s="1"/>
  <c r="V270" i="13" s="1"/>
  <c r="V269" i="13" s="1"/>
  <c r="V268" i="13" s="1"/>
  <c r="V267" i="13" s="1"/>
  <c r="V266" i="13" s="1"/>
  <c r="V265" i="13" s="1"/>
  <c r="V264" i="13" s="1"/>
  <c r="V263" i="13" s="1"/>
  <c r="V262" i="13" s="1"/>
  <c r="V261" i="13" s="1"/>
  <c r="V260" i="13" s="1"/>
  <c r="V259" i="13" s="1"/>
  <c r="V258" i="13" s="1"/>
  <c r="V257" i="13" s="1"/>
  <c r="V256" i="13" s="1"/>
  <c r="V255" i="13" s="1"/>
  <c r="V254" i="13" s="1"/>
  <c r="V253" i="13" s="1"/>
  <c r="V252" i="13" s="1"/>
  <c r="V251" i="13" s="1"/>
  <c r="V250" i="13" s="1"/>
  <c r="V249" i="13" s="1"/>
  <c r="V248" i="13" s="1"/>
  <c r="V247" i="13" s="1"/>
  <c r="V246" i="13" s="1"/>
  <c r="V245" i="13" s="1"/>
  <c r="V244" i="13" s="1"/>
  <c r="V243" i="13" s="1"/>
  <c r="V242" i="13" s="1"/>
  <c r="V241" i="13" s="1"/>
  <c r="V240" i="13" s="1"/>
  <c r="V239" i="13" s="1"/>
  <c r="V238" i="13" s="1"/>
  <c r="V237" i="13" s="1"/>
  <c r="V236" i="13" s="1"/>
  <c r="V235" i="13" s="1"/>
  <c r="V234" i="13" s="1"/>
  <c r="V233" i="13" s="1"/>
  <c r="V232" i="13" s="1"/>
  <c r="V231" i="13" s="1"/>
  <c r="V230" i="13" s="1"/>
  <c r="V229" i="13" s="1"/>
  <c r="V228" i="13" s="1"/>
  <c r="V227" i="13" s="1"/>
  <c r="V226" i="13" s="1"/>
  <c r="V225" i="13" s="1"/>
  <c r="V224" i="13" s="1"/>
  <c r="V223" i="13" s="1"/>
  <c r="V222" i="13" s="1"/>
  <c r="V221" i="13" s="1"/>
  <c r="V220" i="13" s="1"/>
  <c r="V219" i="13" s="1"/>
  <c r="V218" i="13" s="1"/>
  <c r="V217" i="13" s="1"/>
  <c r="V216" i="13" s="1"/>
  <c r="V215" i="13" s="1"/>
  <c r="V214" i="13" s="1"/>
  <c r="V213" i="13" s="1"/>
  <c r="V212" i="13" s="1"/>
  <c r="V211" i="13" s="1"/>
  <c r="V210" i="13" s="1"/>
  <c r="V209" i="13" s="1"/>
  <c r="V208" i="13" s="1"/>
  <c r="V207" i="13" s="1"/>
  <c r="V206" i="13" s="1"/>
  <c r="V205" i="13" s="1"/>
  <c r="V204" i="13" s="1"/>
  <c r="V203" i="13" s="1"/>
  <c r="V202" i="13" s="1"/>
  <c r="V201" i="13" s="1"/>
  <c r="V200" i="13" s="1"/>
  <c r="V199" i="13" s="1"/>
  <c r="V198" i="13" s="1"/>
  <c r="V197" i="13" s="1"/>
  <c r="V196" i="13" s="1"/>
  <c r="V195" i="13" s="1"/>
  <c r="V194" i="13" s="1"/>
  <c r="V193" i="13" s="1"/>
  <c r="V192" i="13" s="1"/>
  <c r="V191" i="13" s="1"/>
  <c r="V190" i="13" s="1"/>
  <c r="V189" i="13" s="1"/>
  <c r="V188" i="13" s="1"/>
  <c r="V187" i="13" s="1"/>
  <c r="V186" i="13" s="1"/>
  <c r="V185" i="13" s="1"/>
  <c r="V184" i="13" s="1"/>
  <c r="V183" i="13" s="1"/>
  <c r="V182" i="13" s="1"/>
  <c r="V181" i="13" s="1"/>
  <c r="V180" i="13" s="1"/>
  <c r="V179" i="13" s="1"/>
  <c r="V178" i="13" s="1"/>
  <c r="V177" i="13" s="1"/>
  <c r="V176" i="13" s="1"/>
  <c r="V175" i="13" s="1"/>
  <c r="V174" i="13" s="1"/>
  <c r="V173" i="13" s="1"/>
  <c r="V172" i="13" s="1"/>
  <c r="V171" i="13" s="1"/>
  <c r="V170" i="13" s="1"/>
  <c r="V169" i="13" s="1"/>
  <c r="V168" i="13" s="1"/>
  <c r="V167" i="13" s="1"/>
  <c r="V166" i="13" s="1"/>
  <c r="V165" i="13" s="1"/>
  <c r="V164" i="13" s="1"/>
  <c r="V163" i="13" s="1"/>
  <c r="V162" i="13" s="1"/>
  <c r="V161" i="13" s="1"/>
  <c r="V160" i="13" s="1"/>
  <c r="V159" i="13" s="1"/>
  <c r="V158" i="13" s="1"/>
  <c r="V157" i="13" s="1"/>
  <c r="V156" i="13" s="1"/>
  <c r="V155" i="13" s="1"/>
  <c r="V154" i="13" s="1"/>
  <c r="V153" i="13" s="1"/>
  <c r="V152" i="13" s="1"/>
  <c r="V151" i="13" s="1"/>
  <c r="V150" i="13" s="1"/>
  <c r="V149" i="13" s="1"/>
  <c r="V148" i="13" s="1"/>
  <c r="V147" i="13" s="1"/>
  <c r="V146" i="13" s="1"/>
  <c r="V145" i="13" s="1"/>
  <c r="V144" i="13" s="1"/>
  <c r="V143" i="13" s="1"/>
  <c r="V142" i="13" s="1"/>
  <c r="V141" i="13" s="1"/>
  <c r="V140" i="13" s="1"/>
  <c r="V139" i="13" s="1"/>
  <c r="V138" i="13" s="1"/>
  <c r="V137" i="13" s="1"/>
  <c r="V136" i="13" s="1"/>
  <c r="V135" i="13" s="1"/>
  <c r="V134" i="13" s="1"/>
  <c r="V133" i="13" s="1"/>
  <c r="V132" i="13" s="1"/>
  <c r="V131" i="13" s="1"/>
  <c r="V130" i="13" s="1"/>
  <c r="V129" i="13" s="1"/>
  <c r="V128" i="13" s="1"/>
  <c r="V127" i="13" s="1"/>
  <c r="V126" i="13" s="1"/>
  <c r="V125" i="13" s="1"/>
  <c r="V124" i="13" s="1"/>
  <c r="V123" i="13" s="1"/>
  <c r="V122" i="13" s="1"/>
  <c r="V121" i="13" s="1"/>
  <c r="V120" i="13" s="1"/>
  <c r="V119" i="13" s="1"/>
  <c r="V118" i="13" s="1"/>
  <c r="V117" i="13" s="1"/>
  <c r="V116" i="13" s="1"/>
  <c r="V115" i="13" s="1"/>
  <c r="V114" i="13" s="1"/>
  <c r="V113" i="13" s="1"/>
  <c r="V112" i="13" s="1"/>
  <c r="V111" i="13" s="1"/>
  <c r="V110" i="13" s="1"/>
  <c r="V109" i="13" s="1"/>
  <c r="V108" i="13" s="1"/>
  <c r="V107" i="13" s="1"/>
  <c r="V106" i="13" s="1"/>
  <c r="V105" i="13" s="1"/>
  <c r="V104" i="13" s="1"/>
  <c r="V103" i="13" s="1"/>
  <c r="V102" i="13" s="1"/>
  <c r="V101" i="13" s="1"/>
  <c r="V100" i="13" s="1"/>
  <c r="V99" i="13" s="1"/>
  <c r="V98" i="13" s="1"/>
  <c r="V97" i="13" s="1"/>
  <c r="V96" i="13" s="1"/>
  <c r="V95" i="13" s="1"/>
  <c r="V94" i="13" s="1"/>
  <c r="V93" i="13" s="1"/>
  <c r="V92" i="13" s="1"/>
  <c r="V91" i="13" s="1"/>
  <c r="V90" i="13" s="1"/>
  <c r="V89" i="13" s="1"/>
  <c r="V88" i="13" s="1"/>
  <c r="V87" i="13" s="1"/>
  <c r="V86" i="13" s="1"/>
  <c r="V85" i="13" s="1"/>
  <c r="V84" i="13" s="1"/>
  <c r="V83" i="13" s="1"/>
  <c r="V82" i="13" s="1"/>
  <c r="V81" i="13" s="1"/>
  <c r="V80" i="13" s="1"/>
  <c r="V79" i="13" s="1"/>
  <c r="V78" i="13" s="1"/>
  <c r="V77" i="13" s="1"/>
  <c r="V76" i="13" s="1"/>
  <c r="V75" i="13" s="1"/>
  <c r="V74" i="13" s="1"/>
  <c r="V73" i="13" s="1"/>
  <c r="V72" i="13" s="1"/>
  <c r="V71" i="13" s="1"/>
  <c r="V70" i="13" s="1"/>
  <c r="V69" i="13" s="1"/>
  <c r="V68" i="13" s="1"/>
  <c r="V67" i="13" s="1"/>
  <c r="V66" i="13" s="1"/>
  <c r="V65" i="13" s="1"/>
  <c r="V64" i="13" s="1"/>
  <c r="V63" i="13" s="1"/>
  <c r="V62" i="13" s="1"/>
  <c r="V61" i="13" s="1"/>
  <c r="V60" i="13" s="1"/>
  <c r="V59" i="13" s="1"/>
  <c r="V58" i="13" s="1"/>
  <c r="V57" i="13" s="1"/>
  <c r="V56" i="13" s="1"/>
  <c r="V55" i="13" s="1"/>
  <c r="V54" i="13" s="1"/>
  <c r="V53" i="13" s="1"/>
  <c r="V52" i="13" s="1"/>
  <c r="V51" i="13" s="1"/>
  <c r="V50" i="13" s="1"/>
  <c r="V49" i="13" s="1"/>
  <c r="V48" i="13" s="1"/>
  <c r="V47" i="13" s="1"/>
  <c r="V46" i="13" s="1"/>
  <c r="V45" i="13" s="1"/>
  <c r="V44" i="13" s="1"/>
  <c r="V43" i="13" s="1"/>
  <c r="V42" i="13" s="1"/>
  <c r="V41" i="13" s="1"/>
  <c r="V40" i="13" s="1"/>
  <c r="V39" i="13" s="1"/>
  <c r="V38" i="13" s="1"/>
  <c r="V37" i="13" s="1"/>
  <c r="V36" i="13" s="1"/>
  <c r="V35" i="13" s="1"/>
  <c r="V34" i="13" s="1"/>
  <c r="V33" i="13" s="1"/>
  <c r="V32" i="13" s="1"/>
  <c r="V31" i="13" s="1"/>
  <c r="V30" i="13" s="1"/>
  <c r="V29" i="13" s="1"/>
  <c r="V28" i="13" s="1"/>
  <c r="V27" i="13" s="1"/>
  <c r="V26" i="13" s="1"/>
  <c r="V25" i="13" s="1"/>
  <c r="V24" i="13" s="1"/>
  <c r="V23" i="13" s="1"/>
  <c r="V22" i="13" s="1"/>
  <c r="V21" i="13" s="1"/>
  <c r="V20" i="13" s="1"/>
  <c r="V19" i="13" s="1"/>
  <c r="V18" i="13" s="1"/>
  <c r="V17" i="13" s="1"/>
  <c r="V16" i="13" s="1"/>
  <c r="V15" i="13" s="1"/>
  <c r="V14" i="13" s="1"/>
  <c r="V13" i="13" s="1"/>
  <c r="V12" i="13" s="1"/>
  <c r="V11" i="13" s="1"/>
  <c r="V10" i="13" s="1"/>
  <c r="V9" i="13" s="1"/>
  <c r="V8" i="13" s="1"/>
  <c r="V7" i="13" s="1"/>
  <c r="V6" i="13" s="1"/>
  <c r="V5" i="13" s="1"/>
  <c r="V4" i="13" s="1"/>
  <c r="V3" i="13" s="1"/>
  <c r="AC362" i="13"/>
  <c r="AC361" i="13" s="1"/>
  <c r="AC360" i="13" s="1"/>
  <c r="AC359" i="13" s="1"/>
  <c r="AC358" i="13" s="1"/>
  <c r="AC357" i="13" s="1"/>
  <c r="AC356" i="13" s="1"/>
  <c r="AC355" i="13" s="1"/>
  <c r="AC354" i="13" s="1"/>
  <c r="AC353" i="13" s="1"/>
  <c r="AC352" i="13" s="1"/>
  <c r="AC351" i="13" s="1"/>
  <c r="AC350" i="13" s="1"/>
  <c r="AC349" i="13" s="1"/>
  <c r="AC348" i="13" s="1"/>
  <c r="AC347" i="13" s="1"/>
  <c r="AC346" i="13" s="1"/>
  <c r="AC345" i="13" s="1"/>
  <c r="AC344" i="13" s="1"/>
  <c r="AC343" i="13" s="1"/>
  <c r="AC342" i="13" s="1"/>
  <c r="AC341" i="13" s="1"/>
  <c r="AC340" i="13" s="1"/>
  <c r="AC339" i="13" s="1"/>
  <c r="AC338" i="13" s="1"/>
  <c r="AC337" i="13" s="1"/>
  <c r="AC336" i="13" s="1"/>
  <c r="AC335" i="13" s="1"/>
  <c r="AC334" i="13" s="1"/>
  <c r="AC333" i="13" s="1"/>
  <c r="AC332" i="13" s="1"/>
  <c r="AC331" i="13" s="1"/>
  <c r="AC330" i="13" s="1"/>
  <c r="AC329" i="13" s="1"/>
  <c r="AC328" i="13" s="1"/>
  <c r="AC327" i="13" s="1"/>
  <c r="AC326" i="13" s="1"/>
  <c r="AC325" i="13" s="1"/>
  <c r="AC324" i="13" s="1"/>
  <c r="AC323" i="13" s="1"/>
  <c r="AC322" i="13" s="1"/>
  <c r="AC321" i="13" s="1"/>
  <c r="AC320" i="13" s="1"/>
  <c r="AC319" i="13" s="1"/>
  <c r="AC318" i="13" s="1"/>
  <c r="AC317" i="13" s="1"/>
  <c r="AC316" i="13" s="1"/>
  <c r="AC315" i="13" s="1"/>
  <c r="AC314" i="13" s="1"/>
  <c r="AC313" i="13" s="1"/>
  <c r="AC312" i="13" s="1"/>
  <c r="AC311" i="13" s="1"/>
  <c r="AC310" i="13" s="1"/>
  <c r="AC309" i="13" s="1"/>
  <c r="AC308" i="13" s="1"/>
  <c r="AC307" i="13" s="1"/>
  <c r="AC306" i="13" s="1"/>
  <c r="AC305" i="13" s="1"/>
  <c r="AC304" i="13" s="1"/>
  <c r="AC303" i="13" s="1"/>
  <c r="AC302" i="13" s="1"/>
  <c r="AC301" i="13" s="1"/>
  <c r="AC300" i="13" s="1"/>
  <c r="AC299" i="13" s="1"/>
  <c r="AC298" i="13" s="1"/>
  <c r="AC297" i="13" s="1"/>
  <c r="AC296" i="13" s="1"/>
  <c r="AC295" i="13" s="1"/>
  <c r="AC294" i="13" s="1"/>
  <c r="AC293" i="13" s="1"/>
  <c r="AC292" i="13" s="1"/>
  <c r="AC291" i="13" s="1"/>
  <c r="AC290" i="13" s="1"/>
  <c r="AC289" i="13" s="1"/>
  <c r="AC288" i="13" s="1"/>
  <c r="AC287" i="13" s="1"/>
  <c r="AC286" i="13" s="1"/>
  <c r="AC285" i="13" s="1"/>
  <c r="AC284" i="13" s="1"/>
  <c r="AC283" i="13" s="1"/>
  <c r="AC282" i="13" s="1"/>
  <c r="AC281" i="13" s="1"/>
  <c r="AC280" i="13" s="1"/>
  <c r="AC279" i="13" s="1"/>
  <c r="AC278" i="13" s="1"/>
  <c r="AC277" i="13" s="1"/>
  <c r="AC276" i="13" s="1"/>
  <c r="AC275" i="13" s="1"/>
  <c r="AC274" i="13" s="1"/>
  <c r="AC273" i="13" s="1"/>
  <c r="AC272" i="13" s="1"/>
  <c r="AC271" i="13" s="1"/>
  <c r="AC270" i="13" s="1"/>
  <c r="AC269" i="13" s="1"/>
  <c r="AC268" i="13" s="1"/>
  <c r="AC267" i="13" s="1"/>
  <c r="AC266" i="13" s="1"/>
  <c r="AC265" i="13" s="1"/>
  <c r="AC264" i="13" s="1"/>
  <c r="AC263" i="13" s="1"/>
  <c r="AC262" i="13" s="1"/>
  <c r="AC261" i="13" s="1"/>
  <c r="AC260" i="13" s="1"/>
  <c r="AC259" i="13" s="1"/>
  <c r="AC258" i="13" s="1"/>
  <c r="AC257" i="13" s="1"/>
  <c r="AC256" i="13" s="1"/>
  <c r="AC255" i="13" s="1"/>
  <c r="AC254" i="13" s="1"/>
  <c r="AC253" i="13" s="1"/>
  <c r="AC252" i="13" s="1"/>
  <c r="AC251" i="13" s="1"/>
  <c r="AC250" i="13" s="1"/>
  <c r="AC249" i="13" s="1"/>
  <c r="AC248" i="13" s="1"/>
  <c r="AC247" i="13" s="1"/>
  <c r="AC246" i="13" s="1"/>
  <c r="AC245" i="13" s="1"/>
  <c r="AC244" i="13" s="1"/>
  <c r="AC243" i="13" s="1"/>
  <c r="AC242" i="13" s="1"/>
  <c r="AC241" i="13" s="1"/>
  <c r="AC240" i="13" s="1"/>
  <c r="AC239" i="13" s="1"/>
  <c r="AC238" i="13" s="1"/>
  <c r="AC237" i="13" s="1"/>
  <c r="AC236" i="13" s="1"/>
  <c r="AC235" i="13" s="1"/>
  <c r="AC234" i="13" s="1"/>
  <c r="AC233" i="13" s="1"/>
  <c r="AC232" i="13" s="1"/>
  <c r="AC231" i="13" s="1"/>
  <c r="AC230" i="13" s="1"/>
  <c r="AC229" i="13" s="1"/>
  <c r="AC228" i="13" s="1"/>
  <c r="AC227" i="13" s="1"/>
  <c r="AC226" i="13" s="1"/>
  <c r="AC225" i="13" s="1"/>
  <c r="AC224" i="13" s="1"/>
  <c r="AC223" i="13" s="1"/>
  <c r="AC222" i="13" s="1"/>
  <c r="AC221" i="13" s="1"/>
  <c r="AC220" i="13" s="1"/>
  <c r="AC219" i="13" s="1"/>
  <c r="AC218" i="13" s="1"/>
  <c r="AC217" i="13" s="1"/>
  <c r="AC216" i="13" s="1"/>
  <c r="AC215" i="13" s="1"/>
  <c r="AC214" i="13" s="1"/>
  <c r="AC213" i="13" s="1"/>
  <c r="AC212" i="13" s="1"/>
  <c r="AC211" i="13" s="1"/>
  <c r="AC210" i="13" s="1"/>
  <c r="AC209" i="13" s="1"/>
  <c r="AC208" i="13" s="1"/>
  <c r="AC207" i="13" s="1"/>
  <c r="AC206" i="13" s="1"/>
  <c r="AC205" i="13" s="1"/>
  <c r="AC204" i="13" s="1"/>
  <c r="AC203" i="13" s="1"/>
  <c r="AC202" i="13" s="1"/>
  <c r="AC201" i="13" s="1"/>
  <c r="AC200" i="13" s="1"/>
  <c r="AC199" i="13" s="1"/>
  <c r="AC198" i="13" s="1"/>
  <c r="AC197" i="13" s="1"/>
  <c r="AC196" i="13" s="1"/>
  <c r="AC195" i="13" s="1"/>
  <c r="AC194" i="13" s="1"/>
  <c r="AC193" i="13" s="1"/>
  <c r="AC192" i="13" s="1"/>
  <c r="AC191" i="13" s="1"/>
  <c r="AC190" i="13" s="1"/>
  <c r="AC189" i="13" s="1"/>
  <c r="AC188" i="13" s="1"/>
  <c r="AC187" i="13" s="1"/>
  <c r="AC186" i="13" s="1"/>
  <c r="AC185" i="13" s="1"/>
  <c r="AC184" i="13" s="1"/>
  <c r="AC183" i="13" s="1"/>
  <c r="AC182" i="13" s="1"/>
  <c r="AC181" i="13" s="1"/>
  <c r="AC180" i="13" s="1"/>
  <c r="AC179" i="13" s="1"/>
  <c r="AC178" i="13" s="1"/>
  <c r="AC177" i="13" s="1"/>
  <c r="AC176" i="13" s="1"/>
  <c r="AC175" i="13" s="1"/>
  <c r="AC174" i="13" s="1"/>
  <c r="AC173" i="13" s="1"/>
  <c r="AC172" i="13" s="1"/>
  <c r="AC171" i="13" s="1"/>
  <c r="AC170" i="13" s="1"/>
  <c r="AC169" i="13" s="1"/>
  <c r="AC168" i="13" s="1"/>
  <c r="AC167" i="13" s="1"/>
  <c r="AC166" i="13" s="1"/>
  <c r="AC165" i="13" s="1"/>
  <c r="AC164" i="13" s="1"/>
  <c r="AC163" i="13" s="1"/>
  <c r="AC162" i="13" s="1"/>
  <c r="AC161" i="13" s="1"/>
  <c r="AC160" i="13" s="1"/>
  <c r="AC159" i="13" s="1"/>
  <c r="AC158" i="13" s="1"/>
  <c r="AC157" i="13" s="1"/>
  <c r="AC156" i="13" s="1"/>
  <c r="AC155" i="13" s="1"/>
  <c r="AC154" i="13" s="1"/>
  <c r="AC153" i="13" s="1"/>
  <c r="AC152" i="13" s="1"/>
  <c r="AC151" i="13" s="1"/>
  <c r="AC150" i="13" s="1"/>
  <c r="AC149" i="13" s="1"/>
  <c r="AC148" i="13" s="1"/>
  <c r="AC147" i="13" s="1"/>
  <c r="AC146" i="13" s="1"/>
  <c r="AC145" i="13" s="1"/>
  <c r="AC144" i="13" s="1"/>
  <c r="AC143" i="13" s="1"/>
  <c r="AC142" i="13" s="1"/>
  <c r="AC141" i="13" s="1"/>
  <c r="AC140" i="13" s="1"/>
  <c r="AC139" i="13" s="1"/>
  <c r="AC138" i="13" s="1"/>
  <c r="AC137" i="13" s="1"/>
  <c r="AC136" i="13" s="1"/>
  <c r="AC135" i="13" s="1"/>
  <c r="AC134" i="13" s="1"/>
  <c r="AC133" i="13" s="1"/>
  <c r="AC132" i="13" s="1"/>
  <c r="AC131" i="13" s="1"/>
  <c r="AC130" i="13" s="1"/>
  <c r="AC129" i="13" s="1"/>
  <c r="AC128" i="13" s="1"/>
  <c r="AC127" i="13" s="1"/>
  <c r="AC126" i="13" s="1"/>
  <c r="AC125" i="13" s="1"/>
  <c r="AC124" i="13" s="1"/>
  <c r="AC123" i="13" s="1"/>
  <c r="AC122" i="13" s="1"/>
  <c r="AC121" i="13" s="1"/>
  <c r="AC120" i="13" s="1"/>
  <c r="AC119" i="13" s="1"/>
  <c r="AC118" i="13" s="1"/>
  <c r="AC117" i="13" s="1"/>
  <c r="AC116" i="13" s="1"/>
  <c r="AC115" i="13" s="1"/>
  <c r="AC114" i="13" s="1"/>
  <c r="AC113" i="13" s="1"/>
  <c r="AC112" i="13" s="1"/>
  <c r="AC111" i="13" s="1"/>
  <c r="AC110" i="13" s="1"/>
  <c r="AC109" i="13" s="1"/>
  <c r="AC108" i="13" s="1"/>
  <c r="AC107" i="13" s="1"/>
  <c r="AC106" i="13" s="1"/>
  <c r="AC105" i="13" s="1"/>
  <c r="AC104" i="13" s="1"/>
  <c r="AC103" i="13" s="1"/>
  <c r="AC102" i="13" s="1"/>
  <c r="AC101" i="13" s="1"/>
  <c r="AC100" i="13" s="1"/>
  <c r="AC99" i="13" s="1"/>
  <c r="AC98" i="13" s="1"/>
  <c r="AC97" i="13" s="1"/>
  <c r="AC96" i="13" s="1"/>
  <c r="AC95" i="13" s="1"/>
  <c r="AC94" i="13" s="1"/>
  <c r="AC93" i="13" s="1"/>
  <c r="AC92" i="13" s="1"/>
  <c r="AC91" i="13" s="1"/>
  <c r="AC90" i="13" s="1"/>
  <c r="AC89" i="13" s="1"/>
  <c r="AC88" i="13" s="1"/>
  <c r="AC87" i="13" s="1"/>
  <c r="AC86" i="13" s="1"/>
  <c r="AC85" i="13" s="1"/>
  <c r="AC84" i="13" s="1"/>
  <c r="AC83" i="13" s="1"/>
  <c r="AC82" i="13" s="1"/>
  <c r="AC81" i="13" s="1"/>
  <c r="AC80" i="13" s="1"/>
  <c r="AC79" i="13" s="1"/>
  <c r="AC78" i="13" s="1"/>
  <c r="AC77" i="13" s="1"/>
  <c r="AC76" i="13" s="1"/>
  <c r="AC75" i="13" s="1"/>
  <c r="AC74" i="13" s="1"/>
  <c r="AC73" i="13" s="1"/>
  <c r="AC72" i="13" s="1"/>
  <c r="AC71" i="13" s="1"/>
  <c r="AC70" i="13" s="1"/>
  <c r="AC69" i="13" s="1"/>
  <c r="AC68" i="13" s="1"/>
  <c r="AC67" i="13" s="1"/>
  <c r="AC66" i="13" s="1"/>
  <c r="AC65" i="13" s="1"/>
  <c r="AC64" i="13" s="1"/>
  <c r="AC63" i="13" s="1"/>
  <c r="AC62" i="13" s="1"/>
  <c r="AC61" i="13" s="1"/>
  <c r="AC60" i="13" s="1"/>
  <c r="AC59" i="13" s="1"/>
  <c r="AC58" i="13" s="1"/>
  <c r="AC57" i="13" s="1"/>
  <c r="AC56" i="13" s="1"/>
  <c r="AC55" i="13" s="1"/>
  <c r="AC54" i="13" s="1"/>
  <c r="AC53" i="13" s="1"/>
  <c r="AC52" i="13" s="1"/>
  <c r="AC51" i="13" s="1"/>
  <c r="AC50" i="13" s="1"/>
  <c r="AC49" i="13" s="1"/>
  <c r="AC48" i="13" s="1"/>
  <c r="AC47" i="13" s="1"/>
  <c r="AC46" i="13" s="1"/>
  <c r="AC45" i="13" s="1"/>
  <c r="AC44" i="13" s="1"/>
  <c r="AC43" i="13" s="1"/>
  <c r="AC42" i="13" s="1"/>
  <c r="AC41" i="13" s="1"/>
  <c r="AC40" i="13" s="1"/>
  <c r="AC39" i="13" s="1"/>
  <c r="AC38" i="13" s="1"/>
  <c r="AC37" i="13" s="1"/>
  <c r="AC36" i="13" s="1"/>
  <c r="AC35" i="13" s="1"/>
  <c r="AC34" i="13" s="1"/>
  <c r="AC33" i="13" s="1"/>
  <c r="AC32" i="13" s="1"/>
  <c r="AC31" i="13" s="1"/>
  <c r="AC30" i="13" s="1"/>
  <c r="AC29" i="13" s="1"/>
  <c r="AC28" i="13" s="1"/>
  <c r="AC27" i="13" s="1"/>
  <c r="AC26" i="13" s="1"/>
  <c r="AC25" i="13" s="1"/>
  <c r="AC24" i="13" s="1"/>
  <c r="AC23" i="13" s="1"/>
  <c r="AC22" i="13" s="1"/>
  <c r="AC21" i="13" s="1"/>
  <c r="AC20" i="13" s="1"/>
  <c r="AC19" i="13" s="1"/>
  <c r="AC18" i="13" s="1"/>
  <c r="AC17" i="13" s="1"/>
  <c r="AC16" i="13" s="1"/>
  <c r="AC15" i="13" s="1"/>
  <c r="AC14" i="13" s="1"/>
  <c r="AC13" i="13" s="1"/>
  <c r="AC12" i="13" s="1"/>
  <c r="AC11" i="13" s="1"/>
  <c r="AC10" i="13" s="1"/>
  <c r="AC9" i="13" s="1"/>
  <c r="AC8" i="13" s="1"/>
  <c r="AC7" i="13" s="1"/>
  <c r="AC6" i="13" s="1"/>
  <c r="AC5" i="13" s="1"/>
  <c r="AC4" i="13" s="1"/>
  <c r="AC3" i="13" s="1"/>
  <c r="AF363" i="13"/>
  <c r="D11" i="12"/>
  <c r="C11" i="12"/>
  <c r="AA363" i="13"/>
  <c r="X362" i="13"/>
  <c r="X361" i="13" s="1"/>
  <c r="X360" i="13" s="1"/>
  <c r="X359" i="13" s="1"/>
  <c r="X358" i="13" s="1"/>
  <c r="X357" i="13" s="1"/>
  <c r="X356" i="13" s="1"/>
  <c r="X355" i="13" s="1"/>
  <c r="X354" i="13" s="1"/>
  <c r="X353" i="13" s="1"/>
  <c r="X352" i="13" s="1"/>
  <c r="X351" i="13" s="1"/>
  <c r="X350" i="13" s="1"/>
  <c r="X349" i="13" s="1"/>
  <c r="X348" i="13" s="1"/>
  <c r="X347" i="13" s="1"/>
  <c r="X346" i="13" s="1"/>
  <c r="X345" i="13" s="1"/>
  <c r="X344" i="13" s="1"/>
  <c r="X343" i="13" s="1"/>
  <c r="X342" i="13" s="1"/>
  <c r="X341" i="13" s="1"/>
  <c r="X340" i="13" s="1"/>
  <c r="X339" i="13" s="1"/>
  <c r="X338" i="13" s="1"/>
  <c r="X337" i="13" s="1"/>
  <c r="X336" i="13" s="1"/>
  <c r="X335" i="13" s="1"/>
  <c r="X334" i="13" s="1"/>
  <c r="X333" i="13" s="1"/>
  <c r="X332" i="13" s="1"/>
  <c r="X331" i="13" s="1"/>
  <c r="X330" i="13" s="1"/>
  <c r="X329" i="13" s="1"/>
  <c r="X328" i="13" s="1"/>
  <c r="X327" i="13" s="1"/>
  <c r="X326" i="13" s="1"/>
  <c r="X325" i="13" s="1"/>
  <c r="X324" i="13" s="1"/>
  <c r="X323" i="13" s="1"/>
  <c r="X322" i="13" s="1"/>
  <c r="X321" i="13" s="1"/>
  <c r="X320" i="13" s="1"/>
  <c r="X319" i="13" s="1"/>
  <c r="X318" i="13" s="1"/>
  <c r="X317" i="13" s="1"/>
  <c r="X316" i="13" s="1"/>
  <c r="X315" i="13" s="1"/>
  <c r="X314" i="13" s="1"/>
  <c r="X313" i="13" s="1"/>
  <c r="X312" i="13" s="1"/>
  <c r="X311" i="13" s="1"/>
  <c r="X310" i="13" s="1"/>
  <c r="X309" i="13" s="1"/>
  <c r="X308" i="13" s="1"/>
  <c r="X307" i="13" s="1"/>
  <c r="X306" i="13" s="1"/>
  <c r="X305" i="13" s="1"/>
  <c r="X304" i="13" s="1"/>
  <c r="X303" i="13" s="1"/>
  <c r="X302" i="13" s="1"/>
  <c r="X301" i="13" s="1"/>
  <c r="X300" i="13" s="1"/>
  <c r="X299" i="13" s="1"/>
  <c r="X298" i="13" s="1"/>
  <c r="X297" i="13" s="1"/>
  <c r="X296" i="13" s="1"/>
  <c r="X295" i="13" s="1"/>
  <c r="X294" i="13" s="1"/>
  <c r="X293" i="13" s="1"/>
  <c r="X292" i="13" s="1"/>
  <c r="X291" i="13" s="1"/>
  <c r="X290" i="13" s="1"/>
  <c r="X289" i="13" s="1"/>
  <c r="X288" i="13" s="1"/>
  <c r="X287" i="13" s="1"/>
  <c r="X286" i="13" s="1"/>
  <c r="X285" i="13" s="1"/>
  <c r="X284" i="13" s="1"/>
  <c r="X283" i="13" s="1"/>
  <c r="X282" i="13" s="1"/>
  <c r="X281" i="13" s="1"/>
  <c r="X280" i="13" s="1"/>
  <c r="X279" i="13" s="1"/>
  <c r="X278" i="13" s="1"/>
  <c r="X277" i="13" s="1"/>
  <c r="X276" i="13" s="1"/>
  <c r="X275" i="13" s="1"/>
  <c r="X274" i="13" s="1"/>
  <c r="X273" i="13" s="1"/>
  <c r="X272" i="13" s="1"/>
  <c r="X271" i="13" s="1"/>
  <c r="X270" i="13" s="1"/>
  <c r="X269" i="13" s="1"/>
  <c r="X268" i="13" s="1"/>
  <c r="X267" i="13" s="1"/>
  <c r="X266" i="13" s="1"/>
  <c r="X265" i="13" s="1"/>
  <c r="X264" i="13" s="1"/>
  <c r="X263" i="13" s="1"/>
  <c r="X262" i="13" s="1"/>
  <c r="X261" i="13" s="1"/>
  <c r="X260" i="13" s="1"/>
  <c r="X259" i="13" s="1"/>
  <c r="X258" i="13" s="1"/>
  <c r="X257" i="13" s="1"/>
  <c r="X256" i="13" s="1"/>
  <c r="X255" i="13" s="1"/>
  <c r="X254" i="13" s="1"/>
  <c r="X253" i="13" s="1"/>
  <c r="X252" i="13" s="1"/>
  <c r="X251" i="13" s="1"/>
  <c r="X250" i="13" s="1"/>
  <c r="X249" i="13" s="1"/>
  <c r="X248" i="13" s="1"/>
  <c r="X247" i="13" s="1"/>
  <c r="X246" i="13" s="1"/>
  <c r="X245" i="13" s="1"/>
  <c r="X244" i="13" s="1"/>
  <c r="X243" i="13" s="1"/>
  <c r="X242" i="13" s="1"/>
  <c r="X241" i="13" s="1"/>
  <c r="X240" i="13" s="1"/>
  <c r="X239" i="13" s="1"/>
  <c r="X238" i="13" s="1"/>
  <c r="X237" i="13" s="1"/>
  <c r="X236" i="13" s="1"/>
  <c r="X235" i="13" s="1"/>
  <c r="X234" i="13" s="1"/>
  <c r="X233" i="13" s="1"/>
  <c r="X232" i="13" s="1"/>
  <c r="X231" i="13" s="1"/>
  <c r="X230" i="13" s="1"/>
  <c r="X229" i="13" s="1"/>
  <c r="X228" i="13" s="1"/>
  <c r="X227" i="13" s="1"/>
  <c r="X226" i="13" s="1"/>
  <c r="X225" i="13" s="1"/>
  <c r="X224" i="13" s="1"/>
  <c r="X223" i="13" s="1"/>
  <c r="X222" i="13" s="1"/>
  <c r="X221" i="13" s="1"/>
  <c r="X220" i="13" s="1"/>
  <c r="X219" i="13" s="1"/>
  <c r="X218" i="13" s="1"/>
  <c r="X217" i="13" s="1"/>
  <c r="X216" i="13" s="1"/>
  <c r="X215" i="13" s="1"/>
  <c r="X214" i="13" s="1"/>
  <c r="X213" i="13" s="1"/>
  <c r="X212" i="13" s="1"/>
  <c r="X211" i="13" s="1"/>
  <c r="X210" i="13" s="1"/>
  <c r="X209" i="13" s="1"/>
  <c r="X208" i="13" s="1"/>
  <c r="X207" i="13" s="1"/>
  <c r="X206" i="13" s="1"/>
  <c r="X205" i="13" s="1"/>
  <c r="X204" i="13" s="1"/>
  <c r="X203" i="13" s="1"/>
  <c r="X202" i="13" s="1"/>
  <c r="X201" i="13" s="1"/>
  <c r="X200" i="13" s="1"/>
  <c r="X199" i="13" s="1"/>
  <c r="X198" i="13" s="1"/>
  <c r="X197" i="13" s="1"/>
  <c r="X196" i="13" s="1"/>
  <c r="X195" i="13" s="1"/>
  <c r="X194" i="13" s="1"/>
  <c r="X193" i="13" s="1"/>
  <c r="X192" i="13" s="1"/>
  <c r="X191" i="13" s="1"/>
  <c r="X190" i="13" s="1"/>
  <c r="X189" i="13" s="1"/>
  <c r="X188" i="13" s="1"/>
  <c r="X187" i="13" s="1"/>
  <c r="X186" i="13" s="1"/>
  <c r="X185" i="13" s="1"/>
  <c r="X184" i="13" s="1"/>
  <c r="X183" i="13" s="1"/>
  <c r="X182" i="13" s="1"/>
  <c r="X181" i="13" s="1"/>
  <c r="X180" i="13" s="1"/>
  <c r="X179" i="13" s="1"/>
  <c r="X178" i="13" s="1"/>
  <c r="X177" i="13" s="1"/>
  <c r="X176" i="13" s="1"/>
  <c r="X175" i="13" s="1"/>
  <c r="X174" i="13" s="1"/>
  <c r="X173" i="13" s="1"/>
  <c r="X172" i="13" s="1"/>
  <c r="X171" i="13" s="1"/>
  <c r="X170" i="13" s="1"/>
  <c r="X169" i="13" s="1"/>
  <c r="X168" i="13" s="1"/>
  <c r="X167" i="13" s="1"/>
  <c r="X166" i="13" s="1"/>
  <c r="X165" i="13" s="1"/>
  <c r="X164" i="13" s="1"/>
  <c r="X163" i="13" s="1"/>
  <c r="X162" i="13" s="1"/>
  <c r="X161" i="13" s="1"/>
  <c r="X160" i="13" s="1"/>
  <c r="X159" i="13" s="1"/>
  <c r="X158" i="13" s="1"/>
  <c r="X157" i="13" s="1"/>
  <c r="X156" i="13" s="1"/>
  <c r="X155" i="13" s="1"/>
  <c r="X154" i="13" s="1"/>
  <c r="X153" i="13" s="1"/>
  <c r="X152" i="13" s="1"/>
  <c r="X151" i="13" s="1"/>
  <c r="X150" i="13" s="1"/>
  <c r="X149" i="13" s="1"/>
  <c r="X148" i="13" s="1"/>
  <c r="X147" i="13" s="1"/>
  <c r="X146" i="13" s="1"/>
  <c r="X145" i="13" s="1"/>
  <c r="X144" i="13" s="1"/>
  <c r="X143" i="13" s="1"/>
  <c r="X142" i="13" s="1"/>
  <c r="X141" i="13" s="1"/>
  <c r="X140" i="13" s="1"/>
  <c r="X139" i="13" s="1"/>
  <c r="X138" i="13" s="1"/>
  <c r="X137" i="13" s="1"/>
  <c r="X136" i="13" s="1"/>
  <c r="X135" i="13" s="1"/>
  <c r="X134" i="13" s="1"/>
  <c r="X133" i="13" s="1"/>
  <c r="X132" i="13" s="1"/>
  <c r="X131" i="13" s="1"/>
  <c r="X130" i="13" s="1"/>
  <c r="X129" i="13" s="1"/>
  <c r="X128" i="13" s="1"/>
  <c r="X127" i="13" s="1"/>
  <c r="X126" i="13" s="1"/>
  <c r="X125" i="13" s="1"/>
  <c r="X124" i="13" s="1"/>
  <c r="X123" i="13" s="1"/>
  <c r="X122" i="13" s="1"/>
  <c r="X121" i="13" s="1"/>
  <c r="X120" i="13" s="1"/>
  <c r="X119" i="13" s="1"/>
  <c r="X118" i="13" s="1"/>
  <c r="X117" i="13" s="1"/>
  <c r="X116" i="13" s="1"/>
  <c r="X115" i="13" s="1"/>
  <c r="X114" i="13" s="1"/>
  <c r="X113" i="13" s="1"/>
  <c r="X112" i="13" s="1"/>
  <c r="X111" i="13" s="1"/>
  <c r="X110" i="13" s="1"/>
  <c r="X109" i="13" s="1"/>
  <c r="X108" i="13" s="1"/>
  <c r="X107" i="13" s="1"/>
  <c r="X106" i="13" s="1"/>
  <c r="X105" i="13" s="1"/>
  <c r="X104" i="13" s="1"/>
  <c r="X103" i="13" s="1"/>
  <c r="X102" i="13" s="1"/>
  <c r="X101" i="13" s="1"/>
  <c r="X100" i="13" s="1"/>
  <c r="X99" i="13" s="1"/>
  <c r="X98" i="13" s="1"/>
  <c r="X97" i="13" s="1"/>
  <c r="X96" i="13" s="1"/>
  <c r="X95" i="13" s="1"/>
  <c r="X94" i="13" s="1"/>
  <c r="X93" i="13" s="1"/>
  <c r="X92" i="13" s="1"/>
  <c r="X91" i="13" s="1"/>
  <c r="X90" i="13" s="1"/>
  <c r="X89" i="13" s="1"/>
  <c r="X88" i="13" s="1"/>
  <c r="X87" i="13" s="1"/>
  <c r="X86" i="13" s="1"/>
  <c r="X85" i="13" s="1"/>
  <c r="X84" i="13" s="1"/>
  <c r="X83" i="13" s="1"/>
  <c r="X82" i="13" s="1"/>
  <c r="X81" i="13" s="1"/>
  <c r="X80" i="13" s="1"/>
  <c r="X79" i="13" s="1"/>
  <c r="X78" i="13" s="1"/>
  <c r="X77" i="13" s="1"/>
  <c r="X76" i="13" s="1"/>
  <c r="X75" i="13" s="1"/>
  <c r="X74" i="13" s="1"/>
  <c r="X73" i="13" s="1"/>
  <c r="X72" i="13" s="1"/>
  <c r="X71" i="13" s="1"/>
  <c r="X70" i="13" s="1"/>
  <c r="X69" i="13" s="1"/>
  <c r="X68" i="13" s="1"/>
  <c r="X67" i="13" s="1"/>
  <c r="X66" i="13" s="1"/>
  <c r="X65" i="13" s="1"/>
  <c r="X64" i="13" s="1"/>
  <c r="X63" i="13" s="1"/>
  <c r="X62" i="13" s="1"/>
  <c r="X61" i="13" s="1"/>
  <c r="X60" i="13" s="1"/>
  <c r="X59" i="13" s="1"/>
  <c r="X58" i="13" s="1"/>
  <c r="X57" i="13" s="1"/>
  <c r="X56" i="13" s="1"/>
  <c r="X55" i="13" s="1"/>
  <c r="X54" i="13" s="1"/>
  <c r="X53" i="13" s="1"/>
  <c r="X52" i="13" s="1"/>
  <c r="X51" i="13" s="1"/>
  <c r="X50" i="13" s="1"/>
  <c r="X49" i="13" s="1"/>
  <c r="X48" i="13" s="1"/>
  <c r="X47" i="13" s="1"/>
  <c r="X46" i="13" s="1"/>
  <c r="X45" i="13" s="1"/>
  <c r="X44" i="13" s="1"/>
  <c r="X43" i="13" s="1"/>
  <c r="X42" i="13" s="1"/>
  <c r="X41" i="13" s="1"/>
  <c r="X40" i="13" s="1"/>
  <c r="X39" i="13" s="1"/>
  <c r="X38" i="13" s="1"/>
  <c r="X37" i="13" s="1"/>
  <c r="X36" i="13" s="1"/>
  <c r="X35" i="13" s="1"/>
  <c r="X34" i="13" s="1"/>
  <c r="X33" i="13" s="1"/>
  <c r="X32" i="13" s="1"/>
  <c r="X31" i="13" s="1"/>
  <c r="X30" i="13" s="1"/>
  <c r="X29" i="13" s="1"/>
  <c r="X28" i="13" s="1"/>
  <c r="X27" i="13" s="1"/>
  <c r="X26" i="13" s="1"/>
  <c r="X25" i="13" s="1"/>
  <c r="X24" i="13" s="1"/>
  <c r="X23" i="13" s="1"/>
  <c r="X22" i="13" s="1"/>
  <c r="X21" i="13" s="1"/>
  <c r="X20" i="13" s="1"/>
  <c r="X19" i="13" s="1"/>
  <c r="X18" i="13" s="1"/>
  <c r="X17" i="13" s="1"/>
  <c r="X16" i="13" s="1"/>
  <c r="X15" i="13" s="1"/>
  <c r="X14" i="13" s="1"/>
  <c r="X13" i="13" s="1"/>
  <c r="X12" i="13" s="1"/>
  <c r="X11" i="13" s="1"/>
  <c r="X10" i="13" s="1"/>
  <c r="X9" i="13" s="1"/>
  <c r="X8" i="13" s="1"/>
  <c r="X7" i="13" s="1"/>
  <c r="X6" i="13" s="1"/>
  <c r="X5" i="13" s="1"/>
  <c r="X4" i="13" s="1"/>
  <c r="X3" i="13" s="1"/>
  <c r="AA363" i="10"/>
  <c r="X362" i="10"/>
  <c r="X361" i="10" s="1"/>
  <c r="X360" i="10" s="1"/>
  <c r="X359" i="10" s="1"/>
  <c r="X358" i="10" s="1"/>
  <c r="X357" i="10" s="1"/>
  <c r="X356" i="10" s="1"/>
  <c r="X355" i="10" s="1"/>
  <c r="X354" i="10" s="1"/>
  <c r="X353" i="10" s="1"/>
  <c r="X352" i="10" s="1"/>
  <c r="X351" i="10" s="1"/>
  <c r="X350" i="10" s="1"/>
  <c r="X349" i="10" s="1"/>
  <c r="X348" i="10" s="1"/>
  <c r="X347" i="10" s="1"/>
  <c r="X346" i="10" s="1"/>
  <c r="X345" i="10" s="1"/>
  <c r="X344" i="10" s="1"/>
  <c r="X343" i="10" s="1"/>
  <c r="X342" i="10" s="1"/>
  <c r="X341" i="10" s="1"/>
  <c r="X340" i="10" s="1"/>
  <c r="X339" i="10" s="1"/>
  <c r="X338" i="10" s="1"/>
  <c r="X337" i="10" s="1"/>
  <c r="X336" i="10" s="1"/>
  <c r="X335" i="10" s="1"/>
  <c r="X334" i="10" s="1"/>
  <c r="X333" i="10" s="1"/>
  <c r="X332" i="10" s="1"/>
  <c r="X331" i="10" s="1"/>
  <c r="X330" i="10" s="1"/>
  <c r="X329" i="10" s="1"/>
  <c r="X328" i="10" s="1"/>
  <c r="X327" i="10" s="1"/>
  <c r="X326" i="10" s="1"/>
  <c r="X325" i="10" s="1"/>
  <c r="X324" i="10" s="1"/>
  <c r="X323" i="10" s="1"/>
  <c r="X322" i="10" s="1"/>
  <c r="X321" i="10" s="1"/>
  <c r="X320" i="10" s="1"/>
  <c r="X319" i="10" s="1"/>
  <c r="X318" i="10" s="1"/>
  <c r="X317" i="10" s="1"/>
  <c r="X316" i="10" s="1"/>
  <c r="X315" i="10" s="1"/>
  <c r="X314" i="10" s="1"/>
  <c r="X313" i="10" s="1"/>
  <c r="X312" i="10" s="1"/>
  <c r="X311" i="10" s="1"/>
  <c r="X310" i="10" s="1"/>
  <c r="X309" i="10" s="1"/>
  <c r="X308" i="10" s="1"/>
  <c r="X307" i="10" s="1"/>
  <c r="X306" i="10" s="1"/>
  <c r="X305" i="10" s="1"/>
  <c r="X304" i="10" s="1"/>
  <c r="X303" i="10" s="1"/>
  <c r="X302" i="10" s="1"/>
  <c r="X301" i="10" s="1"/>
  <c r="X300" i="10" s="1"/>
  <c r="X299" i="10" s="1"/>
  <c r="X298" i="10" s="1"/>
  <c r="X297" i="10" s="1"/>
  <c r="X296" i="10" s="1"/>
  <c r="X295" i="10" s="1"/>
  <c r="X294" i="10" s="1"/>
  <c r="X293" i="10" s="1"/>
  <c r="X292" i="10" s="1"/>
  <c r="X291" i="10" s="1"/>
  <c r="X290" i="10" s="1"/>
  <c r="X289" i="10" s="1"/>
  <c r="X288" i="10" s="1"/>
  <c r="X287" i="10" s="1"/>
  <c r="X286" i="10" s="1"/>
  <c r="X285" i="10" s="1"/>
  <c r="X284" i="10" s="1"/>
  <c r="X283" i="10" s="1"/>
  <c r="X282" i="10" s="1"/>
  <c r="X281" i="10" s="1"/>
  <c r="X280" i="10" s="1"/>
  <c r="X279" i="10" s="1"/>
  <c r="X278" i="10" s="1"/>
  <c r="X277" i="10" s="1"/>
  <c r="X276" i="10" s="1"/>
  <c r="X275" i="10" s="1"/>
  <c r="X274" i="10" s="1"/>
  <c r="X273" i="10" s="1"/>
  <c r="X272" i="10" s="1"/>
  <c r="X271" i="10" s="1"/>
  <c r="X270" i="10" s="1"/>
  <c r="X269" i="10" s="1"/>
  <c r="X268" i="10" s="1"/>
  <c r="X267" i="10" s="1"/>
  <c r="X266" i="10" s="1"/>
  <c r="X265" i="10" s="1"/>
  <c r="X264" i="10" s="1"/>
  <c r="X263" i="10" s="1"/>
  <c r="X262" i="10" s="1"/>
  <c r="X261" i="10" s="1"/>
  <c r="X260" i="10" s="1"/>
  <c r="X259" i="10" s="1"/>
  <c r="X258" i="10" s="1"/>
  <c r="X257" i="10" s="1"/>
  <c r="X256" i="10" s="1"/>
  <c r="X255" i="10" s="1"/>
  <c r="X254" i="10" s="1"/>
  <c r="X253" i="10" s="1"/>
  <c r="X252" i="10" s="1"/>
  <c r="X251" i="10" s="1"/>
  <c r="X250" i="10" s="1"/>
  <c r="X249" i="10" s="1"/>
  <c r="X248" i="10" s="1"/>
  <c r="X247" i="10" s="1"/>
  <c r="X246" i="10" s="1"/>
  <c r="X245" i="10" s="1"/>
  <c r="X244" i="10" s="1"/>
  <c r="X243" i="10" s="1"/>
  <c r="X242" i="10" s="1"/>
  <c r="X241" i="10" s="1"/>
  <c r="X240" i="10" s="1"/>
  <c r="X239" i="10" s="1"/>
  <c r="X238" i="10" s="1"/>
  <c r="X237" i="10" s="1"/>
  <c r="X236" i="10" s="1"/>
  <c r="X235" i="10" s="1"/>
  <c r="X234" i="10" s="1"/>
  <c r="X233" i="10" s="1"/>
  <c r="X232" i="10" s="1"/>
  <c r="X231" i="10" s="1"/>
  <c r="X230" i="10" s="1"/>
  <c r="X229" i="10" s="1"/>
  <c r="X228" i="10" s="1"/>
  <c r="X227" i="10" s="1"/>
  <c r="X226" i="10" s="1"/>
  <c r="X225" i="10" s="1"/>
  <c r="X224" i="10" s="1"/>
  <c r="X223" i="10" s="1"/>
  <c r="X222" i="10" s="1"/>
  <c r="X221" i="10" s="1"/>
  <c r="X220" i="10" s="1"/>
  <c r="X219" i="10" s="1"/>
  <c r="X218" i="10" s="1"/>
  <c r="X217" i="10" s="1"/>
  <c r="X216" i="10" s="1"/>
  <c r="X215" i="10" s="1"/>
  <c r="X214" i="10" s="1"/>
  <c r="X213" i="10" s="1"/>
  <c r="X212" i="10" s="1"/>
  <c r="X211" i="10" s="1"/>
  <c r="X210" i="10" s="1"/>
  <c r="X209" i="10" s="1"/>
  <c r="X208" i="10" s="1"/>
  <c r="X207" i="10" s="1"/>
  <c r="X206" i="10" s="1"/>
  <c r="X205" i="10" s="1"/>
  <c r="X204" i="10" s="1"/>
  <c r="X203" i="10" s="1"/>
  <c r="X202" i="10" s="1"/>
  <c r="X201" i="10" s="1"/>
  <c r="X200" i="10" s="1"/>
  <c r="X199" i="10" s="1"/>
  <c r="X198" i="10" s="1"/>
  <c r="X197" i="10" s="1"/>
  <c r="X196" i="10" s="1"/>
  <c r="X195" i="10" s="1"/>
  <c r="X194" i="10" s="1"/>
  <c r="X193" i="10" s="1"/>
  <c r="X192" i="10" s="1"/>
  <c r="X191" i="10" s="1"/>
  <c r="X190" i="10" s="1"/>
  <c r="X189" i="10" s="1"/>
  <c r="X188" i="10" s="1"/>
  <c r="X187" i="10" s="1"/>
  <c r="X186" i="10" s="1"/>
  <c r="X185" i="10" s="1"/>
  <c r="X184" i="10" s="1"/>
  <c r="X183" i="10" s="1"/>
  <c r="X182" i="10" s="1"/>
  <c r="X181" i="10" s="1"/>
  <c r="X180" i="10" s="1"/>
  <c r="X179" i="10" s="1"/>
  <c r="X178" i="10" s="1"/>
  <c r="X177" i="10" s="1"/>
  <c r="X176" i="10" s="1"/>
  <c r="X175" i="10" s="1"/>
  <c r="X174" i="10" s="1"/>
  <c r="X173" i="10" s="1"/>
  <c r="X172" i="10" s="1"/>
  <c r="X171" i="10" s="1"/>
  <c r="X170" i="10" s="1"/>
  <c r="X169" i="10" s="1"/>
  <c r="X168" i="10" s="1"/>
  <c r="X167" i="10" s="1"/>
  <c r="X166" i="10" s="1"/>
  <c r="X165" i="10" s="1"/>
  <c r="X164" i="10" s="1"/>
  <c r="X163" i="10" s="1"/>
  <c r="X162" i="10" s="1"/>
  <c r="X161" i="10" s="1"/>
  <c r="X160" i="10" s="1"/>
  <c r="X159" i="10" s="1"/>
  <c r="X158" i="10" s="1"/>
  <c r="X157" i="10" s="1"/>
  <c r="X156" i="10" s="1"/>
  <c r="X155" i="10" s="1"/>
  <c r="X154" i="10" s="1"/>
  <c r="X153" i="10" s="1"/>
  <c r="X152" i="10" s="1"/>
  <c r="X151" i="10" s="1"/>
  <c r="X150" i="10" s="1"/>
  <c r="X149" i="10" s="1"/>
  <c r="X148" i="10" s="1"/>
  <c r="X147" i="10" s="1"/>
  <c r="X146" i="10" s="1"/>
  <c r="X145" i="10" s="1"/>
  <c r="X144" i="10" s="1"/>
  <c r="X143" i="10" s="1"/>
  <c r="X142" i="10" s="1"/>
  <c r="X141" i="10" s="1"/>
  <c r="X140" i="10" s="1"/>
  <c r="X139" i="10" s="1"/>
  <c r="X138" i="10" s="1"/>
  <c r="X137" i="10" s="1"/>
  <c r="X136" i="10" s="1"/>
  <c r="X135" i="10" s="1"/>
  <c r="X134" i="10" s="1"/>
  <c r="X133" i="10" s="1"/>
  <c r="X132" i="10" s="1"/>
  <c r="X131" i="10" s="1"/>
  <c r="X130" i="10" s="1"/>
  <c r="X129" i="10" s="1"/>
  <c r="X128" i="10" s="1"/>
  <c r="X127" i="10" s="1"/>
  <c r="X126" i="10" s="1"/>
  <c r="X125" i="10" s="1"/>
  <c r="X124" i="10" s="1"/>
  <c r="X123" i="10" s="1"/>
  <c r="X122" i="10" s="1"/>
  <c r="X121" i="10" s="1"/>
  <c r="X120" i="10" s="1"/>
  <c r="X119" i="10" s="1"/>
  <c r="X118" i="10" s="1"/>
  <c r="X117" i="10" s="1"/>
  <c r="X116" i="10" s="1"/>
  <c r="X115" i="10" s="1"/>
  <c r="X114" i="10" s="1"/>
  <c r="X113" i="10" s="1"/>
  <c r="X112" i="10" s="1"/>
  <c r="X111" i="10" s="1"/>
  <c r="X110" i="10" s="1"/>
  <c r="X109" i="10" s="1"/>
  <c r="X108" i="10" s="1"/>
  <c r="X107" i="10" s="1"/>
  <c r="X106" i="10" s="1"/>
  <c r="X105" i="10" s="1"/>
  <c r="X104" i="10" s="1"/>
  <c r="X103" i="10" s="1"/>
  <c r="X102" i="10" s="1"/>
  <c r="X101" i="10" s="1"/>
  <c r="X100" i="10" s="1"/>
  <c r="X99" i="10" s="1"/>
  <c r="X98" i="10" s="1"/>
  <c r="X97" i="10" s="1"/>
  <c r="X96" i="10" s="1"/>
  <c r="X95" i="10" s="1"/>
  <c r="X94" i="10" s="1"/>
  <c r="X93" i="10" s="1"/>
  <c r="X92" i="10" s="1"/>
  <c r="X91" i="10" s="1"/>
  <c r="X90" i="10" s="1"/>
  <c r="X89" i="10" s="1"/>
  <c r="X88" i="10" s="1"/>
  <c r="X87" i="10" s="1"/>
  <c r="X86" i="10" s="1"/>
  <c r="X85" i="10" s="1"/>
  <c r="X84" i="10" s="1"/>
  <c r="X83" i="10" s="1"/>
  <c r="X82" i="10" s="1"/>
  <c r="X81" i="10" s="1"/>
  <c r="X80" i="10" s="1"/>
  <c r="X79" i="10" s="1"/>
  <c r="X78" i="10" s="1"/>
  <c r="X77" i="10" s="1"/>
  <c r="X76" i="10" s="1"/>
  <c r="X75" i="10" s="1"/>
  <c r="X74" i="10" s="1"/>
  <c r="X73" i="10" s="1"/>
  <c r="X72" i="10" s="1"/>
  <c r="X71" i="10" s="1"/>
  <c r="X70" i="10" s="1"/>
  <c r="X69" i="10" s="1"/>
  <c r="X68" i="10" s="1"/>
  <c r="X67" i="10" s="1"/>
  <c r="X66" i="10" s="1"/>
  <c r="X65" i="10" s="1"/>
  <c r="X64" i="10" s="1"/>
  <c r="X63" i="10" s="1"/>
  <c r="X62" i="10" s="1"/>
  <c r="X61" i="10" s="1"/>
  <c r="X60" i="10" s="1"/>
  <c r="X59" i="10" s="1"/>
  <c r="X58" i="10" s="1"/>
  <c r="X57" i="10" s="1"/>
  <c r="X56" i="10" s="1"/>
  <c r="X55" i="10" s="1"/>
  <c r="X54" i="10" s="1"/>
  <c r="X53" i="10" s="1"/>
  <c r="X52" i="10" s="1"/>
  <c r="X51" i="10" s="1"/>
  <c r="X50" i="10" s="1"/>
  <c r="X49" i="10" s="1"/>
  <c r="X48" i="10" s="1"/>
  <c r="X47" i="10" s="1"/>
  <c r="X46" i="10" s="1"/>
  <c r="X45" i="10" s="1"/>
  <c r="X44" i="10" s="1"/>
  <c r="X43" i="10" s="1"/>
  <c r="X42" i="10" s="1"/>
  <c r="X41" i="10" s="1"/>
  <c r="X40" i="10" s="1"/>
  <c r="X39" i="10" s="1"/>
  <c r="X38" i="10" s="1"/>
  <c r="X37" i="10" s="1"/>
  <c r="X36" i="10" s="1"/>
  <c r="X35" i="10" s="1"/>
  <c r="X34" i="10" s="1"/>
  <c r="X33" i="10" s="1"/>
  <c r="X32" i="10" s="1"/>
  <c r="X31" i="10" s="1"/>
  <c r="X30" i="10" s="1"/>
  <c r="X29" i="10" s="1"/>
  <c r="X28" i="10" s="1"/>
  <c r="X27" i="10" s="1"/>
  <c r="X26" i="10" s="1"/>
  <c r="X25" i="10" s="1"/>
  <c r="X24" i="10" s="1"/>
  <c r="X23" i="10" s="1"/>
  <c r="X22" i="10" s="1"/>
  <c r="X21" i="10" s="1"/>
  <c r="X20" i="10" s="1"/>
  <c r="X19" i="10" s="1"/>
  <c r="X18" i="10" s="1"/>
  <c r="X17" i="10" s="1"/>
  <c r="X16" i="10" s="1"/>
  <c r="X15" i="10" s="1"/>
  <c r="X14" i="10" s="1"/>
  <c r="X13" i="10" s="1"/>
  <c r="X12" i="10" s="1"/>
  <c r="X11" i="10" s="1"/>
  <c r="X10" i="10" s="1"/>
  <c r="X9" i="10" s="1"/>
  <c r="X8" i="10" s="1"/>
  <c r="X7" i="10" s="1"/>
  <c r="X6" i="10" s="1"/>
  <c r="X5" i="10" s="1"/>
  <c r="X4" i="10" s="1"/>
  <c r="X3" i="10" s="1"/>
  <c r="AC362" i="10"/>
  <c r="AC361" i="10" s="1"/>
  <c r="AC360" i="10" s="1"/>
  <c r="AC359" i="10" s="1"/>
  <c r="AC358" i="10" s="1"/>
  <c r="AC357" i="10" s="1"/>
  <c r="AC356" i="10" s="1"/>
  <c r="AC355" i="10" s="1"/>
  <c r="AC354" i="10" s="1"/>
  <c r="AC353" i="10" s="1"/>
  <c r="AC352" i="10" s="1"/>
  <c r="AC351" i="10" s="1"/>
  <c r="AC350" i="10" s="1"/>
  <c r="AC349" i="10" s="1"/>
  <c r="AC348" i="10" s="1"/>
  <c r="AC347" i="10" s="1"/>
  <c r="AC346" i="10" s="1"/>
  <c r="AC345" i="10" s="1"/>
  <c r="AC344" i="10" s="1"/>
  <c r="AC343" i="10" s="1"/>
  <c r="AC342" i="10" s="1"/>
  <c r="AC341" i="10" s="1"/>
  <c r="AC340" i="10" s="1"/>
  <c r="AC339" i="10" s="1"/>
  <c r="AC338" i="10" s="1"/>
  <c r="AC337" i="10" s="1"/>
  <c r="AC336" i="10" s="1"/>
  <c r="AC335" i="10" s="1"/>
  <c r="AC334" i="10" s="1"/>
  <c r="AC333" i="10" s="1"/>
  <c r="AC332" i="10" s="1"/>
  <c r="AC331" i="10" s="1"/>
  <c r="AC330" i="10" s="1"/>
  <c r="AC329" i="10" s="1"/>
  <c r="AC328" i="10" s="1"/>
  <c r="AC327" i="10" s="1"/>
  <c r="AC326" i="10" s="1"/>
  <c r="AC325" i="10" s="1"/>
  <c r="AC324" i="10" s="1"/>
  <c r="AC323" i="10" s="1"/>
  <c r="AC322" i="10" s="1"/>
  <c r="AC321" i="10" s="1"/>
  <c r="AC320" i="10" s="1"/>
  <c r="AC319" i="10" s="1"/>
  <c r="AC318" i="10" s="1"/>
  <c r="AC317" i="10" s="1"/>
  <c r="AC316" i="10" s="1"/>
  <c r="AC315" i="10" s="1"/>
  <c r="AC314" i="10" s="1"/>
  <c r="AC313" i="10" s="1"/>
  <c r="AC312" i="10" s="1"/>
  <c r="AC311" i="10" s="1"/>
  <c r="AC310" i="10" s="1"/>
  <c r="AC309" i="10" s="1"/>
  <c r="AC308" i="10" s="1"/>
  <c r="AC307" i="10" s="1"/>
  <c r="AC306" i="10" s="1"/>
  <c r="AC305" i="10" s="1"/>
  <c r="AC304" i="10" s="1"/>
  <c r="AC303" i="10" s="1"/>
  <c r="AC302" i="10" s="1"/>
  <c r="AC301" i="10" s="1"/>
  <c r="AC300" i="10" s="1"/>
  <c r="AC299" i="10" s="1"/>
  <c r="AC298" i="10" s="1"/>
  <c r="AC297" i="10" s="1"/>
  <c r="AC296" i="10" s="1"/>
  <c r="AC295" i="10" s="1"/>
  <c r="AC294" i="10" s="1"/>
  <c r="AC293" i="10" s="1"/>
  <c r="AC292" i="10" s="1"/>
  <c r="AC291" i="10" s="1"/>
  <c r="AC290" i="10" s="1"/>
  <c r="AC289" i="10" s="1"/>
  <c r="AC288" i="10" s="1"/>
  <c r="AC287" i="10" s="1"/>
  <c r="AC286" i="10" s="1"/>
  <c r="AC285" i="10" s="1"/>
  <c r="AC284" i="10" s="1"/>
  <c r="AC283" i="10" s="1"/>
  <c r="AC282" i="10" s="1"/>
  <c r="AC281" i="10" s="1"/>
  <c r="AC280" i="10" s="1"/>
  <c r="AC279" i="10" s="1"/>
  <c r="AC278" i="10" s="1"/>
  <c r="AC277" i="10" s="1"/>
  <c r="AC276" i="10" s="1"/>
  <c r="AC275" i="10" s="1"/>
  <c r="AC274" i="10" s="1"/>
  <c r="AC273" i="10" s="1"/>
  <c r="AC272" i="10" s="1"/>
  <c r="AC271" i="10" s="1"/>
  <c r="AC270" i="10" s="1"/>
  <c r="AC269" i="10" s="1"/>
  <c r="AC268" i="10" s="1"/>
  <c r="AC267" i="10" s="1"/>
  <c r="AC266" i="10" s="1"/>
  <c r="AC265" i="10" s="1"/>
  <c r="AC264" i="10" s="1"/>
  <c r="AC263" i="10" s="1"/>
  <c r="AC262" i="10" s="1"/>
  <c r="AC261" i="10" s="1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AC246" i="10" s="1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AC23" i="10" s="1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AC6" i="10" s="1"/>
  <c r="AC5" i="10" s="1"/>
  <c r="AC4" i="10" s="1"/>
  <c r="AC3" i="10" s="1"/>
  <c r="AF363" i="10"/>
  <c r="Y363" i="10"/>
  <c r="V362" i="10"/>
  <c r="V361" i="10" s="1"/>
  <c r="V360" i="10" s="1"/>
  <c r="V359" i="10" s="1"/>
  <c r="V358" i="10" s="1"/>
  <c r="V357" i="10" s="1"/>
  <c r="V356" i="10" s="1"/>
  <c r="V355" i="10" s="1"/>
  <c r="V354" i="10" s="1"/>
  <c r="V353" i="10" s="1"/>
  <c r="V352" i="10" s="1"/>
  <c r="V351" i="10" s="1"/>
  <c r="V350" i="10" s="1"/>
  <c r="V349" i="10" s="1"/>
  <c r="V348" i="10" s="1"/>
  <c r="V347" i="10" s="1"/>
  <c r="V346" i="10" s="1"/>
  <c r="V345" i="10" s="1"/>
  <c r="V344" i="10" s="1"/>
  <c r="V343" i="10" s="1"/>
  <c r="V342" i="10" s="1"/>
  <c r="V341" i="10" s="1"/>
  <c r="V340" i="10" s="1"/>
  <c r="V339" i="10" s="1"/>
  <c r="V338" i="10" s="1"/>
  <c r="V337" i="10" s="1"/>
  <c r="V336" i="10" s="1"/>
  <c r="V335" i="10" s="1"/>
  <c r="V334" i="10" s="1"/>
  <c r="V333" i="10" s="1"/>
  <c r="V332" i="10" s="1"/>
  <c r="V331" i="10" s="1"/>
  <c r="V330" i="10" s="1"/>
  <c r="V329" i="10" s="1"/>
  <c r="V328" i="10" s="1"/>
  <c r="V327" i="10" s="1"/>
  <c r="V326" i="10" s="1"/>
  <c r="V325" i="10" s="1"/>
  <c r="V324" i="10" s="1"/>
  <c r="V323" i="10" s="1"/>
  <c r="V322" i="10" s="1"/>
  <c r="V321" i="10" s="1"/>
  <c r="V320" i="10" s="1"/>
  <c r="V319" i="10" s="1"/>
  <c r="V318" i="10" s="1"/>
  <c r="V317" i="10" s="1"/>
  <c r="V316" i="10" s="1"/>
  <c r="V315" i="10" s="1"/>
  <c r="V314" i="10" s="1"/>
  <c r="V313" i="10" s="1"/>
  <c r="V312" i="10" s="1"/>
  <c r="V311" i="10" s="1"/>
  <c r="V310" i="10" s="1"/>
  <c r="V309" i="10" s="1"/>
  <c r="V308" i="10" s="1"/>
  <c r="V307" i="10" s="1"/>
  <c r="V306" i="10" s="1"/>
  <c r="V305" i="10" s="1"/>
  <c r="V304" i="10" s="1"/>
  <c r="V303" i="10" s="1"/>
  <c r="V302" i="10" s="1"/>
  <c r="V301" i="10" s="1"/>
  <c r="V300" i="10" s="1"/>
  <c r="V299" i="10" s="1"/>
  <c r="V298" i="10" s="1"/>
  <c r="V297" i="10" s="1"/>
  <c r="V296" i="10" s="1"/>
  <c r="V295" i="10" s="1"/>
  <c r="V294" i="10" s="1"/>
  <c r="V293" i="10" s="1"/>
  <c r="V292" i="10" s="1"/>
  <c r="V291" i="10" s="1"/>
  <c r="V290" i="10" s="1"/>
  <c r="V289" i="10" s="1"/>
  <c r="V288" i="10" s="1"/>
  <c r="V287" i="10" s="1"/>
  <c r="V286" i="10" s="1"/>
  <c r="V285" i="10" s="1"/>
  <c r="V284" i="10" s="1"/>
  <c r="V283" i="10" s="1"/>
  <c r="V282" i="10" s="1"/>
  <c r="V281" i="10" s="1"/>
  <c r="V280" i="10" s="1"/>
  <c r="V279" i="10" s="1"/>
  <c r="V278" i="10" s="1"/>
  <c r="V277" i="10" s="1"/>
  <c r="V276" i="10" s="1"/>
  <c r="V275" i="10" s="1"/>
  <c r="V274" i="10" s="1"/>
  <c r="V273" i="10" s="1"/>
  <c r="V272" i="10" s="1"/>
  <c r="V271" i="10" s="1"/>
  <c r="V270" i="10" s="1"/>
  <c r="V269" i="10" s="1"/>
  <c r="V268" i="10" s="1"/>
  <c r="V267" i="10" s="1"/>
  <c r="V266" i="10" s="1"/>
  <c r="V265" i="10" s="1"/>
  <c r="V264" i="10" s="1"/>
  <c r="V263" i="10" s="1"/>
  <c r="V262" i="10" s="1"/>
  <c r="V261" i="10" s="1"/>
  <c r="V260" i="10" s="1"/>
  <c r="V259" i="10" s="1"/>
  <c r="V258" i="10" s="1"/>
  <c r="V257" i="10" s="1"/>
  <c r="V256" i="10" s="1"/>
  <c r="V255" i="10" s="1"/>
  <c r="V254" i="10" s="1"/>
  <c r="V253" i="10" s="1"/>
  <c r="V252" i="10" s="1"/>
  <c r="V251" i="10" s="1"/>
  <c r="V250" i="10" s="1"/>
  <c r="V249" i="10" s="1"/>
  <c r="V248" i="10" s="1"/>
  <c r="V247" i="10" s="1"/>
  <c r="V246" i="10" s="1"/>
  <c r="V245" i="10" s="1"/>
  <c r="V244" i="10" s="1"/>
  <c r="V243" i="10" s="1"/>
  <c r="V242" i="10" s="1"/>
  <c r="V241" i="10" s="1"/>
  <c r="V240" i="10" s="1"/>
  <c r="V239" i="10" s="1"/>
  <c r="V238" i="10" s="1"/>
  <c r="V237" i="10" s="1"/>
  <c r="V236" i="10" s="1"/>
  <c r="V235" i="10" s="1"/>
  <c r="V234" i="10" s="1"/>
  <c r="V233" i="10" s="1"/>
  <c r="V232" i="10" s="1"/>
  <c r="V231" i="10" s="1"/>
  <c r="V230" i="10" s="1"/>
  <c r="V229" i="10" s="1"/>
  <c r="V228" i="10" s="1"/>
  <c r="V227" i="10" s="1"/>
  <c r="V226" i="10" s="1"/>
  <c r="V225" i="10" s="1"/>
  <c r="V224" i="10" s="1"/>
  <c r="V223" i="10" s="1"/>
  <c r="V222" i="10" s="1"/>
  <c r="V221" i="10" s="1"/>
  <c r="V220" i="10" s="1"/>
  <c r="V219" i="10" s="1"/>
  <c r="V218" i="10" s="1"/>
  <c r="V217" i="10" s="1"/>
  <c r="V216" i="10" s="1"/>
  <c r="V215" i="10" s="1"/>
  <c r="V214" i="10" s="1"/>
  <c r="V213" i="10" s="1"/>
  <c r="V212" i="10" s="1"/>
  <c r="V211" i="10" s="1"/>
  <c r="V210" i="10" s="1"/>
  <c r="V209" i="10" s="1"/>
  <c r="V208" i="10" s="1"/>
  <c r="V207" i="10" s="1"/>
  <c r="V206" i="10" s="1"/>
  <c r="V205" i="10" s="1"/>
  <c r="V204" i="10" s="1"/>
  <c r="V203" i="10" s="1"/>
  <c r="V202" i="10" s="1"/>
  <c r="V201" i="10" s="1"/>
  <c r="V200" i="10" s="1"/>
  <c r="V199" i="10" s="1"/>
  <c r="V198" i="10" s="1"/>
  <c r="V197" i="10" s="1"/>
  <c r="V196" i="10" s="1"/>
  <c r="V195" i="10" s="1"/>
  <c r="V194" i="10" s="1"/>
  <c r="V193" i="10" s="1"/>
  <c r="V192" i="10" s="1"/>
  <c r="V191" i="10" s="1"/>
  <c r="V190" i="10" s="1"/>
  <c r="V189" i="10" s="1"/>
  <c r="V188" i="10" s="1"/>
  <c r="V187" i="10" s="1"/>
  <c r="V186" i="10" s="1"/>
  <c r="V185" i="10" s="1"/>
  <c r="V184" i="10" s="1"/>
  <c r="V183" i="10" s="1"/>
  <c r="V182" i="10" s="1"/>
  <c r="V181" i="10" s="1"/>
  <c r="V180" i="10" s="1"/>
  <c r="V179" i="10" s="1"/>
  <c r="V178" i="10" s="1"/>
  <c r="V177" i="10" s="1"/>
  <c r="V176" i="10" s="1"/>
  <c r="V175" i="10" s="1"/>
  <c r="V174" i="10" s="1"/>
  <c r="V173" i="10" s="1"/>
  <c r="V172" i="10" s="1"/>
  <c r="V171" i="10" s="1"/>
  <c r="V170" i="10" s="1"/>
  <c r="V169" i="10" s="1"/>
  <c r="V168" i="10" s="1"/>
  <c r="V167" i="10" s="1"/>
  <c r="V166" i="10" s="1"/>
  <c r="V165" i="10" s="1"/>
  <c r="V164" i="10" s="1"/>
  <c r="V163" i="10" s="1"/>
  <c r="V162" i="10" s="1"/>
  <c r="V161" i="10" s="1"/>
  <c r="V160" i="10" s="1"/>
  <c r="V159" i="10" s="1"/>
  <c r="V158" i="10" s="1"/>
  <c r="V157" i="10" s="1"/>
  <c r="V156" i="10" s="1"/>
  <c r="V155" i="10" s="1"/>
  <c r="V154" i="10" s="1"/>
  <c r="V153" i="10" s="1"/>
  <c r="V152" i="10" s="1"/>
  <c r="V151" i="10" s="1"/>
  <c r="V150" i="10" s="1"/>
  <c r="V149" i="10" s="1"/>
  <c r="V148" i="10" s="1"/>
  <c r="V147" i="10" s="1"/>
  <c r="V146" i="10" s="1"/>
  <c r="V145" i="10" s="1"/>
  <c r="V144" i="10" s="1"/>
  <c r="V143" i="10" s="1"/>
  <c r="V142" i="10" s="1"/>
  <c r="V141" i="10" s="1"/>
  <c r="V140" i="10" s="1"/>
  <c r="V139" i="10" s="1"/>
  <c r="V138" i="10" s="1"/>
  <c r="V137" i="10" s="1"/>
  <c r="V136" i="10" s="1"/>
  <c r="V135" i="10" s="1"/>
  <c r="V134" i="10" s="1"/>
  <c r="V133" i="10" s="1"/>
  <c r="V132" i="10" s="1"/>
  <c r="V131" i="10" s="1"/>
  <c r="V130" i="10" s="1"/>
  <c r="V129" i="10" s="1"/>
  <c r="V128" i="10" s="1"/>
  <c r="V127" i="10" s="1"/>
  <c r="V126" i="10" s="1"/>
  <c r="V125" i="10" s="1"/>
  <c r="V124" i="10" s="1"/>
  <c r="V123" i="10" s="1"/>
  <c r="V122" i="10" s="1"/>
  <c r="V121" i="10" s="1"/>
  <c r="V120" i="10" s="1"/>
  <c r="V119" i="10" s="1"/>
  <c r="V118" i="10" s="1"/>
  <c r="V117" i="10" s="1"/>
  <c r="V116" i="10" s="1"/>
  <c r="V115" i="10" s="1"/>
  <c r="V114" i="10" s="1"/>
  <c r="V113" i="10" s="1"/>
  <c r="V112" i="10" s="1"/>
  <c r="V111" i="10" s="1"/>
  <c r="V110" i="10" s="1"/>
  <c r="V109" i="10" s="1"/>
  <c r="V108" i="10" s="1"/>
  <c r="V107" i="10" s="1"/>
  <c r="V106" i="10" s="1"/>
  <c r="V105" i="10" s="1"/>
  <c r="V104" i="10" s="1"/>
  <c r="V103" i="10" s="1"/>
  <c r="V102" i="10" s="1"/>
  <c r="V101" i="10" s="1"/>
  <c r="V100" i="10" s="1"/>
  <c r="V99" i="10" s="1"/>
  <c r="V98" i="10" s="1"/>
  <c r="V97" i="10" s="1"/>
  <c r="V96" i="10" s="1"/>
  <c r="V95" i="10" s="1"/>
  <c r="V94" i="10" s="1"/>
  <c r="V93" i="10" s="1"/>
  <c r="V92" i="10" s="1"/>
  <c r="V91" i="10" s="1"/>
  <c r="V90" i="10" s="1"/>
  <c r="V89" i="10" s="1"/>
  <c r="V88" i="10" s="1"/>
  <c r="V87" i="10" s="1"/>
  <c r="V86" i="10" s="1"/>
  <c r="V85" i="10" s="1"/>
  <c r="V84" i="10" s="1"/>
  <c r="V83" i="10" s="1"/>
  <c r="V82" i="10" s="1"/>
  <c r="V81" i="10" s="1"/>
  <c r="V80" i="10" s="1"/>
  <c r="V79" i="10" s="1"/>
  <c r="V78" i="10" s="1"/>
  <c r="V77" i="10" s="1"/>
  <c r="V76" i="10" s="1"/>
  <c r="V75" i="10" s="1"/>
  <c r="V74" i="10" s="1"/>
  <c r="V73" i="10" s="1"/>
  <c r="V72" i="10" s="1"/>
  <c r="V71" i="10" s="1"/>
  <c r="V70" i="10" s="1"/>
  <c r="V69" i="10" s="1"/>
  <c r="V68" i="10" s="1"/>
  <c r="V67" i="10" s="1"/>
  <c r="V66" i="10" s="1"/>
  <c r="V65" i="10" s="1"/>
  <c r="V64" i="10" s="1"/>
  <c r="V63" i="10" s="1"/>
  <c r="V62" i="10" s="1"/>
  <c r="V61" i="10" s="1"/>
  <c r="V60" i="10" s="1"/>
  <c r="V59" i="10" s="1"/>
  <c r="V58" i="10" s="1"/>
  <c r="V57" i="10" s="1"/>
  <c r="V56" i="10" s="1"/>
  <c r="V55" i="10" s="1"/>
  <c r="V54" i="10" s="1"/>
  <c r="V53" i="10" s="1"/>
  <c r="V52" i="10" s="1"/>
  <c r="V51" i="10" s="1"/>
  <c r="V50" i="10" s="1"/>
  <c r="V49" i="10" s="1"/>
  <c r="V48" i="10" s="1"/>
  <c r="V47" i="10" s="1"/>
  <c r="V46" i="10" s="1"/>
  <c r="V45" i="10" s="1"/>
  <c r="V44" i="10" s="1"/>
  <c r="V43" i="10" s="1"/>
  <c r="V42" i="10" s="1"/>
  <c r="V41" i="10" s="1"/>
  <c r="V40" i="10" s="1"/>
  <c r="V39" i="10" s="1"/>
  <c r="V38" i="10" s="1"/>
  <c r="V37" i="10" s="1"/>
  <c r="V36" i="10" s="1"/>
  <c r="V35" i="10" s="1"/>
  <c r="V34" i="10" s="1"/>
  <c r="V33" i="10" s="1"/>
  <c r="V32" i="10" s="1"/>
  <c r="V31" i="10" s="1"/>
  <c r="V30" i="10" s="1"/>
  <c r="V29" i="10" s="1"/>
  <c r="V28" i="10" s="1"/>
  <c r="V27" i="10" s="1"/>
  <c r="V26" i="10" s="1"/>
  <c r="V25" i="10" s="1"/>
  <c r="V24" i="10" s="1"/>
  <c r="V23" i="10" s="1"/>
  <c r="V22" i="10" s="1"/>
  <c r="V21" i="10" s="1"/>
  <c r="V20" i="10" s="1"/>
  <c r="V19" i="10" s="1"/>
  <c r="V18" i="10" s="1"/>
  <c r="V17" i="10" s="1"/>
  <c r="V16" i="10" s="1"/>
  <c r="V15" i="10" s="1"/>
  <c r="V14" i="10" s="1"/>
  <c r="V13" i="10" s="1"/>
  <c r="V12" i="10" s="1"/>
  <c r="V11" i="10" s="1"/>
  <c r="V10" i="10" s="1"/>
  <c r="V9" i="10" s="1"/>
  <c r="V8" i="10" s="1"/>
  <c r="V7" i="10" s="1"/>
  <c r="V6" i="10" s="1"/>
  <c r="V5" i="10" s="1"/>
  <c r="V4" i="10" s="1"/>
  <c r="V3" i="10" s="1"/>
  <c r="O65" i="8"/>
  <c r="I234" i="8"/>
  <c r="O231" i="8" s="1"/>
  <c r="C214" i="14" l="1"/>
  <c r="I208" i="14" s="1"/>
  <c r="B234" i="14"/>
  <c r="C274" i="14"/>
  <c r="C234" i="14"/>
  <c r="B294" i="14"/>
  <c r="H288" i="14" s="1"/>
  <c r="B214" i="14"/>
  <c r="B254" i="14"/>
  <c r="H248" i="14" s="1"/>
  <c r="O73" i="14"/>
  <c r="N91" i="14"/>
  <c r="N73" i="14"/>
  <c r="B274" i="14"/>
  <c r="C294" i="14"/>
  <c r="I148" i="14"/>
  <c r="I152" i="14" s="1"/>
  <c r="C194" i="14"/>
  <c r="I188" i="14" s="1"/>
  <c r="W18" i="20"/>
  <c r="W19" i="20"/>
  <c r="I20" i="8"/>
  <c r="I19" i="8" s="1"/>
  <c r="I23" i="8" s="1"/>
  <c r="O318" i="8"/>
  <c r="O322" i="8" s="1"/>
  <c r="B294" i="8"/>
  <c r="C179" i="8"/>
  <c r="B214" i="8"/>
  <c r="C234" i="8"/>
  <c r="C194" i="8"/>
  <c r="I188" i="8" s="1"/>
  <c r="C274" i="8"/>
  <c r="I268" i="8" s="1"/>
  <c r="B254" i="8"/>
  <c r="N299" i="11"/>
  <c r="N300" i="11" s="1"/>
  <c r="H290" i="11" s="1"/>
  <c r="O73" i="8"/>
  <c r="C254" i="8"/>
  <c r="I248" i="8" s="1"/>
  <c r="C214" i="8"/>
  <c r="B234" i="8"/>
  <c r="N91" i="8"/>
  <c r="H81" i="8" s="1"/>
  <c r="N222" i="11"/>
  <c r="N221" i="11" s="1"/>
  <c r="H211" i="11" s="1"/>
  <c r="O202" i="11"/>
  <c r="O201" i="11" s="1"/>
  <c r="I191" i="11" s="1"/>
  <c r="N301" i="11"/>
  <c r="H291" i="11" s="1"/>
  <c r="H22" i="11"/>
  <c r="N30" i="11"/>
  <c r="H248" i="11"/>
  <c r="H247" i="11" s="1"/>
  <c r="H252" i="11" s="1"/>
  <c r="O238" i="11"/>
  <c r="O239" i="11" s="1"/>
  <c r="O240" i="11" s="1"/>
  <c r="I230" i="11" s="1"/>
  <c r="C234" i="11"/>
  <c r="H208" i="11"/>
  <c r="H207" i="11" s="1"/>
  <c r="H212" i="11" s="1"/>
  <c r="N198" i="11"/>
  <c r="N202" i="11" s="1"/>
  <c r="B194" i="11"/>
  <c r="H288" i="11"/>
  <c r="H287" i="11" s="1"/>
  <c r="H292" i="11" s="1"/>
  <c r="N238" i="11"/>
  <c r="N242" i="11" s="1"/>
  <c r="N241" i="11" s="1"/>
  <c r="H231" i="11" s="1"/>
  <c r="B234" i="11"/>
  <c r="N278" i="11"/>
  <c r="N279" i="11" s="1"/>
  <c r="N280" i="11" s="1"/>
  <c r="H270" i="11" s="1"/>
  <c r="B274" i="11"/>
  <c r="H268" i="11" s="1"/>
  <c r="H267" i="11" s="1"/>
  <c r="H272" i="11" s="1"/>
  <c r="N178" i="11"/>
  <c r="N179" i="11" s="1"/>
  <c r="N180" i="11" s="1"/>
  <c r="H169" i="11" s="1"/>
  <c r="B179" i="11"/>
  <c r="H167" i="11" s="1"/>
  <c r="H166" i="11" s="1"/>
  <c r="H171" i="11" s="1"/>
  <c r="O218" i="11"/>
  <c r="O222" i="11" s="1"/>
  <c r="O221" i="11" s="1"/>
  <c r="I211" i="11" s="1"/>
  <c r="C214" i="11"/>
  <c r="O298" i="11"/>
  <c r="O299" i="11" s="1"/>
  <c r="O300" i="11" s="1"/>
  <c r="I290" i="11" s="1"/>
  <c r="C294" i="11"/>
  <c r="H83" i="11"/>
  <c r="N91" i="11"/>
  <c r="O258" i="11"/>
  <c r="O259" i="11" s="1"/>
  <c r="O260" i="11" s="1"/>
  <c r="I250" i="11" s="1"/>
  <c r="C254" i="11"/>
  <c r="I81" i="11"/>
  <c r="I80" i="11" s="1"/>
  <c r="I84" i="11" s="1"/>
  <c r="O278" i="11"/>
  <c r="O279" i="11" s="1"/>
  <c r="O280" i="11" s="1"/>
  <c r="I270" i="11" s="1"/>
  <c r="C274" i="11"/>
  <c r="I268" i="11" s="1"/>
  <c r="I267" i="11" s="1"/>
  <c r="I272" i="11" s="1"/>
  <c r="L49" i="8"/>
  <c r="H47" i="8" s="1"/>
  <c r="L47" i="8"/>
  <c r="O259" i="14"/>
  <c r="O260" i="14" s="1"/>
  <c r="I250" i="14" s="1"/>
  <c r="N202" i="14"/>
  <c r="N201" i="14" s="1"/>
  <c r="H191" i="14" s="1"/>
  <c r="I65" i="14"/>
  <c r="I22" i="14"/>
  <c r="O30" i="14"/>
  <c r="I20" i="14" s="1"/>
  <c r="N258" i="14"/>
  <c r="N262" i="14" s="1"/>
  <c r="I81" i="14"/>
  <c r="N298" i="14"/>
  <c r="N299" i="14" s="1"/>
  <c r="N300" i="14" s="1"/>
  <c r="H290" i="14" s="1"/>
  <c r="N218" i="14"/>
  <c r="N222" i="14" s="1"/>
  <c r="H22" i="14"/>
  <c r="N30" i="14"/>
  <c r="H65" i="14"/>
  <c r="O278" i="14"/>
  <c r="O282" i="14" s="1"/>
  <c r="O281" i="14" s="1"/>
  <c r="I271" i="14" s="1"/>
  <c r="O218" i="14"/>
  <c r="O219" i="14" s="1"/>
  <c r="O220" i="14" s="1"/>
  <c r="I210" i="14" s="1"/>
  <c r="O298" i="14"/>
  <c r="O302" i="14" s="1"/>
  <c r="N278" i="14"/>
  <c r="N282" i="14" s="1"/>
  <c r="N281" i="14" s="1"/>
  <c r="H271" i="14" s="1"/>
  <c r="O198" i="14"/>
  <c r="O202" i="14" s="1"/>
  <c r="H83" i="14"/>
  <c r="O238" i="14"/>
  <c r="O242" i="14" s="1"/>
  <c r="O241" i="14" s="1"/>
  <c r="I231" i="14" s="1"/>
  <c r="N238" i="14"/>
  <c r="N242" i="14" s="1"/>
  <c r="N241" i="14" s="1"/>
  <c r="H231" i="14" s="1"/>
  <c r="N279" i="8"/>
  <c r="N280" i="8" s="1"/>
  <c r="H270" i="8" s="1"/>
  <c r="O302" i="8"/>
  <c r="O301" i="8" s="1"/>
  <c r="I291" i="8" s="1"/>
  <c r="N199" i="8"/>
  <c r="N200" i="8" s="1"/>
  <c r="H190" i="8" s="1"/>
  <c r="O218" i="8"/>
  <c r="O219" i="8" s="1"/>
  <c r="O220" i="8" s="1"/>
  <c r="I210" i="8" s="1"/>
  <c r="N298" i="8"/>
  <c r="N302" i="8" s="1"/>
  <c r="N301" i="8" s="1"/>
  <c r="H291" i="8" s="1"/>
  <c r="O238" i="8"/>
  <c r="O242" i="8" s="1"/>
  <c r="O241" i="8" s="1"/>
  <c r="I231" i="8" s="1"/>
  <c r="I288" i="8"/>
  <c r="O278" i="8"/>
  <c r="O279" i="8" s="1"/>
  <c r="O280" i="8" s="1"/>
  <c r="I270" i="8" s="1"/>
  <c r="N258" i="8"/>
  <c r="N262" i="8" s="1"/>
  <c r="N261" i="8" s="1"/>
  <c r="H251" i="8" s="1"/>
  <c r="O258" i="8"/>
  <c r="O259" i="8" s="1"/>
  <c r="O260" i="8" s="1"/>
  <c r="I250" i="8" s="1"/>
  <c r="N218" i="8"/>
  <c r="N222" i="8" s="1"/>
  <c r="N221" i="8" s="1"/>
  <c r="H211" i="8" s="1"/>
  <c r="N238" i="8"/>
  <c r="N239" i="8" s="1"/>
  <c r="N240" i="8" s="1"/>
  <c r="H230" i="8" s="1"/>
  <c r="O178" i="8"/>
  <c r="O182" i="8" s="1"/>
  <c r="O181" i="8" s="1"/>
  <c r="I170" i="8" s="1"/>
  <c r="I149" i="8"/>
  <c r="O198" i="8"/>
  <c r="O199" i="8" s="1"/>
  <c r="O200" i="8" s="1"/>
  <c r="I190" i="8" s="1"/>
  <c r="H149" i="8"/>
  <c r="H83" i="8"/>
  <c r="I65" i="8"/>
  <c r="L209" i="8"/>
  <c r="L210" i="8"/>
  <c r="P379" i="8"/>
  <c r="P378" i="8" s="1"/>
  <c r="I379" i="8" s="1"/>
  <c r="P22" i="20" s="1"/>
  <c r="F378" i="8"/>
  <c r="O21" i="20" s="1"/>
  <c r="N318" i="8"/>
  <c r="N322" i="8" s="1"/>
  <c r="L50" i="8"/>
  <c r="I48" i="8" s="1"/>
  <c r="L179" i="14"/>
  <c r="I168" i="14" s="1"/>
  <c r="G19" i="15"/>
  <c r="L189" i="8"/>
  <c r="H188" i="8" s="1"/>
  <c r="F11" i="15"/>
  <c r="G11" i="15" s="1"/>
  <c r="H130" i="8"/>
  <c r="O126" i="8" s="1"/>
  <c r="L177" i="8"/>
  <c r="L169" i="8" s="1"/>
  <c r="L168" i="8"/>
  <c r="I109" i="8"/>
  <c r="I100" i="8" s="1"/>
  <c r="L178" i="8"/>
  <c r="H168" i="8" s="1"/>
  <c r="L109" i="8"/>
  <c r="L110" i="8"/>
  <c r="H108" i="8" s="1"/>
  <c r="O9" i="15"/>
  <c r="H173" i="14" s="1"/>
  <c r="O169" i="14" s="1"/>
  <c r="L167" i="14" s="1"/>
  <c r="L169" i="14" s="1"/>
  <c r="L178" i="14"/>
  <c r="L111" i="14"/>
  <c r="I108" i="14" s="1"/>
  <c r="L110" i="14"/>
  <c r="H109" i="14" s="1"/>
  <c r="I133" i="8"/>
  <c r="I125" i="8" s="1"/>
  <c r="O341" i="8"/>
  <c r="I331" i="8" s="1"/>
  <c r="O342" i="8"/>
  <c r="L83" i="8"/>
  <c r="L82" i="14"/>
  <c r="L269" i="8"/>
  <c r="L21" i="14"/>
  <c r="H133" i="8"/>
  <c r="H125" i="8" s="1"/>
  <c r="L289" i="8"/>
  <c r="N339" i="8"/>
  <c r="N340" i="8" s="1"/>
  <c r="H330" i="8" s="1"/>
  <c r="N341" i="8"/>
  <c r="H331" i="8" s="1"/>
  <c r="L19" i="9"/>
  <c r="I130" i="8" s="1"/>
  <c r="O127" i="8" s="1"/>
  <c r="L134" i="8"/>
  <c r="L82" i="11"/>
  <c r="O359" i="11"/>
  <c r="O360" i="11" s="1"/>
  <c r="I350" i="11" s="1"/>
  <c r="O362" i="11"/>
  <c r="L250" i="11"/>
  <c r="L50" i="11"/>
  <c r="I48" i="11" s="1"/>
  <c r="L133" i="8"/>
  <c r="J11" i="15"/>
  <c r="K11" i="15" s="1"/>
  <c r="L135" i="11"/>
  <c r="H134" i="11" s="1"/>
  <c r="I168" i="11"/>
  <c r="O359" i="14"/>
  <c r="O360" i="14" s="1"/>
  <c r="I350" i="14" s="1"/>
  <c r="O361" i="14"/>
  <c r="I351" i="14" s="1"/>
  <c r="L228" i="14"/>
  <c r="L230" i="14" s="1"/>
  <c r="I134" i="11"/>
  <c r="I125" i="11" s="1"/>
  <c r="L189" i="14"/>
  <c r="L290" i="11"/>
  <c r="L134" i="11"/>
  <c r="L269" i="14"/>
  <c r="L270" i="14"/>
  <c r="L136" i="14"/>
  <c r="I134" i="14" s="1"/>
  <c r="L290" i="14"/>
  <c r="L250" i="14"/>
  <c r="L209" i="14"/>
  <c r="H64" i="11"/>
  <c r="F19" i="12"/>
  <c r="H19" i="12" s="1"/>
  <c r="D19" i="12"/>
  <c r="I44" i="11" s="1"/>
  <c r="O41" i="11" s="1"/>
  <c r="L108" i="11"/>
  <c r="L49" i="11"/>
  <c r="H48" i="11" s="1"/>
  <c r="L50" i="14"/>
  <c r="I48" i="14" s="1"/>
  <c r="N361" i="11"/>
  <c r="H351" i="11" s="1"/>
  <c r="L189" i="11"/>
  <c r="L190" i="11"/>
  <c r="I188" i="11" s="1"/>
  <c r="L210" i="11"/>
  <c r="O359" i="8"/>
  <c r="O360" i="8" s="1"/>
  <c r="I350" i="8" s="1"/>
  <c r="O361" i="8"/>
  <c r="I351" i="8" s="1"/>
  <c r="N362" i="11"/>
  <c r="N319" i="14"/>
  <c r="N320" i="14" s="1"/>
  <c r="H310" i="14" s="1"/>
  <c r="N339" i="14"/>
  <c r="N340" i="14" s="1"/>
  <c r="H330" i="14" s="1"/>
  <c r="N322" i="14"/>
  <c r="H133" i="14"/>
  <c r="H125" i="14" s="1"/>
  <c r="N342" i="14"/>
  <c r="N359" i="8"/>
  <c r="N360" i="8" s="1"/>
  <c r="H350" i="8" s="1"/>
  <c r="O65" i="14"/>
  <c r="L63" i="14" s="1"/>
  <c r="H44" i="11"/>
  <c r="O40" i="11" s="1"/>
  <c r="C19" i="9"/>
  <c r="L228" i="8"/>
  <c r="L230" i="8" s="1"/>
  <c r="B11" i="9"/>
  <c r="C11" i="9" s="1"/>
  <c r="L22" i="11"/>
  <c r="I20" i="11" s="1"/>
  <c r="L21" i="11"/>
  <c r="N361" i="8"/>
  <c r="H351" i="8" s="1"/>
  <c r="H47" i="14"/>
  <c r="H39" i="14" s="1"/>
  <c r="O341" i="14"/>
  <c r="I331" i="14" s="1"/>
  <c r="I109" i="11"/>
  <c r="I100" i="11" s="1"/>
  <c r="O339" i="14"/>
  <c r="O340" i="14" s="1"/>
  <c r="I330" i="14" s="1"/>
  <c r="L47" i="14"/>
  <c r="C11" i="15"/>
  <c r="H44" i="14" s="1"/>
  <c r="O40" i="14" s="1"/>
  <c r="D11" i="15"/>
  <c r="I44" i="14" s="1"/>
  <c r="O41" i="14" s="1"/>
  <c r="L19" i="12"/>
  <c r="K19" i="12"/>
  <c r="K11" i="12"/>
  <c r="L11" i="12"/>
  <c r="O321" i="14"/>
  <c r="I311" i="14" s="1"/>
  <c r="O319" i="14"/>
  <c r="O320" i="14" s="1"/>
  <c r="I310" i="14" s="1"/>
  <c r="O322" i="14"/>
  <c r="L19" i="15"/>
  <c r="K19" i="15"/>
  <c r="L21" i="8"/>
  <c r="H20" i="8" s="1"/>
  <c r="L249" i="8"/>
  <c r="H19" i="9"/>
  <c r="G19" i="9"/>
  <c r="H11" i="9"/>
  <c r="G11" i="9"/>
  <c r="I234" i="11"/>
  <c r="O231" i="11" s="1"/>
  <c r="O66" i="11"/>
  <c r="G11" i="12"/>
  <c r="H11" i="12"/>
  <c r="O321" i="11"/>
  <c r="I311" i="11" s="1"/>
  <c r="O319" i="11"/>
  <c r="O320" i="11" s="1"/>
  <c r="I310" i="11" s="1"/>
  <c r="O322" i="11"/>
  <c r="N319" i="11"/>
  <c r="N320" i="11" s="1"/>
  <c r="H310" i="11" s="1"/>
  <c r="N322" i="11"/>
  <c r="N321" i="11"/>
  <c r="H311" i="11" s="1"/>
  <c r="O65" i="11"/>
  <c r="H234" i="11"/>
  <c r="O230" i="11" s="1"/>
  <c r="H109" i="11"/>
  <c r="H108" i="11"/>
  <c r="L63" i="8"/>
  <c r="L64" i="8" s="1"/>
  <c r="AA362" i="16"/>
  <c r="AA361" i="16" s="1"/>
  <c r="AA360" i="16" s="1"/>
  <c r="AA359" i="16" s="1"/>
  <c r="AA358" i="16" s="1"/>
  <c r="AA357" i="16" s="1"/>
  <c r="AA356" i="16" s="1"/>
  <c r="AA355" i="16" s="1"/>
  <c r="AA354" i="16" s="1"/>
  <c r="AA353" i="16" s="1"/>
  <c r="AA352" i="16" s="1"/>
  <c r="AA351" i="16" s="1"/>
  <c r="AA350" i="16" s="1"/>
  <c r="AA349" i="16" s="1"/>
  <c r="AA348" i="16" s="1"/>
  <c r="AA347" i="16" s="1"/>
  <c r="AA346" i="16" s="1"/>
  <c r="AA345" i="16" s="1"/>
  <c r="AA344" i="16" s="1"/>
  <c r="AA343" i="16" s="1"/>
  <c r="AA342" i="16" s="1"/>
  <c r="AA341" i="16" s="1"/>
  <c r="AA340" i="16" s="1"/>
  <c r="AA339" i="16" s="1"/>
  <c r="AA338" i="16" s="1"/>
  <c r="AA337" i="16" s="1"/>
  <c r="AA336" i="16" s="1"/>
  <c r="AA335" i="16" s="1"/>
  <c r="AA334" i="16" s="1"/>
  <c r="AA333" i="16" s="1"/>
  <c r="AA332" i="16" s="1"/>
  <c r="AA331" i="16" s="1"/>
  <c r="AA330" i="16" s="1"/>
  <c r="AA329" i="16" s="1"/>
  <c r="AA328" i="16" s="1"/>
  <c r="AA327" i="16" s="1"/>
  <c r="AA326" i="16" s="1"/>
  <c r="AA325" i="16" s="1"/>
  <c r="AA324" i="16" s="1"/>
  <c r="AA323" i="16" s="1"/>
  <c r="AA322" i="16" s="1"/>
  <c r="AA321" i="16" s="1"/>
  <c r="AA320" i="16" s="1"/>
  <c r="AA319" i="16" s="1"/>
  <c r="AA318" i="16" s="1"/>
  <c r="AA317" i="16" s="1"/>
  <c r="AA316" i="16" s="1"/>
  <c r="AA315" i="16" s="1"/>
  <c r="AA314" i="16" s="1"/>
  <c r="AA313" i="16" s="1"/>
  <c r="AA312" i="16" s="1"/>
  <c r="AA311" i="16" s="1"/>
  <c r="AA310" i="16" s="1"/>
  <c r="AA309" i="16" s="1"/>
  <c r="AA308" i="16" s="1"/>
  <c r="AA307" i="16" s="1"/>
  <c r="AA306" i="16" s="1"/>
  <c r="AA305" i="16" s="1"/>
  <c r="AA304" i="16" s="1"/>
  <c r="AA303" i="16" s="1"/>
  <c r="AA302" i="16" s="1"/>
  <c r="AA301" i="16" s="1"/>
  <c r="AA300" i="16" s="1"/>
  <c r="AA299" i="16" s="1"/>
  <c r="AA298" i="16" s="1"/>
  <c r="AA297" i="16" s="1"/>
  <c r="AA296" i="16" s="1"/>
  <c r="AA295" i="16" s="1"/>
  <c r="AA294" i="16" s="1"/>
  <c r="AA293" i="16" s="1"/>
  <c r="AA292" i="16" s="1"/>
  <c r="AA291" i="16" s="1"/>
  <c r="AA290" i="16" s="1"/>
  <c r="AA289" i="16" s="1"/>
  <c r="AA288" i="16" s="1"/>
  <c r="AA287" i="16" s="1"/>
  <c r="AA286" i="16" s="1"/>
  <c r="AA285" i="16" s="1"/>
  <c r="AA284" i="16" s="1"/>
  <c r="AA283" i="16" s="1"/>
  <c r="AA282" i="16" s="1"/>
  <c r="AA281" i="16" s="1"/>
  <c r="AA280" i="16" s="1"/>
  <c r="AA279" i="16" s="1"/>
  <c r="AA278" i="16" s="1"/>
  <c r="AA277" i="16" s="1"/>
  <c r="AA276" i="16" s="1"/>
  <c r="AA275" i="16" s="1"/>
  <c r="AA274" i="16" s="1"/>
  <c r="AA273" i="16" s="1"/>
  <c r="AA272" i="16" s="1"/>
  <c r="AA271" i="16" s="1"/>
  <c r="AA270" i="16" s="1"/>
  <c r="AA269" i="16" s="1"/>
  <c r="AA268" i="16" s="1"/>
  <c r="AA267" i="16" s="1"/>
  <c r="AA266" i="16" s="1"/>
  <c r="AA265" i="16" s="1"/>
  <c r="AA264" i="16" s="1"/>
  <c r="AA263" i="16" s="1"/>
  <c r="AA262" i="16" s="1"/>
  <c r="AA261" i="16" s="1"/>
  <c r="AA260" i="16" s="1"/>
  <c r="AA259" i="16" s="1"/>
  <c r="AA258" i="16" s="1"/>
  <c r="AA257" i="16" s="1"/>
  <c r="AA256" i="16" s="1"/>
  <c r="AA255" i="16" s="1"/>
  <c r="AA254" i="16" s="1"/>
  <c r="AA253" i="16" s="1"/>
  <c r="AA252" i="16" s="1"/>
  <c r="AA251" i="16" s="1"/>
  <c r="AA250" i="16" s="1"/>
  <c r="AA249" i="16" s="1"/>
  <c r="AA248" i="16" s="1"/>
  <c r="AA247" i="16" s="1"/>
  <c r="AA246" i="16" s="1"/>
  <c r="AA245" i="16" s="1"/>
  <c r="AA244" i="16" s="1"/>
  <c r="AA243" i="16" s="1"/>
  <c r="AA242" i="16" s="1"/>
  <c r="AA241" i="16" s="1"/>
  <c r="AA240" i="16" s="1"/>
  <c r="AA239" i="16" s="1"/>
  <c r="AA238" i="16" s="1"/>
  <c r="AA237" i="16" s="1"/>
  <c r="AA236" i="16" s="1"/>
  <c r="AA235" i="16" s="1"/>
  <c r="AA234" i="16" s="1"/>
  <c r="AA233" i="16" s="1"/>
  <c r="AA232" i="16" s="1"/>
  <c r="AA231" i="16" s="1"/>
  <c r="AA230" i="16" s="1"/>
  <c r="AA229" i="16" s="1"/>
  <c r="AA228" i="16" s="1"/>
  <c r="AA227" i="16" s="1"/>
  <c r="AA226" i="16" s="1"/>
  <c r="AA225" i="16" s="1"/>
  <c r="AA224" i="16" s="1"/>
  <c r="AA223" i="16" s="1"/>
  <c r="AA222" i="16" s="1"/>
  <c r="AA221" i="16" s="1"/>
  <c r="AA220" i="16" s="1"/>
  <c r="AA219" i="16" s="1"/>
  <c r="AA218" i="16" s="1"/>
  <c r="AA217" i="16" s="1"/>
  <c r="AA216" i="16" s="1"/>
  <c r="AA215" i="16" s="1"/>
  <c r="AA214" i="16" s="1"/>
  <c r="AA213" i="16" s="1"/>
  <c r="AA212" i="16" s="1"/>
  <c r="AA211" i="16" s="1"/>
  <c r="AA210" i="16" s="1"/>
  <c r="AA209" i="16" s="1"/>
  <c r="AA208" i="16" s="1"/>
  <c r="AA207" i="16" s="1"/>
  <c r="AA206" i="16" s="1"/>
  <c r="AA205" i="16" s="1"/>
  <c r="AA204" i="16" s="1"/>
  <c r="AA203" i="16" s="1"/>
  <c r="AA202" i="16" s="1"/>
  <c r="AA201" i="16" s="1"/>
  <c r="AA200" i="16" s="1"/>
  <c r="AA199" i="16" s="1"/>
  <c r="AA198" i="16" s="1"/>
  <c r="AA197" i="16" s="1"/>
  <c r="AA196" i="16" s="1"/>
  <c r="AA195" i="16" s="1"/>
  <c r="AA194" i="16" s="1"/>
  <c r="AA193" i="16" s="1"/>
  <c r="AA192" i="16" s="1"/>
  <c r="AA191" i="16" s="1"/>
  <c r="AA190" i="16" s="1"/>
  <c r="AA189" i="16" s="1"/>
  <c r="AA188" i="16" s="1"/>
  <c r="AA187" i="16" s="1"/>
  <c r="AA186" i="16" s="1"/>
  <c r="AA185" i="16" s="1"/>
  <c r="AA184" i="16" s="1"/>
  <c r="AA183" i="16" s="1"/>
  <c r="AA182" i="16" s="1"/>
  <c r="AA181" i="16" s="1"/>
  <c r="AA180" i="16" s="1"/>
  <c r="AA179" i="16" s="1"/>
  <c r="AA178" i="16" s="1"/>
  <c r="AA177" i="16" s="1"/>
  <c r="AA176" i="16" s="1"/>
  <c r="AA175" i="16" s="1"/>
  <c r="AA174" i="16" s="1"/>
  <c r="AA173" i="16" s="1"/>
  <c r="AA172" i="16" s="1"/>
  <c r="AA171" i="16" s="1"/>
  <c r="AA170" i="16" s="1"/>
  <c r="AA169" i="16" s="1"/>
  <c r="AA168" i="16" s="1"/>
  <c r="AA167" i="16" s="1"/>
  <c r="AA166" i="16" s="1"/>
  <c r="AA165" i="16" s="1"/>
  <c r="AA164" i="16" s="1"/>
  <c r="AA163" i="16" s="1"/>
  <c r="AA162" i="16" s="1"/>
  <c r="AA161" i="16" s="1"/>
  <c r="AA160" i="16" s="1"/>
  <c r="AA159" i="16" s="1"/>
  <c r="AA158" i="16" s="1"/>
  <c r="AA157" i="16" s="1"/>
  <c r="AA156" i="16" s="1"/>
  <c r="AA155" i="16" s="1"/>
  <c r="AA154" i="16" s="1"/>
  <c r="AA153" i="16" s="1"/>
  <c r="AA152" i="16" s="1"/>
  <c r="AA151" i="16" s="1"/>
  <c r="AA150" i="16" s="1"/>
  <c r="AA149" i="16" s="1"/>
  <c r="AA148" i="16" s="1"/>
  <c r="AA147" i="16" s="1"/>
  <c r="AA146" i="16" s="1"/>
  <c r="AA145" i="16" s="1"/>
  <c r="AA144" i="16" s="1"/>
  <c r="AA143" i="16" s="1"/>
  <c r="AA142" i="16" s="1"/>
  <c r="AA141" i="16" s="1"/>
  <c r="AA140" i="16" s="1"/>
  <c r="AA139" i="16" s="1"/>
  <c r="AA138" i="16" s="1"/>
  <c r="AA137" i="16" s="1"/>
  <c r="AA136" i="16" s="1"/>
  <c r="AA135" i="16" s="1"/>
  <c r="AA134" i="16" s="1"/>
  <c r="AA133" i="16" s="1"/>
  <c r="AA132" i="16" s="1"/>
  <c r="AA131" i="16" s="1"/>
  <c r="AA130" i="16" s="1"/>
  <c r="AA129" i="16" s="1"/>
  <c r="AA128" i="16" s="1"/>
  <c r="AA127" i="16" s="1"/>
  <c r="AA126" i="16" s="1"/>
  <c r="AA125" i="16" s="1"/>
  <c r="AA124" i="16" s="1"/>
  <c r="AA123" i="16" s="1"/>
  <c r="AA122" i="16" s="1"/>
  <c r="AA121" i="16" s="1"/>
  <c r="AA120" i="16" s="1"/>
  <c r="AA119" i="16" s="1"/>
  <c r="AA118" i="16" s="1"/>
  <c r="AA117" i="16" s="1"/>
  <c r="AA116" i="16" s="1"/>
  <c r="AA115" i="16" s="1"/>
  <c r="AA114" i="16" s="1"/>
  <c r="AA113" i="16" s="1"/>
  <c r="AA112" i="16" s="1"/>
  <c r="AA111" i="16" s="1"/>
  <c r="AA110" i="16" s="1"/>
  <c r="AA109" i="16" s="1"/>
  <c r="AA108" i="16" s="1"/>
  <c r="AA107" i="16" s="1"/>
  <c r="AA106" i="16" s="1"/>
  <c r="AA105" i="16" s="1"/>
  <c r="AA104" i="16" s="1"/>
  <c r="AA103" i="16" s="1"/>
  <c r="AA102" i="16" s="1"/>
  <c r="AA101" i="16" s="1"/>
  <c r="AA100" i="16" s="1"/>
  <c r="AA99" i="16" s="1"/>
  <c r="AA98" i="16" s="1"/>
  <c r="AA97" i="16" s="1"/>
  <c r="AA96" i="16" s="1"/>
  <c r="AA95" i="16" s="1"/>
  <c r="AA94" i="16" s="1"/>
  <c r="AA93" i="16" s="1"/>
  <c r="AA92" i="16" s="1"/>
  <c r="AA91" i="16" s="1"/>
  <c r="AA90" i="16" s="1"/>
  <c r="AA89" i="16" s="1"/>
  <c r="AA88" i="16" s="1"/>
  <c r="AA87" i="16" s="1"/>
  <c r="AA86" i="16" s="1"/>
  <c r="AA85" i="16" s="1"/>
  <c r="AA84" i="16" s="1"/>
  <c r="AA83" i="16" s="1"/>
  <c r="AA82" i="16" s="1"/>
  <c r="AA81" i="16" s="1"/>
  <c r="AA80" i="16" s="1"/>
  <c r="AA79" i="16" s="1"/>
  <c r="AA78" i="16" s="1"/>
  <c r="AA77" i="16" s="1"/>
  <c r="AA76" i="16" s="1"/>
  <c r="AA75" i="16" s="1"/>
  <c r="AA74" i="16" s="1"/>
  <c r="AA73" i="16" s="1"/>
  <c r="AA72" i="16" s="1"/>
  <c r="AA71" i="16" s="1"/>
  <c r="AA70" i="16" s="1"/>
  <c r="AA69" i="16" s="1"/>
  <c r="AA68" i="16" s="1"/>
  <c r="AA67" i="16" s="1"/>
  <c r="AA66" i="16" s="1"/>
  <c r="AA65" i="16" s="1"/>
  <c r="AA64" i="16" s="1"/>
  <c r="AA63" i="16" s="1"/>
  <c r="AA62" i="16" s="1"/>
  <c r="AA61" i="16" s="1"/>
  <c r="AA60" i="16" s="1"/>
  <c r="AA59" i="16" s="1"/>
  <c r="AA58" i="16" s="1"/>
  <c r="AA57" i="16" s="1"/>
  <c r="AA56" i="16" s="1"/>
  <c r="AA55" i="16" s="1"/>
  <c r="AA54" i="16" s="1"/>
  <c r="AA53" i="16" s="1"/>
  <c r="AA52" i="16" s="1"/>
  <c r="AA51" i="16" s="1"/>
  <c r="AA50" i="16" s="1"/>
  <c r="AA49" i="16" s="1"/>
  <c r="AA48" i="16" s="1"/>
  <c r="AA47" i="16" s="1"/>
  <c r="AA46" i="16" s="1"/>
  <c r="AA45" i="16" s="1"/>
  <c r="AA44" i="16" s="1"/>
  <c r="AA43" i="16" s="1"/>
  <c r="AA42" i="16" s="1"/>
  <c r="AA41" i="16" s="1"/>
  <c r="AA40" i="16" s="1"/>
  <c r="AA39" i="16" s="1"/>
  <c r="AA38" i="16" s="1"/>
  <c r="AA37" i="16" s="1"/>
  <c r="AA36" i="16" s="1"/>
  <c r="AA35" i="16" s="1"/>
  <c r="AA34" i="16" s="1"/>
  <c r="AA33" i="16" s="1"/>
  <c r="AA32" i="16" s="1"/>
  <c r="AA31" i="16" s="1"/>
  <c r="AA30" i="16" s="1"/>
  <c r="AA29" i="16" s="1"/>
  <c r="AA28" i="16" s="1"/>
  <c r="AA27" i="16" s="1"/>
  <c r="AA26" i="16" s="1"/>
  <c r="AA25" i="16" s="1"/>
  <c r="AA24" i="16" s="1"/>
  <c r="AA23" i="16" s="1"/>
  <c r="AA22" i="16" s="1"/>
  <c r="AA21" i="16" s="1"/>
  <c r="AA20" i="16" s="1"/>
  <c r="AA19" i="16" s="1"/>
  <c r="AA18" i="16" s="1"/>
  <c r="AA17" i="16" s="1"/>
  <c r="AA16" i="16" s="1"/>
  <c r="AA15" i="16" s="1"/>
  <c r="AA14" i="16" s="1"/>
  <c r="AA13" i="16" s="1"/>
  <c r="AA12" i="16" s="1"/>
  <c r="AA11" i="16" s="1"/>
  <c r="AA10" i="16" s="1"/>
  <c r="AA9" i="16" s="1"/>
  <c r="AA8" i="16" s="1"/>
  <c r="AA7" i="16" s="1"/>
  <c r="AA6" i="16" s="1"/>
  <c r="AA5" i="16" s="1"/>
  <c r="AA4" i="16" s="1"/>
  <c r="AA3" i="16" s="1"/>
  <c r="AD363" i="16"/>
  <c r="AI363" i="16"/>
  <c r="AI362" i="16" s="1"/>
  <c r="AI361" i="16" s="1"/>
  <c r="AI360" i="16" s="1"/>
  <c r="AI359" i="16" s="1"/>
  <c r="AI358" i="16" s="1"/>
  <c r="AI357" i="16" s="1"/>
  <c r="AI356" i="16" s="1"/>
  <c r="AI355" i="16" s="1"/>
  <c r="AI354" i="16" s="1"/>
  <c r="AI353" i="16" s="1"/>
  <c r="AI352" i="16" s="1"/>
  <c r="AI351" i="16" s="1"/>
  <c r="AI350" i="16" s="1"/>
  <c r="AI349" i="16" s="1"/>
  <c r="AI348" i="16" s="1"/>
  <c r="AI347" i="16" s="1"/>
  <c r="AI346" i="16" s="1"/>
  <c r="AI345" i="16" s="1"/>
  <c r="AI344" i="16" s="1"/>
  <c r="AI343" i="16" s="1"/>
  <c r="AI342" i="16" s="1"/>
  <c r="AI341" i="16" s="1"/>
  <c r="AI340" i="16" s="1"/>
  <c r="AI339" i="16" s="1"/>
  <c r="AI338" i="16" s="1"/>
  <c r="AI337" i="16" s="1"/>
  <c r="AI336" i="16" s="1"/>
  <c r="AI335" i="16" s="1"/>
  <c r="AI334" i="16" s="1"/>
  <c r="AI333" i="16" s="1"/>
  <c r="AI332" i="16" s="1"/>
  <c r="AI331" i="16" s="1"/>
  <c r="AI330" i="16" s="1"/>
  <c r="AI329" i="16" s="1"/>
  <c r="AI328" i="16" s="1"/>
  <c r="AI327" i="16" s="1"/>
  <c r="AI326" i="16" s="1"/>
  <c r="AI325" i="16" s="1"/>
  <c r="AI324" i="16" s="1"/>
  <c r="AI323" i="16" s="1"/>
  <c r="AI322" i="16" s="1"/>
  <c r="AI321" i="16" s="1"/>
  <c r="AI320" i="16" s="1"/>
  <c r="AI319" i="16" s="1"/>
  <c r="AI318" i="16" s="1"/>
  <c r="AI317" i="16" s="1"/>
  <c r="AI316" i="16" s="1"/>
  <c r="AI315" i="16" s="1"/>
  <c r="AI314" i="16" s="1"/>
  <c r="AI313" i="16" s="1"/>
  <c r="AI312" i="16" s="1"/>
  <c r="AI311" i="16" s="1"/>
  <c r="AI310" i="16" s="1"/>
  <c r="AI309" i="16" s="1"/>
  <c r="AI308" i="16" s="1"/>
  <c r="AI307" i="16" s="1"/>
  <c r="AI306" i="16" s="1"/>
  <c r="AI305" i="16" s="1"/>
  <c r="AI304" i="16" s="1"/>
  <c r="AI303" i="16" s="1"/>
  <c r="AI302" i="16" s="1"/>
  <c r="AI301" i="16" s="1"/>
  <c r="AI300" i="16" s="1"/>
  <c r="AI299" i="16" s="1"/>
  <c r="AI298" i="16" s="1"/>
  <c r="AI297" i="16" s="1"/>
  <c r="AI296" i="16" s="1"/>
  <c r="AI295" i="16" s="1"/>
  <c r="AI294" i="16" s="1"/>
  <c r="AI293" i="16" s="1"/>
  <c r="AI292" i="16" s="1"/>
  <c r="AI291" i="16" s="1"/>
  <c r="AI290" i="16" s="1"/>
  <c r="AI289" i="16" s="1"/>
  <c r="AI288" i="16" s="1"/>
  <c r="AI287" i="16" s="1"/>
  <c r="AI286" i="16" s="1"/>
  <c r="AI285" i="16" s="1"/>
  <c r="AI284" i="16" s="1"/>
  <c r="AI283" i="16" s="1"/>
  <c r="AI282" i="16" s="1"/>
  <c r="AI281" i="16" s="1"/>
  <c r="AI280" i="16" s="1"/>
  <c r="AI279" i="16" s="1"/>
  <c r="AI278" i="16" s="1"/>
  <c r="AI277" i="16" s="1"/>
  <c r="AI276" i="16" s="1"/>
  <c r="AI275" i="16" s="1"/>
  <c r="AI274" i="16" s="1"/>
  <c r="AI273" i="16" s="1"/>
  <c r="AI272" i="16" s="1"/>
  <c r="AI271" i="16" s="1"/>
  <c r="AI270" i="16" s="1"/>
  <c r="AI269" i="16" s="1"/>
  <c r="AI268" i="16" s="1"/>
  <c r="AI267" i="16" s="1"/>
  <c r="AI266" i="16" s="1"/>
  <c r="AI265" i="16" s="1"/>
  <c r="AI264" i="16" s="1"/>
  <c r="AI263" i="16" s="1"/>
  <c r="AI262" i="16" s="1"/>
  <c r="AI261" i="16" s="1"/>
  <c r="AI260" i="16" s="1"/>
  <c r="AI259" i="16" s="1"/>
  <c r="AI258" i="16" s="1"/>
  <c r="AI257" i="16" s="1"/>
  <c r="AI256" i="16" s="1"/>
  <c r="AI255" i="16" s="1"/>
  <c r="AI254" i="16" s="1"/>
  <c r="AI253" i="16" s="1"/>
  <c r="AI252" i="16" s="1"/>
  <c r="AI251" i="16" s="1"/>
  <c r="AI250" i="16" s="1"/>
  <c r="AI249" i="16" s="1"/>
  <c r="AI248" i="16" s="1"/>
  <c r="AI247" i="16" s="1"/>
  <c r="AI246" i="16" s="1"/>
  <c r="AI245" i="16" s="1"/>
  <c r="AI244" i="16" s="1"/>
  <c r="AI243" i="16" s="1"/>
  <c r="AI242" i="16" s="1"/>
  <c r="AI241" i="16" s="1"/>
  <c r="AI240" i="16" s="1"/>
  <c r="AI239" i="16" s="1"/>
  <c r="AI238" i="16" s="1"/>
  <c r="AI237" i="16" s="1"/>
  <c r="AI236" i="16" s="1"/>
  <c r="AI235" i="16" s="1"/>
  <c r="AI234" i="16" s="1"/>
  <c r="AI233" i="16" s="1"/>
  <c r="AI232" i="16" s="1"/>
  <c r="AI231" i="16" s="1"/>
  <c r="AI230" i="16" s="1"/>
  <c r="AI229" i="16" s="1"/>
  <c r="AI228" i="16" s="1"/>
  <c r="AI227" i="16" s="1"/>
  <c r="AI226" i="16" s="1"/>
  <c r="AI225" i="16" s="1"/>
  <c r="AI224" i="16" s="1"/>
  <c r="AI223" i="16" s="1"/>
  <c r="AI222" i="16" s="1"/>
  <c r="AI221" i="16" s="1"/>
  <c r="AI220" i="16" s="1"/>
  <c r="AI219" i="16" s="1"/>
  <c r="AI218" i="16" s="1"/>
  <c r="AI217" i="16" s="1"/>
  <c r="AI216" i="16" s="1"/>
  <c r="AI215" i="16" s="1"/>
  <c r="AI214" i="16" s="1"/>
  <c r="AI213" i="16" s="1"/>
  <c r="AI212" i="16" s="1"/>
  <c r="AI211" i="16" s="1"/>
  <c r="AI210" i="16" s="1"/>
  <c r="AI209" i="16" s="1"/>
  <c r="AI208" i="16" s="1"/>
  <c r="AI207" i="16" s="1"/>
  <c r="AI206" i="16" s="1"/>
  <c r="AI205" i="16" s="1"/>
  <c r="AI204" i="16" s="1"/>
  <c r="AI203" i="16" s="1"/>
  <c r="AI202" i="16" s="1"/>
  <c r="AI201" i="16" s="1"/>
  <c r="AI200" i="16" s="1"/>
  <c r="AI199" i="16" s="1"/>
  <c r="AI198" i="16" s="1"/>
  <c r="AI197" i="16" s="1"/>
  <c r="AI196" i="16" s="1"/>
  <c r="AI195" i="16" s="1"/>
  <c r="AI194" i="16" s="1"/>
  <c r="AI193" i="16" s="1"/>
  <c r="AI192" i="16" s="1"/>
  <c r="AI191" i="16" s="1"/>
  <c r="AI190" i="16" s="1"/>
  <c r="AI189" i="16" s="1"/>
  <c r="AI188" i="16" s="1"/>
  <c r="AI187" i="16" s="1"/>
  <c r="AI186" i="16" s="1"/>
  <c r="AI185" i="16" s="1"/>
  <c r="AI184" i="16" s="1"/>
  <c r="AI183" i="16" s="1"/>
  <c r="AI182" i="16" s="1"/>
  <c r="AI181" i="16" s="1"/>
  <c r="AI180" i="16" s="1"/>
  <c r="AI179" i="16" s="1"/>
  <c r="AI178" i="16" s="1"/>
  <c r="AI177" i="16" s="1"/>
  <c r="AI176" i="16" s="1"/>
  <c r="AI175" i="16" s="1"/>
  <c r="AI174" i="16" s="1"/>
  <c r="AI173" i="16" s="1"/>
  <c r="AI172" i="16" s="1"/>
  <c r="AI171" i="16" s="1"/>
  <c r="AI170" i="16" s="1"/>
  <c r="AI169" i="16" s="1"/>
  <c r="AI168" i="16" s="1"/>
  <c r="AI167" i="16" s="1"/>
  <c r="AI166" i="16" s="1"/>
  <c r="AI165" i="16" s="1"/>
  <c r="AI164" i="16" s="1"/>
  <c r="AI163" i="16" s="1"/>
  <c r="AI162" i="16" s="1"/>
  <c r="AI161" i="16" s="1"/>
  <c r="AI160" i="16" s="1"/>
  <c r="AI159" i="16" s="1"/>
  <c r="AI158" i="16" s="1"/>
  <c r="AI157" i="16" s="1"/>
  <c r="AI156" i="16" s="1"/>
  <c r="AI155" i="16" s="1"/>
  <c r="AI154" i="16" s="1"/>
  <c r="AI153" i="16" s="1"/>
  <c r="AI152" i="16" s="1"/>
  <c r="AI151" i="16" s="1"/>
  <c r="AI150" i="16" s="1"/>
  <c r="AI149" i="16" s="1"/>
  <c r="AI148" i="16" s="1"/>
  <c r="AI147" i="16" s="1"/>
  <c r="AI146" i="16" s="1"/>
  <c r="AI145" i="16" s="1"/>
  <c r="AI144" i="16" s="1"/>
  <c r="AI143" i="16" s="1"/>
  <c r="AI142" i="16" s="1"/>
  <c r="AI141" i="16" s="1"/>
  <c r="AI140" i="16" s="1"/>
  <c r="AI139" i="16" s="1"/>
  <c r="AI138" i="16" s="1"/>
  <c r="AI137" i="16" s="1"/>
  <c r="AI136" i="16" s="1"/>
  <c r="AI135" i="16" s="1"/>
  <c r="AI134" i="16" s="1"/>
  <c r="AI133" i="16" s="1"/>
  <c r="AI132" i="16" s="1"/>
  <c r="AI131" i="16" s="1"/>
  <c r="AI130" i="16" s="1"/>
  <c r="AI129" i="16" s="1"/>
  <c r="AI128" i="16" s="1"/>
  <c r="AI127" i="16" s="1"/>
  <c r="AI126" i="16" s="1"/>
  <c r="AI125" i="16" s="1"/>
  <c r="AI124" i="16" s="1"/>
  <c r="AI123" i="16" s="1"/>
  <c r="AI122" i="16" s="1"/>
  <c r="AI121" i="16" s="1"/>
  <c r="AI120" i="16" s="1"/>
  <c r="AI119" i="16" s="1"/>
  <c r="AI118" i="16" s="1"/>
  <c r="AI117" i="16" s="1"/>
  <c r="AI116" i="16" s="1"/>
  <c r="AI115" i="16" s="1"/>
  <c r="AI114" i="16" s="1"/>
  <c r="AI113" i="16" s="1"/>
  <c r="AI112" i="16" s="1"/>
  <c r="AI111" i="16" s="1"/>
  <c r="AI110" i="16" s="1"/>
  <c r="AI109" i="16" s="1"/>
  <c r="AI108" i="16" s="1"/>
  <c r="AI107" i="16" s="1"/>
  <c r="AI106" i="16" s="1"/>
  <c r="AI105" i="16" s="1"/>
  <c r="AI104" i="16" s="1"/>
  <c r="AI103" i="16" s="1"/>
  <c r="AI102" i="16" s="1"/>
  <c r="AI101" i="16" s="1"/>
  <c r="AI100" i="16" s="1"/>
  <c r="AI99" i="16" s="1"/>
  <c r="AI98" i="16" s="1"/>
  <c r="AI97" i="16" s="1"/>
  <c r="AI96" i="16" s="1"/>
  <c r="AI95" i="16" s="1"/>
  <c r="AI94" i="16" s="1"/>
  <c r="AI93" i="16" s="1"/>
  <c r="AI92" i="16" s="1"/>
  <c r="AI91" i="16" s="1"/>
  <c r="AI90" i="16" s="1"/>
  <c r="AI89" i="16" s="1"/>
  <c r="AI88" i="16" s="1"/>
  <c r="AI87" i="16" s="1"/>
  <c r="AI86" i="16" s="1"/>
  <c r="AI85" i="16" s="1"/>
  <c r="AI84" i="16" s="1"/>
  <c r="AI83" i="16" s="1"/>
  <c r="AI82" i="16" s="1"/>
  <c r="AI81" i="16" s="1"/>
  <c r="AI80" i="16" s="1"/>
  <c r="AI79" i="16" s="1"/>
  <c r="AI78" i="16" s="1"/>
  <c r="AI77" i="16" s="1"/>
  <c r="AI76" i="16" s="1"/>
  <c r="AI75" i="16" s="1"/>
  <c r="AI74" i="16" s="1"/>
  <c r="AI73" i="16" s="1"/>
  <c r="AI72" i="16" s="1"/>
  <c r="AI71" i="16" s="1"/>
  <c r="AI70" i="16" s="1"/>
  <c r="AI69" i="16" s="1"/>
  <c r="AI68" i="16" s="1"/>
  <c r="AI67" i="16" s="1"/>
  <c r="AI66" i="16" s="1"/>
  <c r="AI65" i="16" s="1"/>
  <c r="AI64" i="16" s="1"/>
  <c r="AI63" i="16" s="1"/>
  <c r="AI62" i="16" s="1"/>
  <c r="AI61" i="16" s="1"/>
  <c r="AI60" i="16" s="1"/>
  <c r="AI59" i="16" s="1"/>
  <c r="AI58" i="16" s="1"/>
  <c r="AI57" i="16" s="1"/>
  <c r="AI56" i="16" s="1"/>
  <c r="AI55" i="16" s="1"/>
  <c r="AI54" i="16" s="1"/>
  <c r="AI53" i="16" s="1"/>
  <c r="AI52" i="16" s="1"/>
  <c r="AI51" i="16" s="1"/>
  <c r="AI50" i="16" s="1"/>
  <c r="AI49" i="16" s="1"/>
  <c r="AI48" i="16" s="1"/>
  <c r="AI47" i="16" s="1"/>
  <c r="AI46" i="16" s="1"/>
  <c r="AI45" i="16" s="1"/>
  <c r="AI44" i="16" s="1"/>
  <c r="AI43" i="16" s="1"/>
  <c r="AI42" i="16" s="1"/>
  <c r="AI41" i="16" s="1"/>
  <c r="AI40" i="16" s="1"/>
  <c r="AI39" i="16" s="1"/>
  <c r="AI38" i="16" s="1"/>
  <c r="AI37" i="16" s="1"/>
  <c r="AI36" i="16" s="1"/>
  <c r="AI35" i="16" s="1"/>
  <c r="AI34" i="16" s="1"/>
  <c r="AI33" i="16" s="1"/>
  <c r="AI32" i="16" s="1"/>
  <c r="AI31" i="16" s="1"/>
  <c r="AI30" i="16" s="1"/>
  <c r="AI29" i="16" s="1"/>
  <c r="AI28" i="16" s="1"/>
  <c r="AI27" i="16" s="1"/>
  <c r="AI26" i="16" s="1"/>
  <c r="AI25" i="16" s="1"/>
  <c r="AI24" i="16" s="1"/>
  <c r="AI23" i="16" s="1"/>
  <c r="AI22" i="16" s="1"/>
  <c r="AI21" i="16" s="1"/>
  <c r="AI20" i="16" s="1"/>
  <c r="AI19" i="16" s="1"/>
  <c r="AI18" i="16" s="1"/>
  <c r="AI17" i="16" s="1"/>
  <c r="AI16" i="16" s="1"/>
  <c r="AI15" i="16" s="1"/>
  <c r="AI14" i="16" s="1"/>
  <c r="AI13" i="16" s="1"/>
  <c r="AI12" i="16" s="1"/>
  <c r="AI11" i="16" s="1"/>
  <c r="AI10" i="16" s="1"/>
  <c r="AI9" i="16" s="1"/>
  <c r="AI8" i="16" s="1"/>
  <c r="AI7" i="16" s="1"/>
  <c r="AI6" i="16" s="1"/>
  <c r="AI5" i="16" s="1"/>
  <c r="AI4" i="16" s="1"/>
  <c r="AI3" i="16" s="1"/>
  <c r="AF362" i="16"/>
  <c r="AF361" i="16" s="1"/>
  <c r="AF360" i="16" s="1"/>
  <c r="AF359" i="16" s="1"/>
  <c r="AF358" i="16" s="1"/>
  <c r="AF357" i="16" s="1"/>
  <c r="AF356" i="16" s="1"/>
  <c r="AF355" i="16" s="1"/>
  <c r="AF354" i="16" s="1"/>
  <c r="AF353" i="16" s="1"/>
  <c r="AF352" i="16" s="1"/>
  <c r="AF351" i="16" s="1"/>
  <c r="AF350" i="16" s="1"/>
  <c r="AF349" i="16" s="1"/>
  <c r="AF348" i="16" s="1"/>
  <c r="AF347" i="16" s="1"/>
  <c r="AF346" i="16" s="1"/>
  <c r="AF345" i="16" s="1"/>
  <c r="AF344" i="16" s="1"/>
  <c r="AF343" i="16" s="1"/>
  <c r="AF342" i="16" s="1"/>
  <c r="AF341" i="16" s="1"/>
  <c r="AF340" i="16" s="1"/>
  <c r="AF339" i="16" s="1"/>
  <c r="AF338" i="16" s="1"/>
  <c r="AF337" i="16" s="1"/>
  <c r="AF336" i="16" s="1"/>
  <c r="AF335" i="16" s="1"/>
  <c r="AF334" i="16" s="1"/>
  <c r="AF333" i="16" s="1"/>
  <c r="AF332" i="16" s="1"/>
  <c r="AF331" i="16" s="1"/>
  <c r="AF330" i="16" s="1"/>
  <c r="AF329" i="16" s="1"/>
  <c r="AF328" i="16" s="1"/>
  <c r="AF327" i="16" s="1"/>
  <c r="AF326" i="16" s="1"/>
  <c r="AF325" i="16" s="1"/>
  <c r="AF324" i="16" s="1"/>
  <c r="AF323" i="16" s="1"/>
  <c r="AF322" i="16" s="1"/>
  <c r="AF321" i="16" s="1"/>
  <c r="AF320" i="16" s="1"/>
  <c r="AF319" i="16" s="1"/>
  <c r="AF318" i="16" s="1"/>
  <c r="AF317" i="16" s="1"/>
  <c r="AF316" i="16" s="1"/>
  <c r="AF315" i="16" s="1"/>
  <c r="AF314" i="16" s="1"/>
  <c r="AF313" i="16" s="1"/>
  <c r="AF312" i="16" s="1"/>
  <c r="AF311" i="16" s="1"/>
  <c r="AF310" i="16" s="1"/>
  <c r="AF309" i="16" s="1"/>
  <c r="AF308" i="16" s="1"/>
  <c r="AF307" i="16" s="1"/>
  <c r="AF306" i="16" s="1"/>
  <c r="AF305" i="16" s="1"/>
  <c r="AF304" i="16" s="1"/>
  <c r="AF303" i="16" s="1"/>
  <c r="AF302" i="16" s="1"/>
  <c r="AF301" i="16" s="1"/>
  <c r="AF300" i="16" s="1"/>
  <c r="AF299" i="16" s="1"/>
  <c r="AF298" i="16" s="1"/>
  <c r="AF297" i="16" s="1"/>
  <c r="AF296" i="16" s="1"/>
  <c r="AF295" i="16" s="1"/>
  <c r="AF294" i="16" s="1"/>
  <c r="AF293" i="16" s="1"/>
  <c r="AF292" i="16" s="1"/>
  <c r="AF291" i="16" s="1"/>
  <c r="AF290" i="16" s="1"/>
  <c r="AF289" i="16" s="1"/>
  <c r="AF288" i="16" s="1"/>
  <c r="AF287" i="16" s="1"/>
  <c r="AF286" i="16" s="1"/>
  <c r="AF285" i="16" s="1"/>
  <c r="AF284" i="16" s="1"/>
  <c r="AF283" i="16" s="1"/>
  <c r="AF282" i="16" s="1"/>
  <c r="AF281" i="16" s="1"/>
  <c r="AF280" i="16" s="1"/>
  <c r="AF279" i="16" s="1"/>
  <c r="AF278" i="16" s="1"/>
  <c r="AF277" i="16" s="1"/>
  <c r="AF276" i="16" s="1"/>
  <c r="AF275" i="16" s="1"/>
  <c r="AF274" i="16" s="1"/>
  <c r="AF273" i="16" s="1"/>
  <c r="AF272" i="16" s="1"/>
  <c r="AF271" i="16" s="1"/>
  <c r="AF270" i="16" s="1"/>
  <c r="AF269" i="16" s="1"/>
  <c r="AF268" i="16" s="1"/>
  <c r="AF267" i="16" s="1"/>
  <c r="AF266" i="16" s="1"/>
  <c r="AF265" i="16" s="1"/>
  <c r="AF264" i="16" s="1"/>
  <c r="AF263" i="16" s="1"/>
  <c r="AF262" i="16" s="1"/>
  <c r="AF261" i="16" s="1"/>
  <c r="AF260" i="16" s="1"/>
  <c r="AF259" i="16" s="1"/>
  <c r="AF258" i="16" s="1"/>
  <c r="AF257" i="16" s="1"/>
  <c r="AF256" i="16" s="1"/>
  <c r="AF255" i="16" s="1"/>
  <c r="AF254" i="16" s="1"/>
  <c r="AF253" i="16" s="1"/>
  <c r="AF252" i="16" s="1"/>
  <c r="AF251" i="16" s="1"/>
  <c r="AF250" i="16" s="1"/>
  <c r="AF249" i="16" s="1"/>
  <c r="AF248" i="16" s="1"/>
  <c r="AF247" i="16" s="1"/>
  <c r="AF246" i="16" s="1"/>
  <c r="AF245" i="16" s="1"/>
  <c r="AF244" i="16" s="1"/>
  <c r="AF243" i="16" s="1"/>
  <c r="AF242" i="16" s="1"/>
  <c r="AF241" i="16" s="1"/>
  <c r="AF240" i="16" s="1"/>
  <c r="AF239" i="16" s="1"/>
  <c r="AF238" i="16" s="1"/>
  <c r="AF237" i="16" s="1"/>
  <c r="AF236" i="16" s="1"/>
  <c r="AF235" i="16" s="1"/>
  <c r="AF234" i="16" s="1"/>
  <c r="AF233" i="16" s="1"/>
  <c r="AF232" i="16" s="1"/>
  <c r="AF231" i="16" s="1"/>
  <c r="AF230" i="16" s="1"/>
  <c r="AF229" i="16" s="1"/>
  <c r="AF228" i="16" s="1"/>
  <c r="AF227" i="16" s="1"/>
  <c r="AF226" i="16" s="1"/>
  <c r="AF225" i="16" s="1"/>
  <c r="AF224" i="16" s="1"/>
  <c r="AF223" i="16" s="1"/>
  <c r="AF222" i="16" s="1"/>
  <c r="AF221" i="16" s="1"/>
  <c r="AF220" i="16" s="1"/>
  <c r="AF219" i="16" s="1"/>
  <c r="AF218" i="16" s="1"/>
  <c r="AF217" i="16" s="1"/>
  <c r="AF216" i="16" s="1"/>
  <c r="AF215" i="16" s="1"/>
  <c r="AF214" i="16" s="1"/>
  <c r="AF213" i="16" s="1"/>
  <c r="AF212" i="16" s="1"/>
  <c r="AF211" i="16" s="1"/>
  <c r="AF210" i="16" s="1"/>
  <c r="AF209" i="16" s="1"/>
  <c r="AF208" i="16" s="1"/>
  <c r="AF207" i="16" s="1"/>
  <c r="AF206" i="16" s="1"/>
  <c r="AF205" i="16" s="1"/>
  <c r="AF204" i="16" s="1"/>
  <c r="AF203" i="16" s="1"/>
  <c r="AF202" i="16" s="1"/>
  <c r="AF201" i="16" s="1"/>
  <c r="AF200" i="16" s="1"/>
  <c r="AF199" i="16" s="1"/>
  <c r="AF198" i="16" s="1"/>
  <c r="AF197" i="16" s="1"/>
  <c r="AF196" i="16" s="1"/>
  <c r="AF195" i="16" s="1"/>
  <c r="AF194" i="16" s="1"/>
  <c r="AF193" i="16" s="1"/>
  <c r="AF192" i="16" s="1"/>
  <c r="AF191" i="16" s="1"/>
  <c r="AF190" i="16" s="1"/>
  <c r="AF189" i="16" s="1"/>
  <c r="AF188" i="16" s="1"/>
  <c r="AF187" i="16" s="1"/>
  <c r="AF186" i="16" s="1"/>
  <c r="AF185" i="16" s="1"/>
  <c r="AF184" i="16" s="1"/>
  <c r="AF183" i="16" s="1"/>
  <c r="AF182" i="16" s="1"/>
  <c r="AF181" i="16" s="1"/>
  <c r="AF180" i="16" s="1"/>
  <c r="AF179" i="16" s="1"/>
  <c r="AF178" i="16" s="1"/>
  <c r="AF177" i="16" s="1"/>
  <c r="AF176" i="16" s="1"/>
  <c r="AF175" i="16" s="1"/>
  <c r="AF174" i="16" s="1"/>
  <c r="AF173" i="16" s="1"/>
  <c r="AF172" i="16" s="1"/>
  <c r="AF171" i="16" s="1"/>
  <c r="AF170" i="16" s="1"/>
  <c r="AF169" i="16" s="1"/>
  <c r="AF168" i="16" s="1"/>
  <c r="AF167" i="16" s="1"/>
  <c r="AF166" i="16" s="1"/>
  <c r="AF165" i="16" s="1"/>
  <c r="AF164" i="16" s="1"/>
  <c r="AF163" i="16" s="1"/>
  <c r="AF162" i="16" s="1"/>
  <c r="AF161" i="16" s="1"/>
  <c r="AF160" i="16" s="1"/>
  <c r="AF159" i="16" s="1"/>
  <c r="AF158" i="16" s="1"/>
  <c r="AF157" i="16" s="1"/>
  <c r="AF156" i="16" s="1"/>
  <c r="AF155" i="16" s="1"/>
  <c r="AF154" i="16" s="1"/>
  <c r="AF153" i="16" s="1"/>
  <c r="AF152" i="16" s="1"/>
  <c r="AF151" i="16" s="1"/>
  <c r="AF150" i="16" s="1"/>
  <c r="AF149" i="16" s="1"/>
  <c r="AF148" i="16" s="1"/>
  <c r="AF147" i="16" s="1"/>
  <c r="AF146" i="16" s="1"/>
  <c r="AF145" i="16" s="1"/>
  <c r="AF144" i="16" s="1"/>
  <c r="AF143" i="16" s="1"/>
  <c r="AF142" i="16" s="1"/>
  <c r="AF141" i="16" s="1"/>
  <c r="AF140" i="16" s="1"/>
  <c r="AF139" i="16" s="1"/>
  <c r="AF138" i="16" s="1"/>
  <c r="AF137" i="16" s="1"/>
  <c r="AF136" i="16" s="1"/>
  <c r="AF135" i="16" s="1"/>
  <c r="AF134" i="16" s="1"/>
  <c r="AF133" i="16" s="1"/>
  <c r="AF132" i="16" s="1"/>
  <c r="AF131" i="16" s="1"/>
  <c r="AF130" i="16" s="1"/>
  <c r="AF129" i="16" s="1"/>
  <c r="AF128" i="16" s="1"/>
  <c r="AF127" i="16" s="1"/>
  <c r="AF126" i="16" s="1"/>
  <c r="AF125" i="16" s="1"/>
  <c r="AF124" i="16" s="1"/>
  <c r="AF123" i="16" s="1"/>
  <c r="AF122" i="16" s="1"/>
  <c r="AF121" i="16" s="1"/>
  <c r="AF120" i="16" s="1"/>
  <c r="AF119" i="16" s="1"/>
  <c r="AF118" i="16" s="1"/>
  <c r="AF117" i="16" s="1"/>
  <c r="AF116" i="16" s="1"/>
  <c r="AF115" i="16" s="1"/>
  <c r="AF114" i="16" s="1"/>
  <c r="AF113" i="16" s="1"/>
  <c r="AF112" i="16" s="1"/>
  <c r="AF111" i="16" s="1"/>
  <c r="AF110" i="16" s="1"/>
  <c r="AF109" i="16" s="1"/>
  <c r="AF108" i="16" s="1"/>
  <c r="AF107" i="16" s="1"/>
  <c r="AF106" i="16" s="1"/>
  <c r="AF105" i="16" s="1"/>
  <c r="AF104" i="16" s="1"/>
  <c r="AF103" i="16" s="1"/>
  <c r="AF102" i="16" s="1"/>
  <c r="AF101" i="16" s="1"/>
  <c r="AF100" i="16" s="1"/>
  <c r="AF99" i="16" s="1"/>
  <c r="AF98" i="16" s="1"/>
  <c r="AF97" i="16" s="1"/>
  <c r="AF96" i="16" s="1"/>
  <c r="AF95" i="16" s="1"/>
  <c r="AF94" i="16" s="1"/>
  <c r="AF93" i="16" s="1"/>
  <c r="AF92" i="16" s="1"/>
  <c r="AF91" i="16" s="1"/>
  <c r="AF90" i="16" s="1"/>
  <c r="AF89" i="16" s="1"/>
  <c r="AF88" i="16" s="1"/>
  <c r="AF87" i="16" s="1"/>
  <c r="AF86" i="16" s="1"/>
  <c r="AF85" i="16" s="1"/>
  <c r="AF84" i="16" s="1"/>
  <c r="AF83" i="16" s="1"/>
  <c r="AF82" i="16" s="1"/>
  <c r="AF81" i="16" s="1"/>
  <c r="AF80" i="16" s="1"/>
  <c r="AF79" i="16" s="1"/>
  <c r="AF78" i="16" s="1"/>
  <c r="AF77" i="16" s="1"/>
  <c r="AF76" i="16" s="1"/>
  <c r="AF75" i="16" s="1"/>
  <c r="AF74" i="16" s="1"/>
  <c r="AF73" i="16" s="1"/>
  <c r="AF72" i="16" s="1"/>
  <c r="AF71" i="16" s="1"/>
  <c r="AF70" i="16" s="1"/>
  <c r="AF69" i="16" s="1"/>
  <c r="AF68" i="16" s="1"/>
  <c r="AF67" i="16" s="1"/>
  <c r="AF66" i="16" s="1"/>
  <c r="AF65" i="16" s="1"/>
  <c r="AF64" i="16" s="1"/>
  <c r="AF63" i="16" s="1"/>
  <c r="AF62" i="16" s="1"/>
  <c r="AF61" i="16" s="1"/>
  <c r="AF60" i="16" s="1"/>
  <c r="AF59" i="16" s="1"/>
  <c r="AF58" i="16" s="1"/>
  <c r="AF57" i="16" s="1"/>
  <c r="AF56" i="16" s="1"/>
  <c r="AF55" i="16" s="1"/>
  <c r="AF54" i="16" s="1"/>
  <c r="AF53" i="16" s="1"/>
  <c r="AF52" i="16" s="1"/>
  <c r="AF51" i="16" s="1"/>
  <c r="AF50" i="16" s="1"/>
  <c r="AF49" i="16" s="1"/>
  <c r="AF48" i="16" s="1"/>
  <c r="AF47" i="16" s="1"/>
  <c r="AF46" i="16" s="1"/>
  <c r="AF45" i="16" s="1"/>
  <c r="AF44" i="16" s="1"/>
  <c r="AF43" i="16" s="1"/>
  <c r="AF42" i="16" s="1"/>
  <c r="AF41" i="16" s="1"/>
  <c r="AF40" i="16" s="1"/>
  <c r="AF39" i="16" s="1"/>
  <c r="AF38" i="16" s="1"/>
  <c r="AF37" i="16" s="1"/>
  <c r="AF36" i="16" s="1"/>
  <c r="AF35" i="16" s="1"/>
  <c r="AF34" i="16" s="1"/>
  <c r="AF33" i="16" s="1"/>
  <c r="AF32" i="16" s="1"/>
  <c r="AF31" i="16" s="1"/>
  <c r="AF30" i="16" s="1"/>
  <c r="AF29" i="16" s="1"/>
  <c r="AF28" i="16" s="1"/>
  <c r="AF27" i="16" s="1"/>
  <c r="AF26" i="16" s="1"/>
  <c r="AF25" i="16" s="1"/>
  <c r="AF24" i="16" s="1"/>
  <c r="AF23" i="16" s="1"/>
  <c r="AF22" i="16" s="1"/>
  <c r="AF21" i="16" s="1"/>
  <c r="AF20" i="16" s="1"/>
  <c r="AF19" i="16" s="1"/>
  <c r="AF18" i="16" s="1"/>
  <c r="AF17" i="16" s="1"/>
  <c r="AF16" i="16" s="1"/>
  <c r="AF15" i="16" s="1"/>
  <c r="AF14" i="16" s="1"/>
  <c r="AF13" i="16" s="1"/>
  <c r="AF12" i="16" s="1"/>
  <c r="AF11" i="16" s="1"/>
  <c r="AF10" i="16" s="1"/>
  <c r="AF9" i="16" s="1"/>
  <c r="AF8" i="16" s="1"/>
  <c r="AF7" i="16" s="1"/>
  <c r="AF6" i="16" s="1"/>
  <c r="AF5" i="16" s="1"/>
  <c r="AF4" i="16" s="1"/>
  <c r="AF3" i="16" s="1"/>
  <c r="Y362" i="16"/>
  <c r="Y361" i="16" s="1"/>
  <c r="Y360" i="16" s="1"/>
  <c r="Y359" i="16" s="1"/>
  <c r="Y358" i="16" s="1"/>
  <c r="Y357" i="16" s="1"/>
  <c r="Y356" i="16" s="1"/>
  <c r="Y355" i="16" s="1"/>
  <c r="Y354" i="16" s="1"/>
  <c r="Y353" i="16" s="1"/>
  <c r="Y352" i="16" s="1"/>
  <c r="Y351" i="16" s="1"/>
  <c r="Y350" i="16" s="1"/>
  <c r="Y349" i="16" s="1"/>
  <c r="Y348" i="16" s="1"/>
  <c r="Y347" i="16" s="1"/>
  <c r="Y346" i="16" s="1"/>
  <c r="Y345" i="16" s="1"/>
  <c r="Y344" i="16" s="1"/>
  <c r="Y343" i="16" s="1"/>
  <c r="Y342" i="16" s="1"/>
  <c r="Y341" i="16" s="1"/>
  <c r="Y340" i="16" s="1"/>
  <c r="Y339" i="16" s="1"/>
  <c r="Y338" i="16" s="1"/>
  <c r="Y337" i="16" s="1"/>
  <c r="Y336" i="16" s="1"/>
  <c r="Y335" i="16" s="1"/>
  <c r="Y334" i="16" s="1"/>
  <c r="Y333" i="16" s="1"/>
  <c r="Y332" i="16" s="1"/>
  <c r="Y331" i="16" s="1"/>
  <c r="Y330" i="16" s="1"/>
  <c r="Y329" i="16" s="1"/>
  <c r="Y328" i="16" s="1"/>
  <c r="Y327" i="16" s="1"/>
  <c r="Y326" i="16" s="1"/>
  <c r="Y325" i="16" s="1"/>
  <c r="Y324" i="16" s="1"/>
  <c r="Y323" i="16" s="1"/>
  <c r="Y322" i="16" s="1"/>
  <c r="Y321" i="16" s="1"/>
  <c r="Y320" i="16" s="1"/>
  <c r="Y319" i="16" s="1"/>
  <c r="Y318" i="16" s="1"/>
  <c r="Y317" i="16" s="1"/>
  <c r="Y316" i="16" s="1"/>
  <c r="Y315" i="16" s="1"/>
  <c r="Y314" i="16" s="1"/>
  <c r="Y313" i="16" s="1"/>
  <c r="Y312" i="16" s="1"/>
  <c r="Y311" i="16" s="1"/>
  <c r="Y310" i="16" s="1"/>
  <c r="Y309" i="16" s="1"/>
  <c r="Y308" i="16" s="1"/>
  <c r="Y307" i="16" s="1"/>
  <c r="Y306" i="16" s="1"/>
  <c r="Y305" i="16" s="1"/>
  <c r="Y304" i="16" s="1"/>
  <c r="Y303" i="16" s="1"/>
  <c r="Y302" i="16" s="1"/>
  <c r="Y301" i="16" s="1"/>
  <c r="Y300" i="16" s="1"/>
  <c r="Y299" i="16" s="1"/>
  <c r="Y298" i="16" s="1"/>
  <c r="Y297" i="16" s="1"/>
  <c r="Y296" i="16" s="1"/>
  <c r="Y295" i="16" s="1"/>
  <c r="Y294" i="16" s="1"/>
  <c r="Y293" i="16" s="1"/>
  <c r="Y292" i="16" s="1"/>
  <c r="Y291" i="16" s="1"/>
  <c r="Y290" i="16" s="1"/>
  <c r="Y289" i="16" s="1"/>
  <c r="Y288" i="16" s="1"/>
  <c r="Y287" i="16" s="1"/>
  <c r="Y286" i="16" s="1"/>
  <c r="Y285" i="16" s="1"/>
  <c r="Y284" i="16" s="1"/>
  <c r="Y283" i="16" s="1"/>
  <c r="Y282" i="16" s="1"/>
  <c r="Y281" i="16" s="1"/>
  <c r="Y280" i="16" s="1"/>
  <c r="Y279" i="16" s="1"/>
  <c r="Y278" i="16" s="1"/>
  <c r="Y277" i="16" s="1"/>
  <c r="Y276" i="16" s="1"/>
  <c r="Y275" i="16" s="1"/>
  <c r="Y274" i="16" s="1"/>
  <c r="Y273" i="16" s="1"/>
  <c r="Y272" i="16" s="1"/>
  <c r="Y271" i="16" s="1"/>
  <c r="Y270" i="16" s="1"/>
  <c r="Y269" i="16" s="1"/>
  <c r="Y268" i="16" s="1"/>
  <c r="Y267" i="16" s="1"/>
  <c r="Y266" i="16" s="1"/>
  <c r="Y265" i="16" s="1"/>
  <c r="Y264" i="16" s="1"/>
  <c r="Y263" i="16" s="1"/>
  <c r="Y262" i="16" s="1"/>
  <c r="Y261" i="16" s="1"/>
  <c r="Y260" i="16" s="1"/>
  <c r="Y259" i="16" s="1"/>
  <c r="Y258" i="16" s="1"/>
  <c r="Y257" i="16" s="1"/>
  <c r="Y256" i="16" s="1"/>
  <c r="Y255" i="16" s="1"/>
  <c r="Y254" i="16" s="1"/>
  <c r="Y253" i="16" s="1"/>
  <c r="Y252" i="16" s="1"/>
  <c r="Y251" i="16" s="1"/>
  <c r="Y250" i="16" s="1"/>
  <c r="Y249" i="16" s="1"/>
  <c r="Y248" i="16" s="1"/>
  <c r="Y247" i="16" s="1"/>
  <c r="Y246" i="16" s="1"/>
  <c r="Y245" i="16" s="1"/>
  <c r="Y244" i="16" s="1"/>
  <c r="Y243" i="16" s="1"/>
  <c r="Y242" i="16" s="1"/>
  <c r="Y241" i="16" s="1"/>
  <c r="Y240" i="16" s="1"/>
  <c r="Y239" i="16" s="1"/>
  <c r="Y238" i="16" s="1"/>
  <c r="Y237" i="16" s="1"/>
  <c r="Y236" i="16" s="1"/>
  <c r="Y235" i="16" s="1"/>
  <c r="Y234" i="16" s="1"/>
  <c r="Y233" i="16" s="1"/>
  <c r="Y232" i="16" s="1"/>
  <c r="Y231" i="16" s="1"/>
  <c r="Y230" i="16" s="1"/>
  <c r="Y229" i="16" s="1"/>
  <c r="Y228" i="16" s="1"/>
  <c r="Y227" i="16" s="1"/>
  <c r="Y226" i="16" s="1"/>
  <c r="Y225" i="16" s="1"/>
  <c r="Y224" i="16" s="1"/>
  <c r="Y223" i="16" s="1"/>
  <c r="Y222" i="16" s="1"/>
  <c r="Y221" i="16" s="1"/>
  <c r="Y220" i="16" s="1"/>
  <c r="Y219" i="16" s="1"/>
  <c r="Y218" i="16" s="1"/>
  <c r="Y217" i="16" s="1"/>
  <c r="Y216" i="16" s="1"/>
  <c r="Y215" i="16" s="1"/>
  <c r="Y214" i="16" s="1"/>
  <c r="Y213" i="16" s="1"/>
  <c r="Y212" i="16" s="1"/>
  <c r="Y211" i="16" s="1"/>
  <c r="Y210" i="16" s="1"/>
  <c r="Y209" i="16" s="1"/>
  <c r="Y208" i="16" s="1"/>
  <c r="Y207" i="16" s="1"/>
  <c r="Y206" i="16" s="1"/>
  <c r="Y205" i="16" s="1"/>
  <c r="Y204" i="16" s="1"/>
  <c r="Y203" i="16" s="1"/>
  <c r="Y202" i="16" s="1"/>
  <c r="Y201" i="16" s="1"/>
  <c r="Y200" i="16" s="1"/>
  <c r="Y199" i="16" s="1"/>
  <c r="Y198" i="16" s="1"/>
  <c r="Y197" i="16" s="1"/>
  <c r="Y196" i="16" s="1"/>
  <c r="Y195" i="16" s="1"/>
  <c r="Y194" i="16" s="1"/>
  <c r="Y193" i="16" s="1"/>
  <c r="Y192" i="16" s="1"/>
  <c r="Y191" i="16" s="1"/>
  <c r="Y190" i="16" s="1"/>
  <c r="Y189" i="16" s="1"/>
  <c r="Y188" i="16" s="1"/>
  <c r="Y187" i="16" s="1"/>
  <c r="Y186" i="16" s="1"/>
  <c r="Y185" i="16" s="1"/>
  <c r="Y184" i="16" s="1"/>
  <c r="Y183" i="16" s="1"/>
  <c r="Y182" i="16" s="1"/>
  <c r="Y181" i="16" s="1"/>
  <c r="Y180" i="16" s="1"/>
  <c r="Y179" i="16" s="1"/>
  <c r="Y178" i="16" s="1"/>
  <c r="Y177" i="16" s="1"/>
  <c r="Y176" i="16" s="1"/>
  <c r="Y175" i="16" s="1"/>
  <c r="Y174" i="16" s="1"/>
  <c r="Y173" i="16" s="1"/>
  <c r="Y172" i="16" s="1"/>
  <c r="Y171" i="16" s="1"/>
  <c r="Y170" i="16" s="1"/>
  <c r="Y169" i="16" s="1"/>
  <c r="Y168" i="16" s="1"/>
  <c r="Y167" i="16" s="1"/>
  <c r="Y166" i="16" s="1"/>
  <c r="Y165" i="16" s="1"/>
  <c r="Y164" i="16" s="1"/>
  <c r="Y163" i="16" s="1"/>
  <c r="Y162" i="16" s="1"/>
  <c r="Y161" i="16" s="1"/>
  <c r="Y160" i="16" s="1"/>
  <c r="Y159" i="16" s="1"/>
  <c r="Y158" i="16" s="1"/>
  <c r="Y157" i="16" s="1"/>
  <c r="Y156" i="16" s="1"/>
  <c r="Y155" i="16" s="1"/>
  <c r="Y154" i="16" s="1"/>
  <c r="Y153" i="16" s="1"/>
  <c r="Y152" i="16" s="1"/>
  <c r="Y151" i="16" s="1"/>
  <c r="Y150" i="16" s="1"/>
  <c r="Y149" i="16" s="1"/>
  <c r="Y148" i="16" s="1"/>
  <c r="Y147" i="16" s="1"/>
  <c r="Y146" i="16" s="1"/>
  <c r="Y145" i="16" s="1"/>
  <c r="Y144" i="16" s="1"/>
  <c r="Y143" i="16" s="1"/>
  <c r="Y142" i="16" s="1"/>
  <c r="Y141" i="16" s="1"/>
  <c r="Y140" i="16" s="1"/>
  <c r="Y139" i="16" s="1"/>
  <c r="Y138" i="16" s="1"/>
  <c r="Y137" i="16" s="1"/>
  <c r="Y136" i="16" s="1"/>
  <c r="Y135" i="16" s="1"/>
  <c r="Y134" i="16" s="1"/>
  <c r="Y133" i="16" s="1"/>
  <c r="Y132" i="16" s="1"/>
  <c r="Y131" i="16" s="1"/>
  <c r="Y130" i="16" s="1"/>
  <c r="Y129" i="16" s="1"/>
  <c r="Y128" i="16" s="1"/>
  <c r="Y127" i="16" s="1"/>
  <c r="Y126" i="16" s="1"/>
  <c r="Y125" i="16" s="1"/>
  <c r="Y124" i="16" s="1"/>
  <c r="Y123" i="16" s="1"/>
  <c r="Y122" i="16" s="1"/>
  <c r="Y121" i="16" s="1"/>
  <c r="Y120" i="16" s="1"/>
  <c r="Y119" i="16" s="1"/>
  <c r="Y118" i="16" s="1"/>
  <c r="Y117" i="16" s="1"/>
  <c r="Y116" i="16" s="1"/>
  <c r="Y115" i="16" s="1"/>
  <c r="Y114" i="16" s="1"/>
  <c r="Y113" i="16" s="1"/>
  <c r="Y112" i="16" s="1"/>
  <c r="Y111" i="16" s="1"/>
  <c r="Y110" i="16" s="1"/>
  <c r="Y109" i="16" s="1"/>
  <c r="Y108" i="16" s="1"/>
  <c r="Y107" i="16" s="1"/>
  <c r="Y106" i="16" s="1"/>
  <c r="Y105" i="16" s="1"/>
  <c r="Y104" i="16" s="1"/>
  <c r="Y103" i="16" s="1"/>
  <c r="Y102" i="16" s="1"/>
  <c r="Y101" i="16" s="1"/>
  <c r="Y100" i="16" s="1"/>
  <c r="Y99" i="16" s="1"/>
  <c r="Y98" i="16" s="1"/>
  <c r="Y97" i="16" s="1"/>
  <c r="Y96" i="16" s="1"/>
  <c r="Y95" i="16" s="1"/>
  <c r="Y94" i="16" s="1"/>
  <c r="Y93" i="16" s="1"/>
  <c r="Y92" i="16" s="1"/>
  <c r="Y91" i="16" s="1"/>
  <c r="Y90" i="16" s="1"/>
  <c r="Y89" i="16" s="1"/>
  <c r="Y88" i="16" s="1"/>
  <c r="Y87" i="16" s="1"/>
  <c r="Y86" i="16" s="1"/>
  <c r="Y85" i="16" s="1"/>
  <c r="Y84" i="16" s="1"/>
  <c r="Y83" i="16" s="1"/>
  <c r="Y82" i="16" s="1"/>
  <c r="Y81" i="16" s="1"/>
  <c r="Y80" i="16" s="1"/>
  <c r="Y79" i="16" s="1"/>
  <c r="Y78" i="16" s="1"/>
  <c r="Y77" i="16" s="1"/>
  <c r="Y76" i="16" s="1"/>
  <c r="Y75" i="16" s="1"/>
  <c r="Y74" i="16" s="1"/>
  <c r="Y73" i="16" s="1"/>
  <c r="Y72" i="16" s="1"/>
  <c r="Y71" i="16" s="1"/>
  <c r="Y70" i="16" s="1"/>
  <c r="Y69" i="16" s="1"/>
  <c r="Y68" i="16" s="1"/>
  <c r="Y67" i="16" s="1"/>
  <c r="Y66" i="16" s="1"/>
  <c r="Y65" i="16" s="1"/>
  <c r="Y64" i="16" s="1"/>
  <c r="Y63" i="16" s="1"/>
  <c r="Y62" i="16" s="1"/>
  <c r="Y61" i="16" s="1"/>
  <c r="Y60" i="16" s="1"/>
  <c r="Y59" i="16" s="1"/>
  <c r="Y58" i="16" s="1"/>
  <c r="Y57" i="16" s="1"/>
  <c r="Y56" i="16" s="1"/>
  <c r="Y55" i="16" s="1"/>
  <c r="Y54" i="16" s="1"/>
  <c r="Y53" i="16" s="1"/>
  <c r="Y52" i="16" s="1"/>
  <c r="Y51" i="16" s="1"/>
  <c r="Y50" i="16" s="1"/>
  <c r="Y49" i="16" s="1"/>
  <c r="Y48" i="16" s="1"/>
  <c r="Y47" i="16" s="1"/>
  <c r="Y46" i="16" s="1"/>
  <c r="Y45" i="16" s="1"/>
  <c r="Y44" i="16" s="1"/>
  <c r="Y43" i="16" s="1"/>
  <c r="Y42" i="16" s="1"/>
  <c r="Y41" i="16" s="1"/>
  <c r="Y40" i="16" s="1"/>
  <c r="Y39" i="16" s="1"/>
  <c r="Y38" i="16" s="1"/>
  <c r="Y37" i="16" s="1"/>
  <c r="Y36" i="16" s="1"/>
  <c r="Y35" i="16" s="1"/>
  <c r="Y34" i="16" s="1"/>
  <c r="Y33" i="16" s="1"/>
  <c r="Y32" i="16" s="1"/>
  <c r="Y31" i="16" s="1"/>
  <c r="Y30" i="16" s="1"/>
  <c r="Y29" i="16" s="1"/>
  <c r="Y28" i="16" s="1"/>
  <c r="Y27" i="16" s="1"/>
  <c r="Y26" i="16" s="1"/>
  <c r="Y25" i="16" s="1"/>
  <c r="Y24" i="16" s="1"/>
  <c r="Y23" i="16" s="1"/>
  <c r="Y22" i="16" s="1"/>
  <c r="Y21" i="16" s="1"/>
  <c r="Y20" i="16" s="1"/>
  <c r="Y19" i="16" s="1"/>
  <c r="Y18" i="16" s="1"/>
  <c r="Y17" i="16" s="1"/>
  <c r="Y16" i="16" s="1"/>
  <c r="Y15" i="16" s="1"/>
  <c r="Y14" i="16" s="1"/>
  <c r="Y13" i="16" s="1"/>
  <c r="Y12" i="16" s="1"/>
  <c r="Y11" i="16" s="1"/>
  <c r="Y10" i="16" s="1"/>
  <c r="Y9" i="16" s="1"/>
  <c r="Y8" i="16" s="1"/>
  <c r="Y7" i="16" s="1"/>
  <c r="Y6" i="16" s="1"/>
  <c r="Y5" i="16" s="1"/>
  <c r="Y4" i="16" s="1"/>
  <c r="Y3" i="16" s="1"/>
  <c r="AB363" i="16"/>
  <c r="AA362" i="13"/>
  <c r="AA361" i="13" s="1"/>
  <c r="AA360" i="13" s="1"/>
  <c r="AA359" i="13" s="1"/>
  <c r="AA358" i="13" s="1"/>
  <c r="AA357" i="13" s="1"/>
  <c r="AA356" i="13" s="1"/>
  <c r="AA355" i="13" s="1"/>
  <c r="AA354" i="13" s="1"/>
  <c r="AA353" i="13" s="1"/>
  <c r="AA352" i="13" s="1"/>
  <c r="AA351" i="13" s="1"/>
  <c r="AA350" i="13" s="1"/>
  <c r="AA349" i="13" s="1"/>
  <c r="AA348" i="13" s="1"/>
  <c r="AA347" i="13" s="1"/>
  <c r="AA346" i="13" s="1"/>
  <c r="AA345" i="13" s="1"/>
  <c r="AA344" i="13" s="1"/>
  <c r="AA343" i="13" s="1"/>
  <c r="AA342" i="13" s="1"/>
  <c r="AA341" i="13" s="1"/>
  <c r="AA340" i="13" s="1"/>
  <c r="AA339" i="13" s="1"/>
  <c r="AA338" i="13" s="1"/>
  <c r="AA337" i="13" s="1"/>
  <c r="AA336" i="13" s="1"/>
  <c r="AA335" i="13" s="1"/>
  <c r="AA334" i="13" s="1"/>
  <c r="AA333" i="13" s="1"/>
  <c r="AA332" i="13" s="1"/>
  <c r="AA331" i="13" s="1"/>
  <c r="AA330" i="13" s="1"/>
  <c r="AA329" i="13" s="1"/>
  <c r="AA328" i="13" s="1"/>
  <c r="AA327" i="13" s="1"/>
  <c r="AA326" i="13" s="1"/>
  <c r="AA325" i="13" s="1"/>
  <c r="AA324" i="13" s="1"/>
  <c r="AA323" i="13" s="1"/>
  <c r="AA322" i="13" s="1"/>
  <c r="AA321" i="13" s="1"/>
  <c r="AA320" i="13" s="1"/>
  <c r="AA319" i="13" s="1"/>
  <c r="AA318" i="13" s="1"/>
  <c r="AA317" i="13" s="1"/>
  <c r="AA316" i="13" s="1"/>
  <c r="AA315" i="13" s="1"/>
  <c r="AA314" i="13" s="1"/>
  <c r="AA313" i="13" s="1"/>
  <c r="AA312" i="13" s="1"/>
  <c r="AA311" i="13" s="1"/>
  <c r="AA310" i="13" s="1"/>
  <c r="AA309" i="13" s="1"/>
  <c r="AA308" i="13" s="1"/>
  <c r="AA307" i="13" s="1"/>
  <c r="AA306" i="13" s="1"/>
  <c r="AA305" i="13" s="1"/>
  <c r="AA304" i="13" s="1"/>
  <c r="AA303" i="13" s="1"/>
  <c r="AA302" i="13" s="1"/>
  <c r="AA301" i="13" s="1"/>
  <c r="AA300" i="13" s="1"/>
  <c r="AA299" i="13" s="1"/>
  <c r="AA298" i="13" s="1"/>
  <c r="AA297" i="13" s="1"/>
  <c r="AA296" i="13" s="1"/>
  <c r="AA295" i="13" s="1"/>
  <c r="AA294" i="13" s="1"/>
  <c r="AA293" i="13" s="1"/>
  <c r="AA292" i="13" s="1"/>
  <c r="AA291" i="13" s="1"/>
  <c r="AA290" i="13" s="1"/>
  <c r="AA289" i="13" s="1"/>
  <c r="AA288" i="13" s="1"/>
  <c r="AA287" i="13" s="1"/>
  <c r="AA286" i="13" s="1"/>
  <c r="AA285" i="13" s="1"/>
  <c r="AA284" i="13" s="1"/>
  <c r="AA283" i="13" s="1"/>
  <c r="AA282" i="13" s="1"/>
  <c r="AA281" i="13" s="1"/>
  <c r="AA280" i="13" s="1"/>
  <c r="AA279" i="13" s="1"/>
  <c r="AA278" i="13" s="1"/>
  <c r="AA277" i="13" s="1"/>
  <c r="AA276" i="13" s="1"/>
  <c r="AA275" i="13" s="1"/>
  <c r="AA274" i="13" s="1"/>
  <c r="AA273" i="13" s="1"/>
  <c r="AA272" i="13" s="1"/>
  <c r="AA271" i="13" s="1"/>
  <c r="AA270" i="13" s="1"/>
  <c r="AA269" i="13" s="1"/>
  <c r="AA268" i="13" s="1"/>
  <c r="AA267" i="13" s="1"/>
  <c r="AA266" i="13" s="1"/>
  <c r="AA265" i="13" s="1"/>
  <c r="AA264" i="13" s="1"/>
  <c r="AA263" i="13" s="1"/>
  <c r="AA262" i="13" s="1"/>
  <c r="AA261" i="13" s="1"/>
  <c r="AA260" i="13" s="1"/>
  <c r="AA259" i="13" s="1"/>
  <c r="AA258" i="13" s="1"/>
  <c r="AA257" i="13" s="1"/>
  <c r="AA256" i="13" s="1"/>
  <c r="AA255" i="13" s="1"/>
  <c r="AA254" i="13" s="1"/>
  <c r="AA253" i="13" s="1"/>
  <c r="AA252" i="13" s="1"/>
  <c r="AA251" i="13" s="1"/>
  <c r="AA250" i="13" s="1"/>
  <c r="AA249" i="13" s="1"/>
  <c r="AA248" i="13" s="1"/>
  <c r="AA247" i="13" s="1"/>
  <c r="AA246" i="13" s="1"/>
  <c r="AA245" i="13" s="1"/>
  <c r="AA244" i="13" s="1"/>
  <c r="AA243" i="13" s="1"/>
  <c r="AA242" i="13" s="1"/>
  <c r="AA241" i="13" s="1"/>
  <c r="AA240" i="13" s="1"/>
  <c r="AA239" i="13" s="1"/>
  <c r="AA238" i="13" s="1"/>
  <c r="AA237" i="13" s="1"/>
  <c r="AA236" i="13" s="1"/>
  <c r="AA235" i="13" s="1"/>
  <c r="AA234" i="13" s="1"/>
  <c r="AA233" i="13" s="1"/>
  <c r="AA232" i="13" s="1"/>
  <c r="AA231" i="13" s="1"/>
  <c r="AA230" i="13" s="1"/>
  <c r="AA229" i="13" s="1"/>
  <c r="AA228" i="13" s="1"/>
  <c r="AA227" i="13" s="1"/>
  <c r="AA226" i="13" s="1"/>
  <c r="AA225" i="13" s="1"/>
  <c r="AA224" i="13" s="1"/>
  <c r="AA223" i="13" s="1"/>
  <c r="AA222" i="13" s="1"/>
  <c r="AA221" i="13" s="1"/>
  <c r="AA220" i="13" s="1"/>
  <c r="AA219" i="13" s="1"/>
  <c r="AA218" i="13" s="1"/>
  <c r="AA217" i="13" s="1"/>
  <c r="AA216" i="13" s="1"/>
  <c r="AA215" i="13" s="1"/>
  <c r="AA214" i="13" s="1"/>
  <c r="AA213" i="13" s="1"/>
  <c r="AA212" i="13" s="1"/>
  <c r="AA211" i="13" s="1"/>
  <c r="AA210" i="13" s="1"/>
  <c r="AA209" i="13" s="1"/>
  <c r="AA208" i="13" s="1"/>
  <c r="AA207" i="13" s="1"/>
  <c r="AA206" i="13" s="1"/>
  <c r="AA205" i="13" s="1"/>
  <c r="AA204" i="13" s="1"/>
  <c r="AA203" i="13" s="1"/>
  <c r="AA202" i="13" s="1"/>
  <c r="AA201" i="13" s="1"/>
  <c r="AA200" i="13" s="1"/>
  <c r="AA199" i="13" s="1"/>
  <c r="AA198" i="13" s="1"/>
  <c r="AA197" i="13" s="1"/>
  <c r="AA196" i="13" s="1"/>
  <c r="AA195" i="13" s="1"/>
  <c r="AA194" i="13" s="1"/>
  <c r="AA193" i="13" s="1"/>
  <c r="AA192" i="13" s="1"/>
  <c r="AA191" i="13" s="1"/>
  <c r="AA190" i="13" s="1"/>
  <c r="AA189" i="13" s="1"/>
  <c r="AA188" i="13" s="1"/>
  <c r="AA187" i="13" s="1"/>
  <c r="AA186" i="13" s="1"/>
  <c r="AA185" i="13" s="1"/>
  <c r="AA184" i="13" s="1"/>
  <c r="AA183" i="13" s="1"/>
  <c r="AA182" i="13" s="1"/>
  <c r="AA181" i="13" s="1"/>
  <c r="AA180" i="13" s="1"/>
  <c r="AA179" i="13" s="1"/>
  <c r="AA178" i="13" s="1"/>
  <c r="AA177" i="13" s="1"/>
  <c r="AA176" i="13" s="1"/>
  <c r="AA175" i="13" s="1"/>
  <c r="AA174" i="13" s="1"/>
  <c r="AA173" i="13" s="1"/>
  <c r="AA172" i="13" s="1"/>
  <c r="AA171" i="13" s="1"/>
  <c r="AA170" i="13" s="1"/>
  <c r="AA169" i="13" s="1"/>
  <c r="AA168" i="13" s="1"/>
  <c r="AA167" i="13" s="1"/>
  <c r="AA166" i="13" s="1"/>
  <c r="AA165" i="13" s="1"/>
  <c r="AA164" i="13" s="1"/>
  <c r="AA163" i="13" s="1"/>
  <c r="AA162" i="13" s="1"/>
  <c r="AA161" i="13" s="1"/>
  <c r="AA160" i="13" s="1"/>
  <c r="AA159" i="13" s="1"/>
  <c r="AA158" i="13" s="1"/>
  <c r="AA157" i="13" s="1"/>
  <c r="AA156" i="13" s="1"/>
  <c r="AA155" i="13" s="1"/>
  <c r="AA154" i="13" s="1"/>
  <c r="AA153" i="13" s="1"/>
  <c r="AA152" i="13" s="1"/>
  <c r="AA151" i="13" s="1"/>
  <c r="AA150" i="13" s="1"/>
  <c r="AA149" i="13" s="1"/>
  <c r="AA148" i="13" s="1"/>
  <c r="AA147" i="13" s="1"/>
  <c r="AA146" i="13" s="1"/>
  <c r="AA145" i="13" s="1"/>
  <c r="AA144" i="13" s="1"/>
  <c r="AA143" i="13" s="1"/>
  <c r="AA142" i="13" s="1"/>
  <c r="AA141" i="13" s="1"/>
  <c r="AA140" i="13" s="1"/>
  <c r="AA139" i="13" s="1"/>
  <c r="AA138" i="13" s="1"/>
  <c r="AA137" i="13" s="1"/>
  <c r="AA136" i="13" s="1"/>
  <c r="AA135" i="13" s="1"/>
  <c r="AA134" i="13" s="1"/>
  <c r="AA133" i="13" s="1"/>
  <c r="AA132" i="13" s="1"/>
  <c r="AA131" i="13" s="1"/>
  <c r="AA130" i="13" s="1"/>
  <c r="AA129" i="13" s="1"/>
  <c r="AA128" i="13" s="1"/>
  <c r="AA127" i="13" s="1"/>
  <c r="AA126" i="13" s="1"/>
  <c r="AA125" i="13" s="1"/>
  <c r="AA124" i="13" s="1"/>
  <c r="AA123" i="13" s="1"/>
  <c r="AA122" i="13" s="1"/>
  <c r="AA121" i="13" s="1"/>
  <c r="AA120" i="13" s="1"/>
  <c r="AA119" i="13" s="1"/>
  <c r="AA118" i="13" s="1"/>
  <c r="AA117" i="13" s="1"/>
  <c r="AA116" i="13" s="1"/>
  <c r="AA115" i="13" s="1"/>
  <c r="AA114" i="13" s="1"/>
  <c r="AA113" i="13" s="1"/>
  <c r="AA112" i="13" s="1"/>
  <c r="AA111" i="13" s="1"/>
  <c r="AA110" i="13" s="1"/>
  <c r="AA109" i="13" s="1"/>
  <c r="AA108" i="13" s="1"/>
  <c r="AA107" i="13" s="1"/>
  <c r="AA106" i="13" s="1"/>
  <c r="AA105" i="13" s="1"/>
  <c r="AA104" i="13" s="1"/>
  <c r="AA103" i="13" s="1"/>
  <c r="AA102" i="13" s="1"/>
  <c r="AA101" i="13" s="1"/>
  <c r="AA100" i="13" s="1"/>
  <c r="AA99" i="13" s="1"/>
  <c r="AA98" i="13" s="1"/>
  <c r="AA97" i="13" s="1"/>
  <c r="AA96" i="13" s="1"/>
  <c r="AA95" i="13" s="1"/>
  <c r="AA94" i="13" s="1"/>
  <c r="AA93" i="13" s="1"/>
  <c r="AA92" i="13" s="1"/>
  <c r="AA91" i="13" s="1"/>
  <c r="AA90" i="13" s="1"/>
  <c r="AA89" i="13" s="1"/>
  <c r="AA88" i="13" s="1"/>
  <c r="AA87" i="13" s="1"/>
  <c r="AA86" i="13" s="1"/>
  <c r="AA85" i="13" s="1"/>
  <c r="AA84" i="13" s="1"/>
  <c r="AA83" i="13" s="1"/>
  <c r="AA82" i="13" s="1"/>
  <c r="AA81" i="13" s="1"/>
  <c r="AA80" i="13" s="1"/>
  <c r="AA79" i="13" s="1"/>
  <c r="AA78" i="13" s="1"/>
  <c r="AA77" i="13" s="1"/>
  <c r="AA76" i="13" s="1"/>
  <c r="AA75" i="13" s="1"/>
  <c r="AA74" i="13" s="1"/>
  <c r="AA73" i="13" s="1"/>
  <c r="AA72" i="13" s="1"/>
  <c r="AA71" i="13" s="1"/>
  <c r="AA70" i="13" s="1"/>
  <c r="AA69" i="13" s="1"/>
  <c r="AA68" i="13" s="1"/>
  <c r="AA67" i="13" s="1"/>
  <c r="AA66" i="13" s="1"/>
  <c r="AA65" i="13" s="1"/>
  <c r="AA64" i="13" s="1"/>
  <c r="AA63" i="13" s="1"/>
  <c r="AA62" i="13" s="1"/>
  <c r="AA61" i="13" s="1"/>
  <c r="AA60" i="13" s="1"/>
  <c r="AA59" i="13" s="1"/>
  <c r="AA58" i="13" s="1"/>
  <c r="AA57" i="13" s="1"/>
  <c r="AA56" i="13" s="1"/>
  <c r="AA55" i="13" s="1"/>
  <c r="AA54" i="13" s="1"/>
  <c r="AA53" i="13" s="1"/>
  <c r="AA52" i="13" s="1"/>
  <c r="AA51" i="13" s="1"/>
  <c r="AA50" i="13" s="1"/>
  <c r="AA49" i="13" s="1"/>
  <c r="AA48" i="13" s="1"/>
  <c r="AA47" i="13" s="1"/>
  <c r="AA46" i="13" s="1"/>
  <c r="AA45" i="13" s="1"/>
  <c r="AA44" i="13" s="1"/>
  <c r="AA43" i="13" s="1"/>
  <c r="AA42" i="13" s="1"/>
  <c r="AA41" i="13" s="1"/>
  <c r="AA40" i="13" s="1"/>
  <c r="AA39" i="13" s="1"/>
  <c r="AA38" i="13" s="1"/>
  <c r="AA37" i="13" s="1"/>
  <c r="AA36" i="13" s="1"/>
  <c r="AA35" i="13" s="1"/>
  <c r="AA34" i="13" s="1"/>
  <c r="AA33" i="13" s="1"/>
  <c r="AA32" i="13" s="1"/>
  <c r="AA31" i="13" s="1"/>
  <c r="AA30" i="13" s="1"/>
  <c r="AA29" i="13" s="1"/>
  <c r="AA28" i="13" s="1"/>
  <c r="AA27" i="13" s="1"/>
  <c r="AA26" i="13" s="1"/>
  <c r="AA25" i="13" s="1"/>
  <c r="AA24" i="13" s="1"/>
  <c r="AA23" i="13" s="1"/>
  <c r="AA22" i="13" s="1"/>
  <c r="AA21" i="13" s="1"/>
  <c r="AA20" i="13" s="1"/>
  <c r="AA19" i="13" s="1"/>
  <c r="AA18" i="13" s="1"/>
  <c r="AA17" i="13" s="1"/>
  <c r="AA16" i="13" s="1"/>
  <c r="AA15" i="13" s="1"/>
  <c r="AA14" i="13" s="1"/>
  <c r="AA13" i="13" s="1"/>
  <c r="AA12" i="13" s="1"/>
  <c r="AA11" i="13" s="1"/>
  <c r="AA10" i="13" s="1"/>
  <c r="AA9" i="13" s="1"/>
  <c r="AA8" i="13" s="1"/>
  <c r="AA7" i="13" s="1"/>
  <c r="AA6" i="13" s="1"/>
  <c r="AA5" i="13" s="1"/>
  <c r="AA4" i="13" s="1"/>
  <c r="AA3" i="13" s="1"/>
  <c r="AD363" i="13"/>
  <c r="AI363" i="13"/>
  <c r="AI362" i="13" s="1"/>
  <c r="AI361" i="13" s="1"/>
  <c r="AI360" i="13" s="1"/>
  <c r="AI359" i="13" s="1"/>
  <c r="AI358" i="13" s="1"/>
  <c r="AI357" i="13" s="1"/>
  <c r="AI356" i="13" s="1"/>
  <c r="AI355" i="13" s="1"/>
  <c r="AI354" i="13" s="1"/>
  <c r="AI353" i="13" s="1"/>
  <c r="AI352" i="13" s="1"/>
  <c r="AI351" i="13" s="1"/>
  <c r="AI350" i="13" s="1"/>
  <c r="AI349" i="13" s="1"/>
  <c r="AI348" i="13" s="1"/>
  <c r="AI347" i="13" s="1"/>
  <c r="AI346" i="13" s="1"/>
  <c r="AI345" i="13" s="1"/>
  <c r="AI344" i="13" s="1"/>
  <c r="AI343" i="13" s="1"/>
  <c r="AI342" i="13" s="1"/>
  <c r="AI341" i="13" s="1"/>
  <c r="AI340" i="13" s="1"/>
  <c r="AI339" i="13" s="1"/>
  <c r="AI338" i="13" s="1"/>
  <c r="AI337" i="13" s="1"/>
  <c r="AI336" i="13" s="1"/>
  <c r="AI335" i="13" s="1"/>
  <c r="AI334" i="13" s="1"/>
  <c r="AI333" i="13" s="1"/>
  <c r="AI332" i="13" s="1"/>
  <c r="AI331" i="13" s="1"/>
  <c r="AI330" i="13" s="1"/>
  <c r="AI329" i="13" s="1"/>
  <c r="AI328" i="13" s="1"/>
  <c r="AI327" i="13" s="1"/>
  <c r="AI326" i="13" s="1"/>
  <c r="AI325" i="13" s="1"/>
  <c r="AI324" i="13" s="1"/>
  <c r="AI323" i="13" s="1"/>
  <c r="AI322" i="13" s="1"/>
  <c r="AI321" i="13" s="1"/>
  <c r="AI320" i="13" s="1"/>
  <c r="AI319" i="13" s="1"/>
  <c r="AI318" i="13" s="1"/>
  <c r="AI317" i="13" s="1"/>
  <c r="AI316" i="13" s="1"/>
  <c r="AI315" i="13" s="1"/>
  <c r="AI314" i="13" s="1"/>
  <c r="AI313" i="13" s="1"/>
  <c r="AI312" i="13" s="1"/>
  <c r="AI311" i="13" s="1"/>
  <c r="AI310" i="13" s="1"/>
  <c r="AI309" i="13" s="1"/>
  <c r="AI308" i="13" s="1"/>
  <c r="AI307" i="13" s="1"/>
  <c r="AI306" i="13" s="1"/>
  <c r="AI305" i="13" s="1"/>
  <c r="AI304" i="13" s="1"/>
  <c r="AI303" i="13" s="1"/>
  <c r="AI302" i="13" s="1"/>
  <c r="AI301" i="13" s="1"/>
  <c r="AI300" i="13" s="1"/>
  <c r="AI299" i="13" s="1"/>
  <c r="AI298" i="13" s="1"/>
  <c r="AI297" i="13" s="1"/>
  <c r="AI296" i="13" s="1"/>
  <c r="AI295" i="13" s="1"/>
  <c r="AI294" i="13" s="1"/>
  <c r="AI293" i="13" s="1"/>
  <c r="AI292" i="13" s="1"/>
  <c r="AI291" i="13" s="1"/>
  <c r="AI290" i="13" s="1"/>
  <c r="AI289" i="13" s="1"/>
  <c r="AI288" i="13" s="1"/>
  <c r="AI287" i="13" s="1"/>
  <c r="AI286" i="13" s="1"/>
  <c r="AI285" i="13" s="1"/>
  <c r="AI284" i="13" s="1"/>
  <c r="AI283" i="13" s="1"/>
  <c r="AI282" i="13" s="1"/>
  <c r="AI281" i="13" s="1"/>
  <c r="AI280" i="13" s="1"/>
  <c r="AI279" i="13" s="1"/>
  <c r="AI278" i="13" s="1"/>
  <c r="AI277" i="13" s="1"/>
  <c r="AI276" i="13" s="1"/>
  <c r="AI275" i="13" s="1"/>
  <c r="AI274" i="13" s="1"/>
  <c r="AI273" i="13" s="1"/>
  <c r="AI272" i="13" s="1"/>
  <c r="AI271" i="13" s="1"/>
  <c r="AI270" i="13" s="1"/>
  <c r="AI269" i="13" s="1"/>
  <c r="AI268" i="13" s="1"/>
  <c r="AI267" i="13" s="1"/>
  <c r="AI266" i="13" s="1"/>
  <c r="AI265" i="13" s="1"/>
  <c r="AI264" i="13" s="1"/>
  <c r="AI263" i="13" s="1"/>
  <c r="AI262" i="13" s="1"/>
  <c r="AI261" i="13" s="1"/>
  <c r="AI260" i="13" s="1"/>
  <c r="AI259" i="13" s="1"/>
  <c r="AI258" i="13" s="1"/>
  <c r="AI257" i="13" s="1"/>
  <c r="AI256" i="13" s="1"/>
  <c r="AI255" i="13" s="1"/>
  <c r="AI254" i="13" s="1"/>
  <c r="AI253" i="13" s="1"/>
  <c r="AI252" i="13" s="1"/>
  <c r="AI251" i="13" s="1"/>
  <c r="AI250" i="13" s="1"/>
  <c r="AI249" i="13" s="1"/>
  <c r="AI248" i="13" s="1"/>
  <c r="AI247" i="13" s="1"/>
  <c r="AI246" i="13" s="1"/>
  <c r="AI245" i="13" s="1"/>
  <c r="AI244" i="13" s="1"/>
  <c r="AI243" i="13" s="1"/>
  <c r="AI242" i="13" s="1"/>
  <c r="AI241" i="13" s="1"/>
  <c r="AI240" i="13" s="1"/>
  <c r="AI239" i="13" s="1"/>
  <c r="AI238" i="13" s="1"/>
  <c r="AI237" i="13" s="1"/>
  <c r="AI236" i="13" s="1"/>
  <c r="AI235" i="13" s="1"/>
  <c r="AI234" i="13" s="1"/>
  <c r="AI233" i="13" s="1"/>
  <c r="AI232" i="13" s="1"/>
  <c r="AI231" i="13" s="1"/>
  <c r="AI230" i="13" s="1"/>
  <c r="AI229" i="13" s="1"/>
  <c r="AI228" i="13" s="1"/>
  <c r="AI227" i="13" s="1"/>
  <c r="AI226" i="13" s="1"/>
  <c r="AI225" i="13" s="1"/>
  <c r="AI224" i="13" s="1"/>
  <c r="AI223" i="13" s="1"/>
  <c r="AI222" i="13" s="1"/>
  <c r="AI221" i="13" s="1"/>
  <c r="AI220" i="13" s="1"/>
  <c r="AI219" i="13" s="1"/>
  <c r="AI218" i="13" s="1"/>
  <c r="AI217" i="13" s="1"/>
  <c r="AI216" i="13" s="1"/>
  <c r="AI215" i="13" s="1"/>
  <c r="AI214" i="13" s="1"/>
  <c r="AI213" i="13" s="1"/>
  <c r="AI212" i="13" s="1"/>
  <c r="AI211" i="13" s="1"/>
  <c r="AI210" i="13" s="1"/>
  <c r="AI209" i="13" s="1"/>
  <c r="AI208" i="13" s="1"/>
  <c r="AI207" i="13" s="1"/>
  <c r="AI206" i="13" s="1"/>
  <c r="AI205" i="13" s="1"/>
  <c r="AI204" i="13" s="1"/>
  <c r="AI203" i="13" s="1"/>
  <c r="AI202" i="13" s="1"/>
  <c r="AI201" i="13" s="1"/>
  <c r="AI200" i="13" s="1"/>
  <c r="AI199" i="13" s="1"/>
  <c r="AI198" i="13" s="1"/>
  <c r="AI197" i="13" s="1"/>
  <c r="AI196" i="13" s="1"/>
  <c r="AI195" i="13" s="1"/>
  <c r="AI194" i="13" s="1"/>
  <c r="AI193" i="13" s="1"/>
  <c r="AI192" i="13" s="1"/>
  <c r="AI191" i="13" s="1"/>
  <c r="AI190" i="13" s="1"/>
  <c r="AI189" i="13" s="1"/>
  <c r="AI188" i="13" s="1"/>
  <c r="AI187" i="13" s="1"/>
  <c r="AI186" i="13" s="1"/>
  <c r="AI185" i="13" s="1"/>
  <c r="AI184" i="13" s="1"/>
  <c r="AI183" i="13" s="1"/>
  <c r="AI182" i="13" s="1"/>
  <c r="AI181" i="13" s="1"/>
  <c r="AI180" i="13" s="1"/>
  <c r="AI179" i="13" s="1"/>
  <c r="AI178" i="13" s="1"/>
  <c r="AI177" i="13" s="1"/>
  <c r="AI176" i="13" s="1"/>
  <c r="AI175" i="13" s="1"/>
  <c r="AI174" i="13" s="1"/>
  <c r="AI173" i="13" s="1"/>
  <c r="AI172" i="13" s="1"/>
  <c r="AI171" i="13" s="1"/>
  <c r="AI170" i="13" s="1"/>
  <c r="AI169" i="13" s="1"/>
  <c r="AI168" i="13" s="1"/>
  <c r="AI167" i="13" s="1"/>
  <c r="AI166" i="13" s="1"/>
  <c r="AI165" i="13" s="1"/>
  <c r="AI164" i="13" s="1"/>
  <c r="AI163" i="13" s="1"/>
  <c r="AI162" i="13" s="1"/>
  <c r="AI161" i="13" s="1"/>
  <c r="AI160" i="13" s="1"/>
  <c r="AI159" i="13" s="1"/>
  <c r="AI158" i="13" s="1"/>
  <c r="AI157" i="13" s="1"/>
  <c r="AI156" i="13" s="1"/>
  <c r="AI155" i="13" s="1"/>
  <c r="AI154" i="13" s="1"/>
  <c r="AI153" i="13" s="1"/>
  <c r="AI152" i="13" s="1"/>
  <c r="AI151" i="13" s="1"/>
  <c r="AI150" i="13" s="1"/>
  <c r="AI149" i="13" s="1"/>
  <c r="AI148" i="13" s="1"/>
  <c r="AI147" i="13" s="1"/>
  <c r="AI146" i="13" s="1"/>
  <c r="AI145" i="13" s="1"/>
  <c r="AI144" i="13" s="1"/>
  <c r="AI143" i="13" s="1"/>
  <c r="AI142" i="13" s="1"/>
  <c r="AI141" i="13" s="1"/>
  <c r="AI140" i="13" s="1"/>
  <c r="AI139" i="13" s="1"/>
  <c r="AI138" i="13" s="1"/>
  <c r="AI137" i="13" s="1"/>
  <c r="AI136" i="13" s="1"/>
  <c r="AI135" i="13" s="1"/>
  <c r="AI134" i="13" s="1"/>
  <c r="AI133" i="13" s="1"/>
  <c r="AI132" i="13" s="1"/>
  <c r="AI131" i="13" s="1"/>
  <c r="AI130" i="13" s="1"/>
  <c r="AI129" i="13" s="1"/>
  <c r="AI128" i="13" s="1"/>
  <c r="AI127" i="13" s="1"/>
  <c r="AI126" i="13" s="1"/>
  <c r="AI125" i="13" s="1"/>
  <c r="AI124" i="13" s="1"/>
  <c r="AI123" i="13" s="1"/>
  <c r="AI122" i="13" s="1"/>
  <c r="AI121" i="13" s="1"/>
  <c r="AI120" i="13" s="1"/>
  <c r="AI119" i="13" s="1"/>
  <c r="AI118" i="13" s="1"/>
  <c r="AI117" i="13" s="1"/>
  <c r="AI116" i="13" s="1"/>
  <c r="AI115" i="13" s="1"/>
  <c r="AI114" i="13" s="1"/>
  <c r="AI113" i="13" s="1"/>
  <c r="AI112" i="13" s="1"/>
  <c r="AI111" i="13" s="1"/>
  <c r="AI110" i="13" s="1"/>
  <c r="AI109" i="13" s="1"/>
  <c r="AI108" i="13" s="1"/>
  <c r="AI107" i="13" s="1"/>
  <c r="AI106" i="13" s="1"/>
  <c r="AI105" i="13" s="1"/>
  <c r="AI104" i="13" s="1"/>
  <c r="AI103" i="13" s="1"/>
  <c r="AI102" i="13" s="1"/>
  <c r="AI101" i="13" s="1"/>
  <c r="AI100" i="13" s="1"/>
  <c r="AI99" i="13" s="1"/>
  <c r="AI98" i="13" s="1"/>
  <c r="AI97" i="13" s="1"/>
  <c r="AI96" i="13" s="1"/>
  <c r="AI95" i="13" s="1"/>
  <c r="AI94" i="13" s="1"/>
  <c r="AI93" i="13" s="1"/>
  <c r="AI92" i="13" s="1"/>
  <c r="AI91" i="13" s="1"/>
  <c r="AI90" i="13" s="1"/>
  <c r="AI89" i="13" s="1"/>
  <c r="AI88" i="13" s="1"/>
  <c r="AI87" i="13" s="1"/>
  <c r="AI86" i="13" s="1"/>
  <c r="AI85" i="13" s="1"/>
  <c r="AI84" i="13" s="1"/>
  <c r="AI83" i="13" s="1"/>
  <c r="AI82" i="13" s="1"/>
  <c r="AI81" i="13" s="1"/>
  <c r="AI80" i="13" s="1"/>
  <c r="AI79" i="13" s="1"/>
  <c r="AI78" i="13" s="1"/>
  <c r="AI77" i="13" s="1"/>
  <c r="AI76" i="13" s="1"/>
  <c r="AI75" i="13" s="1"/>
  <c r="AI74" i="13" s="1"/>
  <c r="AI73" i="13" s="1"/>
  <c r="AI72" i="13" s="1"/>
  <c r="AI71" i="13" s="1"/>
  <c r="AI70" i="13" s="1"/>
  <c r="AI69" i="13" s="1"/>
  <c r="AI68" i="13" s="1"/>
  <c r="AI67" i="13" s="1"/>
  <c r="AI66" i="13" s="1"/>
  <c r="AI65" i="13" s="1"/>
  <c r="AI64" i="13" s="1"/>
  <c r="AI63" i="13" s="1"/>
  <c r="AI62" i="13" s="1"/>
  <c r="AI61" i="13" s="1"/>
  <c r="AI60" i="13" s="1"/>
  <c r="AI59" i="13" s="1"/>
  <c r="AI58" i="13" s="1"/>
  <c r="AI57" i="13" s="1"/>
  <c r="AI56" i="13" s="1"/>
  <c r="AI55" i="13" s="1"/>
  <c r="AI54" i="13" s="1"/>
  <c r="AI53" i="13" s="1"/>
  <c r="AI52" i="13" s="1"/>
  <c r="AI51" i="13" s="1"/>
  <c r="AI50" i="13" s="1"/>
  <c r="AI49" i="13" s="1"/>
  <c r="AI48" i="13" s="1"/>
  <c r="AI47" i="13" s="1"/>
  <c r="AI46" i="13" s="1"/>
  <c r="AI45" i="13" s="1"/>
  <c r="AI44" i="13" s="1"/>
  <c r="AI43" i="13" s="1"/>
  <c r="AI42" i="13" s="1"/>
  <c r="AI41" i="13" s="1"/>
  <c r="AI40" i="13" s="1"/>
  <c r="AI39" i="13" s="1"/>
  <c r="AI38" i="13" s="1"/>
  <c r="AI37" i="13" s="1"/>
  <c r="AI36" i="13" s="1"/>
  <c r="AI35" i="13" s="1"/>
  <c r="AI34" i="13" s="1"/>
  <c r="AI33" i="13" s="1"/>
  <c r="AI32" i="13" s="1"/>
  <c r="AI31" i="13" s="1"/>
  <c r="AI30" i="13" s="1"/>
  <c r="AI29" i="13" s="1"/>
  <c r="AI28" i="13" s="1"/>
  <c r="AI27" i="13" s="1"/>
  <c r="AI26" i="13" s="1"/>
  <c r="AI25" i="13" s="1"/>
  <c r="AI24" i="13" s="1"/>
  <c r="AI23" i="13" s="1"/>
  <c r="AI22" i="13" s="1"/>
  <c r="AI21" i="13" s="1"/>
  <c r="AI20" i="13" s="1"/>
  <c r="AI19" i="13" s="1"/>
  <c r="AI18" i="13" s="1"/>
  <c r="AI17" i="13" s="1"/>
  <c r="AI16" i="13" s="1"/>
  <c r="AI15" i="13" s="1"/>
  <c r="AI14" i="13" s="1"/>
  <c r="AI13" i="13" s="1"/>
  <c r="AI12" i="13" s="1"/>
  <c r="AI11" i="13" s="1"/>
  <c r="AI10" i="13" s="1"/>
  <c r="AI9" i="13" s="1"/>
  <c r="AI8" i="13" s="1"/>
  <c r="AI7" i="13" s="1"/>
  <c r="AI6" i="13" s="1"/>
  <c r="AI5" i="13" s="1"/>
  <c r="AI4" i="13" s="1"/>
  <c r="AI3" i="13" s="1"/>
  <c r="AF362" i="13"/>
  <c r="AF361" i="13" s="1"/>
  <c r="AF360" i="13" s="1"/>
  <c r="AF359" i="13" s="1"/>
  <c r="AF358" i="13" s="1"/>
  <c r="AF357" i="13" s="1"/>
  <c r="AF356" i="13" s="1"/>
  <c r="AF355" i="13" s="1"/>
  <c r="AF354" i="13" s="1"/>
  <c r="AF353" i="13" s="1"/>
  <c r="AF352" i="13" s="1"/>
  <c r="AF351" i="13" s="1"/>
  <c r="AF350" i="13" s="1"/>
  <c r="AF349" i="13" s="1"/>
  <c r="AF348" i="13" s="1"/>
  <c r="AF347" i="13" s="1"/>
  <c r="AF346" i="13" s="1"/>
  <c r="AF345" i="13" s="1"/>
  <c r="AF344" i="13" s="1"/>
  <c r="AF343" i="13" s="1"/>
  <c r="AF342" i="13" s="1"/>
  <c r="AF341" i="13" s="1"/>
  <c r="AF340" i="13" s="1"/>
  <c r="AF339" i="13" s="1"/>
  <c r="AF338" i="13" s="1"/>
  <c r="AF337" i="13" s="1"/>
  <c r="AF336" i="13" s="1"/>
  <c r="AF335" i="13" s="1"/>
  <c r="AF334" i="13" s="1"/>
  <c r="AF333" i="13" s="1"/>
  <c r="AF332" i="13" s="1"/>
  <c r="AF331" i="13" s="1"/>
  <c r="AF330" i="13" s="1"/>
  <c r="AF329" i="13" s="1"/>
  <c r="AF328" i="13" s="1"/>
  <c r="AF327" i="13" s="1"/>
  <c r="AF326" i="13" s="1"/>
  <c r="AF325" i="13" s="1"/>
  <c r="AF324" i="13" s="1"/>
  <c r="AF323" i="13" s="1"/>
  <c r="AF322" i="13" s="1"/>
  <c r="AF321" i="13" s="1"/>
  <c r="AF320" i="13" s="1"/>
  <c r="AF319" i="13" s="1"/>
  <c r="AF318" i="13" s="1"/>
  <c r="AF317" i="13" s="1"/>
  <c r="AF316" i="13" s="1"/>
  <c r="AF315" i="13" s="1"/>
  <c r="AF314" i="13" s="1"/>
  <c r="AF313" i="13" s="1"/>
  <c r="AF312" i="13" s="1"/>
  <c r="AF311" i="13" s="1"/>
  <c r="AF310" i="13" s="1"/>
  <c r="AF309" i="13" s="1"/>
  <c r="AF308" i="13" s="1"/>
  <c r="AF307" i="13" s="1"/>
  <c r="AF306" i="13" s="1"/>
  <c r="AF305" i="13" s="1"/>
  <c r="AF304" i="13" s="1"/>
  <c r="AF303" i="13" s="1"/>
  <c r="AF302" i="13" s="1"/>
  <c r="AF301" i="13" s="1"/>
  <c r="AF300" i="13" s="1"/>
  <c r="AF299" i="13" s="1"/>
  <c r="AF298" i="13" s="1"/>
  <c r="AF297" i="13" s="1"/>
  <c r="AF296" i="13" s="1"/>
  <c r="AF295" i="13" s="1"/>
  <c r="AF294" i="13" s="1"/>
  <c r="AF293" i="13" s="1"/>
  <c r="AF292" i="13" s="1"/>
  <c r="AF291" i="13" s="1"/>
  <c r="AF290" i="13" s="1"/>
  <c r="AF289" i="13" s="1"/>
  <c r="AF288" i="13" s="1"/>
  <c r="AF287" i="13" s="1"/>
  <c r="AF286" i="13" s="1"/>
  <c r="AF285" i="13" s="1"/>
  <c r="AF284" i="13" s="1"/>
  <c r="AF283" i="13" s="1"/>
  <c r="AF282" i="13" s="1"/>
  <c r="AF281" i="13" s="1"/>
  <c r="AF280" i="13" s="1"/>
  <c r="AF279" i="13" s="1"/>
  <c r="AF278" i="13" s="1"/>
  <c r="AF277" i="13" s="1"/>
  <c r="AF276" i="13" s="1"/>
  <c r="AF275" i="13" s="1"/>
  <c r="AF274" i="13" s="1"/>
  <c r="AF273" i="13" s="1"/>
  <c r="AF272" i="13" s="1"/>
  <c r="AF271" i="13" s="1"/>
  <c r="AF270" i="13" s="1"/>
  <c r="AF269" i="13" s="1"/>
  <c r="AF268" i="13" s="1"/>
  <c r="AF267" i="13" s="1"/>
  <c r="AF266" i="13" s="1"/>
  <c r="AF265" i="13" s="1"/>
  <c r="AF264" i="13" s="1"/>
  <c r="AF263" i="13" s="1"/>
  <c r="AF262" i="13" s="1"/>
  <c r="AF261" i="13" s="1"/>
  <c r="AF260" i="13" s="1"/>
  <c r="AF259" i="13" s="1"/>
  <c r="AF258" i="13" s="1"/>
  <c r="AF257" i="13" s="1"/>
  <c r="AF256" i="13" s="1"/>
  <c r="AF255" i="13" s="1"/>
  <c r="AF254" i="13" s="1"/>
  <c r="AF253" i="13" s="1"/>
  <c r="AF252" i="13" s="1"/>
  <c r="AF251" i="13" s="1"/>
  <c r="AF250" i="13" s="1"/>
  <c r="AF249" i="13" s="1"/>
  <c r="AF248" i="13" s="1"/>
  <c r="AF247" i="13" s="1"/>
  <c r="AF246" i="13" s="1"/>
  <c r="AF245" i="13" s="1"/>
  <c r="AF244" i="13" s="1"/>
  <c r="AF243" i="13" s="1"/>
  <c r="AF242" i="13" s="1"/>
  <c r="AF241" i="13" s="1"/>
  <c r="AF240" i="13" s="1"/>
  <c r="AF239" i="13" s="1"/>
  <c r="AF238" i="13" s="1"/>
  <c r="AF237" i="13" s="1"/>
  <c r="AF236" i="13" s="1"/>
  <c r="AF235" i="13" s="1"/>
  <c r="AF234" i="13" s="1"/>
  <c r="AF233" i="13" s="1"/>
  <c r="AF232" i="13" s="1"/>
  <c r="AF231" i="13" s="1"/>
  <c r="AF230" i="13" s="1"/>
  <c r="AF229" i="13" s="1"/>
  <c r="AF228" i="13" s="1"/>
  <c r="AF227" i="13" s="1"/>
  <c r="AF226" i="13" s="1"/>
  <c r="AF225" i="13" s="1"/>
  <c r="AF224" i="13" s="1"/>
  <c r="AF223" i="13" s="1"/>
  <c r="AF222" i="13" s="1"/>
  <c r="AF221" i="13" s="1"/>
  <c r="AF220" i="13" s="1"/>
  <c r="AF219" i="13" s="1"/>
  <c r="AF218" i="13" s="1"/>
  <c r="AF217" i="13" s="1"/>
  <c r="AF216" i="13" s="1"/>
  <c r="AF215" i="13" s="1"/>
  <c r="AF214" i="13" s="1"/>
  <c r="AF213" i="13" s="1"/>
  <c r="AF212" i="13" s="1"/>
  <c r="AF211" i="13" s="1"/>
  <c r="AF210" i="13" s="1"/>
  <c r="AF209" i="13" s="1"/>
  <c r="AF208" i="13" s="1"/>
  <c r="AF207" i="13" s="1"/>
  <c r="AF206" i="13" s="1"/>
  <c r="AF205" i="13" s="1"/>
  <c r="AF204" i="13" s="1"/>
  <c r="AF203" i="13" s="1"/>
  <c r="AF202" i="13" s="1"/>
  <c r="AF201" i="13" s="1"/>
  <c r="AF200" i="13" s="1"/>
  <c r="AF199" i="13" s="1"/>
  <c r="AF198" i="13" s="1"/>
  <c r="AF197" i="13" s="1"/>
  <c r="AF196" i="13" s="1"/>
  <c r="AF195" i="13" s="1"/>
  <c r="AF194" i="13" s="1"/>
  <c r="AF193" i="13" s="1"/>
  <c r="AF192" i="13" s="1"/>
  <c r="AF191" i="13" s="1"/>
  <c r="AF190" i="13" s="1"/>
  <c r="AF189" i="13" s="1"/>
  <c r="AF188" i="13" s="1"/>
  <c r="AF187" i="13" s="1"/>
  <c r="AF186" i="13" s="1"/>
  <c r="AF185" i="13" s="1"/>
  <c r="AF184" i="13" s="1"/>
  <c r="AF183" i="13" s="1"/>
  <c r="AF182" i="13" s="1"/>
  <c r="AF181" i="13" s="1"/>
  <c r="AF180" i="13" s="1"/>
  <c r="AF179" i="13" s="1"/>
  <c r="AF178" i="13" s="1"/>
  <c r="AF177" i="13" s="1"/>
  <c r="AF176" i="13" s="1"/>
  <c r="AF175" i="13" s="1"/>
  <c r="AF174" i="13" s="1"/>
  <c r="AF173" i="13" s="1"/>
  <c r="AF172" i="13" s="1"/>
  <c r="AF171" i="13" s="1"/>
  <c r="AF170" i="13" s="1"/>
  <c r="AF169" i="13" s="1"/>
  <c r="AF168" i="13" s="1"/>
  <c r="AF167" i="13" s="1"/>
  <c r="AF166" i="13" s="1"/>
  <c r="AF165" i="13" s="1"/>
  <c r="AF164" i="13" s="1"/>
  <c r="AF163" i="13" s="1"/>
  <c r="AF162" i="13" s="1"/>
  <c r="AF161" i="13" s="1"/>
  <c r="AF160" i="13" s="1"/>
  <c r="AF159" i="13" s="1"/>
  <c r="AF158" i="13" s="1"/>
  <c r="AF157" i="13" s="1"/>
  <c r="AF156" i="13" s="1"/>
  <c r="AF155" i="13" s="1"/>
  <c r="AF154" i="13" s="1"/>
  <c r="AF153" i="13" s="1"/>
  <c r="AF152" i="13" s="1"/>
  <c r="AF151" i="13" s="1"/>
  <c r="AF150" i="13" s="1"/>
  <c r="AF149" i="13" s="1"/>
  <c r="AF148" i="13" s="1"/>
  <c r="AF147" i="13" s="1"/>
  <c r="AF146" i="13" s="1"/>
  <c r="AF145" i="13" s="1"/>
  <c r="AF144" i="13" s="1"/>
  <c r="AF143" i="13" s="1"/>
  <c r="AF142" i="13" s="1"/>
  <c r="AF141" i="13" s="1"/>
  <c r="AF140" i="13" s="1"/>
  <c r="AF139" i="13" s="1"/>
  <c r="AF138" i="13" s="1"/>
  <c r="AF137" i="13" s="1"/>
  <c r="AF136" i="13" s="1"/>
  <c r="AF135" i="13" s="1"/>
  <c r="AF134" i="13" s="1"/>
  <c r="AF133" i="13" s="1"/>
  <c r="AF132" i="13" s="1"/>
  <c r="AF131" i="13" s="1"/>
  <c r="AF130" i="13" s="1"/>
  <c r="AF129" i="13" s="1"/>
  <c r="AF128" i="13" s="1"/>
  <c r="AF127" i="13" s="1"/>
  <c r="AF126" i="13" s="1"/>
  <c r="AF125" i="13" s="1"/>
  <c r="AF124" i="13" s="1"/>
  <c r="AF123" i="13" s="1"/>
  <c r="AF122" i="13" s="1"/>
  <c r="AF121" i="13" s="1"/>
  <c r="AF120" i="13" s="1"/>
  <c r="AF119" i="13" s="1"/>
  <c r="AF118" i="13" s="1"/>
  <c r="AF117" i="13" s="1"/>
  <c r="AF116" i="13" s="1"/>
  <c r="AF115" i="13" s="1"/>
  <c r="AF114" i="13" s="1"/>
  <c r="AF113" i="13" s="1"/>
  <c r="AF112" i="13" s="1"/>
  <c r="AF111" i="13" s="1"/>
  <c r="AF110" i="13" s="1"/>
  <c r="AF109" i="13" s="1"/>
  <c r="AF108" i="13" s="1"/>
  <c r="AF107" i="13" s="1"/>
  <c r="AF106" i="13" s="1"/>
  <c r="AF105" i="13" s="1"/>
  <c r="AF104" i="13" s="1"/>
  <c r="AF103" i="13" s="1"/>
  <c r="AF102" i="13" s="1"/>
  <c r="AF101" i="13" s="1"/>
  <c r="AF100" i="13" s="1"/>
  <c r="AF99" i="13" s="1"/>
  <c r="AF98" i="13" s="1"/>
  <c r="AF97" i="13" s="1"/>
  <c r="AF96" i="13" s="1"/>
  <c r="AF95" i="13" s="1"/>
  <c r="AF94" i="13" s="1"/>
  <c r="AF93" i="13" s="1"/>
  <c r="AF92" i="13" s="1"/>
  <c r="AF91" i="13" s="1"/>
  <c r="AF90" i="13" s="1"/>
  <c r="AF89" i="13" s="1"/>
  <c r="AF88" i="13" s="1"/>
  <c r="AF87" i="13" s="1"/>
  <c r="AF86" i="13" s="1"/>
  <c r="AF85" i="13" s="1"/>
  <c r="AF84" i="13" s="1"/>
  <c r="AF83" i="13" s="1"/>
  <c r="AF82" i="13" s="1"/>
  <c r="AF81" i="13" s="1"/>
  <c r="AF80" i="13" s="1"/>
  <c r="AF79" i="13" s="1"/>
  <c r="AF78" i="13" s="1"/>
  <c r="AF77" i="13" s="1"/>
  <c r="AF76" i="13" s="1"/>
  <c r="AF75" i="13" s="1"/>
  <c r="AF74" i="13" s="1"/>
  <c r="AF73" i="13" s="1"/>
  <c r="AF72" i="13" s="1"/>
  <c r="AF71" i="13" s="1"/>
  <c r="AF70" i="13" s="1"/>
  <c r="AF69" i="13" s="1"/>
  <c r="AF68" i="13" s="1"/>
  <c r="AF67" i="13" s="1"/>
  <c r="AF66" i="13" s="1"/>
  <c r="AF65" i="13" s="1"/>
  <c r="AF64" i="13" s="1"/>
  <c r="AF63" i="13" s="1"/>
  <c r="AF62" i="13" s="1"/>
  <c r="AF61" i="13" s="1"/>
  <c r="AF60" i="13" s="1"/>
  <c r="AF59" i="13" s="1"/>
  <c r="AF58" i="13" s="1"/>
  <c r="AF57" i="13" s="1"/>
  <c r="AF56" i="13" s="1"/>
  <c r="AF55" i="13" s="1"/>
  <c r="AF54" i="13" s="1"/>
  <c r="AF53" i="13" s="1"/>
  <c r="AF52" i="13" s="1"/>
  <c r="AF51" i="13" s="1"/>
  <c r="AF50" i="13" s="1"/>
  <c r="AF49" i="13" s="1"/>
  <c r="AF48" i="13" s="1"/>
  <c r="AF47" i="13" s="1"/>
  <c r="AF46" i="13" s="1"/>
  <c r="AF45" i="13" s="1"/>
  <c r="AF44" i="13" s="1"/>
  <c r="AF43" i="13" s="1"/>
  <c r="AF42" i="13" s="1"/>
  <c r="AF41" i="13" s="1"/>
  <c r="AF40" i="13" s="1"/>
  <c r="AF39" i="13" s="1"/>
  <c r="AF38" i="13" s="1"/>
  <c r="AF37" i="13" s="1"/>
  <c r="AF36" i="13" s="1"/>
  <c r="AF35" i="13" s="1"/>
  <c r="AF34" i="13" s="1"/>
  <c r="AF33" i="13" s="1"/>
  <c r="AF32" i="13" s="1"/>
  <c r="AF31" i="13" s="1"/>
  <c r="AF30" i="13" s="1"/>
  <c r="AF29" i="13" s="1"/>
  <c r="AF28" i="13" s="1"/>
  <c r="AF27" i="13" s="1"/>
  <c r="AF26" i="13" s="1"/>
  <c r="AF25" i="13" s="1"/>
  <c r="AF24" i="13" s="1"/>
  <c r="AF23" i="13" s="1"/>
  <c r="AF22" i="13" s="1"/>
  <c r="AF21" i="13" s="1"/>
  <c r="AF20" i="13" s="1"/>
  <c r="AF19" i="13" s="1"/>
  <c r="AF18" i="13" s="1"/>
  <c r="AF17" i="13" s="1"/>
  <c r="AF16" i="13" s="1"/>
  <c r="AF15" i="13" s="1"/>
  <c r="AF14" i="13" s="1"/>
  <c r="AF13" i="13" s="1"/>
  <c r="AF12" i="13" s="1"/>
  <c r="AF11" i="13" s="1"/>
  <c r="AF10" i="13" s="1"/>
  <c r="AF9" i="13" s="1"/>
  <c r="AF8" i="13" s="1"/>
  <c r="AF7" i="13" s="1"/>
  <c r="AF6" i="13" s="1"/>
  <c r="AF5" i="13" s="1"/>
  <c r="AF4" i="13" s="1"/>
  <c r="AF3" i="13" s="1"/>
  <c r="Y362" i="13"/>
  <c r="Y361" i="13" s="1"/>
  <c r="Y360" i="13" s="1"/>
  <c r="Y359" i="13" s="1"/>
  <c r="Y358" i="13" s="1"/>
  <c r="Y357" i="13" s="1"/>
  <c r="Y356" i="13" s="1"/>
  <c r="Y355" i="13" s="1"/>
  <c r="Y354" i="13" s="1"/>
  <c r="Y353" i="13" s="1"/>
  <c r="Y352" i="13" s="1"/>
  <c r="Y351" i="13" s="1"/>
  <c r="Y350" i="13" s="1"/>
  <c r="Y349" i="13" s="1"/>
  <c r="Y348" i="13" s="1"/>
  <c r="Y347" i="13" s="1"/>
  <c r="Y346" i="13" s="1"/>
  <c r="Y345" i="13" s="1"/>
  <c r="Y344" i="13" s="1"/>
  <c r="Y343" i="13" s="1"/>
  <c r="Y342" i="13" s="1"/>
  <c r="Y341" i="13" s="1"/>
  <c r="Y340" i="13" s="1"/>
  <c r="Y339" i="13" s="1"/>
  <c r="Y338" i="13" s="1"/>
  <c r="Y337" i="13" s="1"/>
  <c r="Y336" i="13" s="1"/>
  <c r="Y335" i="13" s="1"/>
  <c r="Y334" i="13" s="1"/>
  <c r="Y333" i="13" s="1"/>
  <c r="Y332" i="13" s="1"/>
  <c r="Y331" i="13" s="1"/>
  <c r="Y330" i="13" s="1"/>
  <c r="Y329" i="13" s="1"/>
  <c r="Y328" i="13" s="1"/>
  <c r="Y327" i="13" s="1"/>
  <c r="Y326" i="13" s="1"/>
  <c r="Y325" i="13" s="1"/>
  <c r="Y324" i="13" s="1"/>
  <c r="Y323" i="13" s="1"/>
  <c r="Y322" i="13" s="1"/>
  <c r="Y321" i="13" s="1"/>
  <c r="Y320" i="13" s="1"/>
  <c r="Y319" i="13" s="1"/>
  <c r="Y318" i="13" s="1"/>
  <c r="Y317" i="13" s="1"/>
  <c r="Y316" i="13" s="1"/>
  <c r="Y315" i="13" s="1"/>
  <c r="Y314" i="13" s="1"/>
  <c r="Y313" i="13" s="1"/>
  <c r="Y312" i="13" s="1"/>
  <c r="Y311" i="13" s="1"/>
  <c r="Y310" i="13" s="1"/>
  <c r="Y309" i="13" s="1"/>
  <c r="Y308" i="13" s="1"/>
  <c r="Y307" i="13" s="1"/>
  <c r="Y306" i="13" s="1"/>
  <c r="Y305" i="13" s="1"/>
  <c r="Y304" i="13" s="1"/>
  <c r="Y303" i="13" s="1"/>
  <c r="Y302" i="13" s="1"/>
  <c r="Y301" i="13" s="1"/>
  <c r="Y300" i="13" s="1"/>
  <c r="Y299" i="13" s="1"/>
  <c r="Y298" i="13" s="1"/>
  <c r="Y297" i="13" s="1"/>
  <c r="Y296" i="13" s="1"/>
  <c r="Y295" i="13" s="1"/>
  <c r="Y294" i="13" s="1"/>
  <c r="Y293" i="13" s="1"/>
  <c r="Y292" i="13" s="1"/>
  <c r="Y291" i="13" s="1"/>
  <c r="Y290" i="13" s="1"/>
  <c r="Y289" i="13" s="1"/>
  <c r="Y288" i="13" s="1"/>
  <c r="Y287" i="13" s="1"/>
  <c r="Y286" i="13" s="1"/>
  <c r="Y285" i="13" s="1"/>
  <c r="Y284" i="13" s="1"/>
  <c r="Y283" i="13" s="1"/>
  <c r="Y282" i="13" s="1"/>
  <c r="Y281" i="13" s="1"/>
  <c r="Y280" i="13" s="1"/>
  <c r="Y279" i="13" s="1"/>
  <c r="Y278" i="13" s="1"/>
  <c r="Y277" i="13" s="1"/>
  <c r="Y276" i="13" s="1"/>
  <c r="Y275" i="13" s="1"/>
  <c r="Y274" i="13" s="1"/>
  <c r="Y273" i="13" s="1"/>
  <c r="Y272" i="13" s="1"/>
  <c r="Y271" i="13" s="1"/>
  <c r="Y270" i="13" s="1"/>
  <c r="Y269" i="13" s="1"/>
  <c r="Y268" i="13" s="1"/>
  <c r="Y267" i="13" s="1"/>
  <c r="Y266" i="13" s="1"/>
  <c r="Y265" i="13" s="1"/>
  <c r="Y264" i="13" s="1"/>
  <c r="Y263" i="13" s="1"/>
  <c r="Y262" i="13" s="1"/>
  <c r="Y261" i="13" s="1"/>
  <c r="Y260" i="13" s="1"/>
  <c r="Y259" i="13" s="1"/>
  <c r="Y258" i="13" s="1"/>
  <c r="Y257" i="13" s="1"/>
  <c r="Y256" i="13" s="1"/>
  <c r="Y255" i="13" s="1"/>
  <c r="Y254" i="13" s="1"/>
  <c r="Y253" i="13" s="1"/>
  <c r="Y252" i="13" s="1"/>
  <c r="Y251" i="13" s="1"/>
  <c r="Y250" i="13" s="1"/>
  <c r="Y249" i="13" s="1"/>
  <c r="Y248" i="13" s="1"/>
  <c r="Y247" i="13" s="1"/>
  <c r="Y246" i="13" s="1"/>
  <c r="Y245" i="13" s="1"/>
  <c r="Y244" i="13" s="1"/>
  <c r="Y243" i="13" s="1"/>
  <c r="Y242" i="13" s="1"/>
  <c r="Y241" i="13" s="1"/>
  <c r="Y240" i="13" s="1"/>
  <c r="Y239" i="13" s="1"/>
  <c r="Y238" i="13" s="1"/>
  <c r="Y237" i="13" s="1"/>
  <c r="Y236" i="13" s="1"/>
  <c r="Y235" i="13" s="1"/>
  <c r="Y234" i="13" s="1"/>
  <c r="Y233" i="13" s="1"/>
  <c r="Y232" i="13" s="1"/>
  <c r="Y231" i="13" s="1"/>
  <c r="Y230" i="13" s="1"/>
  <c r="Y229" i="13" s="1"/>
  <c r="Y228" i="13" s="1"/>
  <c r="Y227" i="13" s="1"/>
  <c r="Y226" i="13" s="1"/>
  <c r="Y225" i="13" s="1"/>
  <c r="Y224" i="13" s="1"/>
  <c r="Y223" i="13" s="1"/>
  <c r="Y222" i="13" s="1"/>
  <c r="Y221" i="13" s="1"/>
  <c r="Y220" i="13" s="1"/>
  <c r="Y219" i="13" s="1"/>
  <c r="Y218" i="13" s="1"/>
  <c r="Y217" i="13" s="1"/>
  <c r="Y216" i="13" s="1"/>
  <c r="Y215" i="13" s="1"/>
  <c r="Y214" i="13" s="1"/>
  <c r="Y213" i="13" s="1"/>
  <c r="Y212" i="13" s="1"/>
  <c r="Y211" i="13" s="1"/>
  <c r="Y210" i="13" s="1"/>
  <c r="Y209" i="13" s="1"/>
  <c r="Y208" i="13" s="1"/>
  <c r="Y207" i="13" s="1"/>
  <c r="Y206" i="13" s="1"/>
  <c r="Y205" i="13" s="1"/>
  <c r="Y204" i="13" s="1"/>
  <c r="Y203" i="13" s="1"/>
  <c r="Y202" i="13" s="1"/>
  <c r="Y201" i="13" s="1"/>
  <c r="Y200" i="13" s="1"/>
  <c r="Y199" i="13" s="1"/>
  <c r="Y198" i="13" s="1"/>
  <c r="Y197" i="13" s="1"/>
  <c r="Y196" i="13" s="1"/>
  <c r="Y195" i="13" s="1"/>
  <c r="Y194" i="13" s="1"/>
  <c r="Y193" i="13" s="1"/>
  <c r="Y192" i="13" s="1"/>
  <c r="Y191" i="13" s="1"/>
  <c r="Y190" i="13" s="1"/>
  <c r="Y189" i="13" s="1"/>
  <c r="Y188" i="13" s="1"/>
  <c r="Y187" i="13" s="1"/>
  <c r="Y186" i="13" s="1"/>
  <c r="Y185" i="13" s="1"/>
  <c r="Y184" i="13" s="1"/>
  <c r="Y183" i="13" s="1"/>
  <c r="Y182" i="13" s="1"/>
  <c r="Y181" i="13" s="1"/>
  <c r="Y180" i="13" s="1"/>
  <c r="Y179" i="13" s="1"/>
  <c r="Y178" i="13" s="1"/>
  <c r="Y177" i="13" s="1"/>
  <c r="Y176" i="13" s="1"/>
  <c r="Y175" i="13" s="1"/>
  <c r="Y174" i="13" s="1"/>
  <c r="Y173" i="13" s="1"/>
  <c r="Y172" i="13" s="1"/>
  <c r="Y171" i="13" s="1"/>
  <c r="Y170" i="13" s="1"/>
  <c r="Y169" i="13" s="1"/>
  <c r="Y168" i="13" s="1"/>
  <c r="Y167" i="13" s="1"/>
  <c r="Y166" i="13" s="1"/>
  <c r="Y165" i="13" s="1"/>
  <c r="Y164" i="13" s="1"/>
  <c r="Y163" i="13" s="1"/>
  <c r="Y162" i="13" s="1"/>
  <c r="Y161" i="13" s="1"/>
  <c r="Y160" i="13" s="1"/>
  <c r="Y159" i="13" s="1"/>
  <c r="Y158" i="13" s="1"/>
  <c r="Y157" i="13" s="1"/>
  <c r="Y156" i="13" s="1"/>
  <c r="Y155" i="13" s="1"/>
  <c r="Y154" i="13" s="1"/>
  <c r="Y153" i="13" s="1"/>
  <c r="Y152" i="13" s="1"/>
  <c r="Y151" i="13" s="1"/>
  <c r="Y150" i="13" s="1"/>
  <c r="Y149" i="13" s="1"/>
  <c r="Y148" i="13" s="1"/>
  <c r="Y147" i="13" s="1"/>
  <c r="Y146" i="13" s="1"/>
  <c r="Y145" i="13" s="1"/>
  <c r="Y144" i="13" s="1"/>
  <c r="Y143" i="13" s="1"/>
  <c r="Y142" i="13" s="1"/>
  <c r="Y141" i="13" s="1"/>
  <c r="Y140" i="13" s="1"/>
  <c r="Y139" i="13" s="1"/>
  <c r="Y138" i="13" s="1"/>
  <c r="Y137" i="13" s="1"/>
  <c r="Y136" i="13" s="1"/>
  <c r="Y135" i="13" s="1"/>
  <c r="Y134" i="13" s="1"/>
  <c r="Y133" i="13" s="1"/>
  <c r="Y132" i="13" s="1"/>
  <c r="Y131" i="13" s="1"/>
  <c r="Y130" i="13" s="1"/>
  <c r="Y129" i="13" s="1"/>
  <c r="Y128" i="13" s="1"/>
  <c r="Y127" i="13" s="1"/>
  <c r="Y126" i="13" s="1"/>
  <c r="Y125" i="13" s="1"/>
  <c r="Y124" i="13" s="1"/>
  <c r="Y123" i="13" s="1"/>
  <c r="Y122" i="13" s="1"/>
  <c r="Y121" i="13" s="1"/>
  <c r="Y120" i="13" s="1"/>
  <c r="Y119" i="13" s="1"/>
  <c r="Y118" i="13" s="1"/>
  <c r="Y117" i="13" s="1"/>
  <c r="Y116" i="13" s="1"/>
  <c r="Y115" i="13" s="1"/>
  <c r="Y114" i="13" s="1"/>
  <c r="Y113" i="13" s="1"/>
  <c r="Y112" i="13" s="1"/>
  <c r="Y111" i="13" s="1"/>
  <c r="Y110" i="13" s="1"/>
  <c r="Y109" i="13" s="1"/>
  <c r="Y108" i="13" s="1"/>
  <c r="Y107" i="13" s="1"/>
  <c r="Y106" i="13" s="1"/>
  <c r="Y105" i="13" s="1"/>
  <c r="Y104" i="13" s="1"/>
  <c r="Y103" i="13" s="1"/>
  <c r="Y102" i="13" s="1"/>
  <c r="Y101" i="13" s="1"/>
  <c r="Y100" i="13" s="1"/>
  <c r="Y99" i="13" s="1"/>
  <c r="Y98" i="13" s="1"/>
  <c r="Y97" i="13" s="1"/>
  <c r="Y96" i="13" s="1"/>
  <c r="Y95" i="13" s="1"/>
  <c r="Y94" i="13" s="1"/>
  <c r="Y93" i="13" s="1"/>
  <c r="Y92" i="13" s="1"/>
  <c r="Y91" i="13" s="1"/>
  <c r="Y90" i="13" s="1"/>
  <c r="Y89" i="13" s="1"/>
  <c r="Y88" i="13" s="1"/>
  <c r="Y87" i="13" s="1"/>
  <c r="Y86" i="13" s="1"/>
  <c r="Y85" i="13" s="1"/>
  <c r="Y84" i="13" s="1"/>
  <c r="Y83" i="13" s="1"/>
  <c r="Y82" i="13" s="1"/>
  <c r="Y81" i="13" s="1"/>
  <c r="Y80" i="13" s="1"/>
  <c r="Y79" i="13" s="1"/>
  <c r="Y78" i="13" s="1"/>
  <c r="Y77" i="13" s="1"/>
  <c r="Y76" i="13" s="1"/>
  <c r="Y75" i="13" s="1"/>
  <c r="Y74" i="13" s="1"/>
  <c r="Y73" i="13" s="1"/>
  <c r="Y72" i="13" s="1"/>
  <c r="Y71" i="13" s="1"/>
  <c r="Y70" i="13" s="1"/>
  <c r="Y69" i="13" s="1"/>
  <c r="Y68" i="13" s="1"/>
  <c r="Y67" i="13" s="1"/>
  <c r="Y66" i="13" s="1"/>
  <c r="Y65" i="13" s="1"/>
  <c r="Y64" i="13" s="1"/>
  <c r="Y63" i="13" s="1"/>
  <c r="Y62" i="13" s="1"/>
  <c r="Y61" i="13" s="1"/>
  <c r="Y60" i="13" s="1"/>
  <c r="Y59" i="13" s="1"/>
  <c r="Y58" i="13" s="1"/>
  <c r="Y57" i="13" s="1"/>
  <c r="Y56" i="13" s="1"/>
  <c r="Y55" i="13" s="1"/>
  <c r="Y54" i="13" s="1"/>
  <c r="Y53" i="13" s="1"/>
  <c r="Y52" i="13" s="1"/>
  <c r="Y51" i="13" s="1"/>
  <c r="Y50" i="13" s="1"/>
  <c r="Y49" i="13" s="1"/>
  <c r="Y48" i="13" s="1"/>
  <c r="Y47" i="13" s="1"/>
  <c r="Y46" i="13" s="1"/>
  <c r="Y45" i="13" s="1"/>
  <c r="Y44" i="13" s="1"/>
  <c r="Y43" i="13" s="1"/>
  <c r="Y42" i="13" s="1"/>
  <c r="Y41" i="13" s="1"/>
  <c r="Y40" i="13" s="1"/>
  <c r="Y39" i="13" s="1"/>
  <c r="Y38" i="13" s="1"/>
  <c r="Y37" i="13" s="1"/>
  <c r="Y36" i="13" s="1"/>
  <c r="Y35" i="13" s="1"/>
  <c r="Y34" i="13" s="1"/>
  <c r="Y33" i="13" s="1"/>
  <c r="Y32" i="13" s="1"/>
  <c r="Y31" i="13" s="1"/>
  <c r="Y30" i="13" s="1"/>
  <c r="Y29" i="13" s="1"/>
  <c r="Y28" i="13" s="1"/>
  <c r="Y27" i="13" s="1"/>
  <c r="Y26" i="13" s="1"/>
  <c r="Y25" i="13" s="1"/>
  <c r="Y24" i="13" s="1"/>
  <c r="Y23" i="13" s="1"/>
  <c r="Y22" i="13" s="1"/>
  <c r="Y21" i="13" s="1"/>
  <c r="Y20" i="13" s="1"/>
  <c r="Y19" i="13" s="1"/>
  <c r="Y18" i="13" s="1"/>
  <c r="Y17" i="13" s="1"/>
  <c r="Y16" i="13" s="1"/>
  <c r="Y15" i="13" s="1"/>
  <c r="Y14" i="13" s="1"/>
  <c r="Y13" i="13" s="1"/>
  <c r="Y12" i="13" s="1"/>
  <c r="Y11" i="13" s="1"/>
  <c r="Y10" i="13" s="1"/>
  <c r="Y9" i="13" s="1"/>
  <c r="Y8" i="13" s="1"/>
  <c r="Y7" i="13" s="1"/>
  <c r="Y6" i="13" s="1"/>
  <c r="Y5" i="13" s="1"/>
  <c r="Y4" i="13" s="1"/>
  <c r="Y3" i="13" s="1"/>
  <c r="AB363" i="13"/>
  <c r="Y362" i="10"/>
  <c r="Y361" i="10" s="1"/>
  <c r="Y360" i="10" s="1"/>
  <c r="Y359" i="10" s="1"/>
  <c r="Y358" i="10" s="1"/>
  <c r="Y357" i="10" s="1"/>
  <c r="Y356" i="10" s="1"/>
  <c r="Y355" i="10" s="1"/>
  <c r="Y354" i="10" s="1"/>
  <c r="Y353" i="10" s="1"/>
  <c r="Y352" i="10" s="1"/>
  <c r="Y351" i="10" s="1"/>
  <c r="Y350" i="10" s="1"/>
  <c r="Y349" i="10" s="1"/>
  <c r="Y348" i="10" s="1"/>
  <c r="Y347" i="10" s="1"/>
  <c r="Y346" i="10" s="1"/>
  <c r="Y345" i="10" s="1"/>
  <c r="Y344" i="10" s="1"/>
  <c r="Y343" i="10" s="1"/>
  <c r="Y342" i="10" s="1"/>
  <c r="Y341" i="10" s="1"/>
  <c r="Y340" i="10" s="1"/>
  <c r="Y339" i="10" s="1"/>
  <c r="Y338" i="10" s="1"/>
  <c r="Y337" i="10" s="1"/>
  <c r="Y336" i="10" s="1"/>
  <c r="Y335" i="10" s="1"/>
  <c r="Y334" i="10" s="1"/>
  <c r="Y333" i="10" s="1"/>
  <c r="Y332" i="10" s="1"/>
  <c r="Y331" i="10" s="1"/>
  <c r="Y330" i="10" s="1"/>
  <c r="Y329" i="10" s="1"/>
  <c r="Y328" i="10" s="1"/>
  <c r="Y327" i="10" s="1"/>
  <c r="Y326" i="10" s="1"/>
  <c r="Y325" i="10" s="1"/>
  <c r="Y324" i="10" s="1"/>
  <c r="Y323" i="10" s="1"/>
  <c r="Y322" i="10" s="1"/>
  <c r="Y321" i="10" s="1"/>
  <c r="Y320" i="10" s="1"/>
  <c r="Y319" i="10" s="1"/>
  <c r="Y318" i="10" s="1"/>
  <c r="Y317" i="10" s="1"/>
  <c r="Y316" i="10" s="1"/>
  <c r="Y315" i="10" s="1"/>
  <c r="Y314" i="10" s="1"/>
  <c r="Y313" i="10" s="1"/>
  <c r="Y312" i="10" s="1"/>
  <c r="Y311" i="10" s="1"/>
  <c r="Y310" i="10" s="1"/>
  <c r="Y309" i="10" s="1"/>
  <c r="Y308" i="10" s="1"/>
  <c r="Y307" i="10" s="1"/>
  <c r="Y306" i="10" s="1"/>
  <c r="Y305" i="10" s="1"/>
  <c r="Y304" i="10" s="1"/>
  <c r="Y303" i="10" s="1"/>
  <c r="Y302" i="10" s="1"/>
  <c r="Y301" i="10" s="1"/>
  <c r="Y300" i="10" s="1"/>
  <c r="Y299" i="10" s="1"/>
  <c r="Y298" i="10" s="1"/>
  <c r="Y297" i="10" s="1"/>
  <c r="Y296" i="10" s="1"/>
  <c r="Y295" i="10" s="1"/>
  <c r="Y294" i="10" s="1"/>
  <c r="Y293" i="10" s="1"/>
  <c r="Y292" i="10" s="1"/>
  <c r="Y291" i="10" s="1"/>
  <c r="Y290" i="10" s="1"/>
  <c r="Y289" i="10" s="1"/>
  <c r="Y288" i="10" s="1"/>
  <c r="Y287" i="10" s="1"/>
  <c r="Y286" i="10" s="1"/>
  <c r="Y285" i="10" s="1"/>
  <c r="Y284" i="10" s="1"/>
  <c r="Y283" i="10" s="1"/>
  <c r="Y282" i="10" s="1"/>
  <c r="Y281" i="10" s="1"/>
  <c r="Y280" i="10" s="1"/>
  <c r="Y279" i="10" s="1"/>
  <c r="Y278" i="10" s="1"/>
  <c r="Y277" i="10" s="1"/>
  <c r="Y276" i="10" s="1"/>
  <c r="Y275" i="10" s="1"/>
  <c r="Y274" i="10" s="1"/>
  <c r="Y273" i="10" s="1"/>
  <c r="Y272" i="10" s="1"/>
  <c r="Y271" i="10" s="1"/>
  <c r="Y270" i="10" s="1"/>
  <c r="Y269" i="10" s="1"/>
  <c r="Y268" i="10" s="1"/>
  <c r="Y267" i="10" s="1"/>
  <c r="Y266" i="10" s="1"/>
  <c r="Y265" i="10" s="1"/>
  <c r="Y264" i="10" s="1"/>
  <c r="Y263" i="10" s="1"/>
  <c r="Y262" i="10" s="1"/>
  <c r="Y261" i="10" s="1"/>
  <c r="Y260" i="10" s="1"/>
  <c r="Y259" i="10" s="1"/>
  <c r="Y258" i="10" s="1"/>
  <c r="Y257" i="10" s="1"/>
  <c r="Y256" i="10" s="1"/>
  <c r="Y255" i="10" s="1"/>
  <c r="Y254" i="10" s="1"/>
  <c r="Y253" i="10" s="1"/>
  <c r="Y252" i="10" s="1"/>
  <c r="Y251" i="10" s="1"/>
  <c r="Y250" i="10" s="1"/>
  <c r="Y249" i="10" s="1"/>
  <c r="Y248" i="10" s="1"/>
  <c r="Y247" i="10" s="1"/>
  <c r="Y246" i="10" s="1"/>
  <c r="Y245" i="10" s="1"/>
  <c r="Y244" i="10" s="1"/>
  <c r="Y243" i="10" s="1"/>
  <c r="Y242" i="10" s="1"/>
  <c r="Y241" i="10" s="1"/>
  <c r="Y240" i="10" s="1"/>
  <c r="Y239" i="10" s="1"/>
  <c r="Y238" i="10" s="1"/>
  <c r="Y237" i="10" s="1"/>
  <c r="Y236" i="10" s="1"/>
  <c r="Y235" i="10" s="1"/>
  <c r="Y234" i="10" s="1"/>
  <c r="Y233" i="10" s="1"/>
  <c r="Y232" i="10" s="1"/>
  <c r="Y231" i="10" s="1"/>
  <c r="Y230" i="10" s="1"/>
  <c r="Y229" i="10" s="1"/>
  <c r="Y228" i="10" s="1"/>
  <c r="Y227" i="10" s="1"/>
  <c r="Y226" i="10" s="1"/>
  <c r="Y225" i="10" s="1"/>
  <c r="Y224" i="10" s="1"/>
  <c r="Y223" i="10" s="1"/>
  <c r="Y222" i="10" s="1"/>
  <c r="Y221" i="10" s="1"/>
  <c r="Y220" i="10" s="1"/>
  <c r="Y219" i="10" s="1"/>
  <c r="Y218" i="10" s="1"/>
  <c r="Y217" i="10" s="1"/>
  <c r="Y216" i="10" s="1"/>
  <c r="Y215" i="10" s="1"/>
  <c r="Y214" i="10" s="1"/>
  <c r="Y213" i="10" s="1"/>
  <c r="Y212" i="10" s="1"/>
  <c r="Y211" i="10" s="1"/>
  <c r="Y210" i="10" s="1"/>
  <c r="Y209" i="10" s="1"/>
  <c r="Y208" i="10" s="1"/>
  <c r="Y207" i="10" s="1"/>
  <c r="Y206" i="10" s="1"/>
  <c r="Y205" i="10" s="1"/>
  <c r="Y204" i="10" s="1"/>
  <c r="Y203" i="10" s="1"/>
  <c r="Y202" i="10" s="1"/>
  <c r="Y201" i="10" s="1"/>
  <c r="Y200" i="10" s="1"/>
  <c r="Y199" i="10" s="1"/>
  <c r="Y198" i="10" s="1"/>
  <c r="Y197" i="10" s="1"/>
  <c r="Y196" i="10" s="1"/>
  <c r="Y195" i="10" s="1"/>
  <c r="Y194" i="10" s="1"/>
  <c r="Y193" i="10" s="1"/>
  <c r="Y192" i="10" s="1"/>
  <c r="Y191" i="10" s="1"/>
  <c r="Y190" i="10" s="1"/>
  <c r="Y189" i="10" s="1"/>
  <c r="Y188" i="10" s="1"/>
  <c r="Y187" i="10" s="1"/>
  <c r="Y186" i="10" s="1"/>
  <c r="Y185" i="10" s="1"/>
  <c r="Y184" i="10" s="1"/>
  <c r="Y183" i="10" s="1"/>
  <c r="Y182" i="10" s="1"/>
  <c r="Y181" i="10" s="1"/>
  <c r="Y180" i="10" s="1"/>
  <c r="Y179" i="10" s="1"/>
  <c r="Y178" i="10" s="1"/>
  <c r="Y177" i="10" s="1"/>
  <c r="Y176" i="10" s="1"/>
  <c r="Y175" i="10" s="1"/>
  <c r="Y174" i="10" s="1"/>
  <c r="Y173" i="10" s="1"/>
  <c r="Y172" i="10" s="1"/>
  <c r="Y171" i="10" s="1"/>
  <c r="Y170" i="10" s="1"/>
  <c r="Y169" i="10" s="1"/>
  <c r="Y168" i="10" s="1"/>
  <c r="Y167" i="10" s="1"/>
  <c r="Y166" i="10" s="1"/>
  <c r="Y165" i="10" s="1"/>
  <c r="Y164" i="10" s="1"/>
  <c r="Y163" i="10" s="1"/>
  <c r="Y162" i="10" s="1"/>
  <c r="Y161" i="10" s="1"/>
  <c r="Y160" i="10" s="1"/>
  <c r="Y159" i="10" s="1"/>
  <c r="Y158" i="10" s="1"/>
  <c r="Y157" i="10" s="1"/>
  <c r="Y156" i="10" s="1"/>
  <c r="Y155" i="10" s="1"/>
  <c r="Y154" i="10" s="1"/>
  <c r="Y153" i="10" s="1"/>
  <c r="Y152" i="10" s="1"/>
  <c r="Y151" i="10" s="1"/>
  <c r="Y150" i="10" s="1"/>
  <c r="Y149" i="10" s="1"/>
  <c r="Y148" i="10" s="1"/>
  <c r="Y147" i="10" s="1"/>
  <c r="Y146" i="10" s="1"/>
  <c r="Y145" i="10" s="1"/>
  <c r="Y144" i="10" s="1"/>
  <c r="Y143" i="10" s="1"/>
  <c r="Y142" i="10" s="1"/>
  <c r="Y141" i="10" s="1"/>
  <c r="Y140" i="10" s="1"/>
  <c r="Y139" i="10" s="1"/>
  <c r="Y138" i="10" s="1"/>
  <c r="Y137" i="10" s="1"/>
  <c r="Y136" i="10" s="1"/>
  <c r="Y135" i="10" s="1"/>
  <c r="Y134" i="10" s="1"/>
  <c r="Y133" i="10" s="1"/>
  <c r="Y132" i="10" s="1"/>
  <c r="Y131" i="10" s="1"/>
  <c r="Y130" i="10" s="1"/>
  <c r="Y129" i="10" s="1"/>
  <c r="Y128" i="10" s="1"/>
  <c r="Y127" i="10" s="1"/>
  <c r="Y126" i="10" s="1"/>
  <c r="Y125" i="10" s="1"/>
  <c r="Y124" i="10" s="1"/>
  <c r="Y123" i="10" s="1"/>
  <c r="Y122" i="10" s="1"/>
  <c r="Y121" i="10" s="1"/>
  <c r="Y120" i="10" s="1"/>
  <c r="Y119" i="10" s="1"/>
  <c r="Y118" i="10" s="1"/>
  <c r="Y117" i="10" s="1"/>
  <c r="Y116" i="10" s="1"/>
  <c r="Y115" i="10" s="1"/>
  <c r="Y114" i="10" s="1"/>
  <c r="Y113" i="10" s="1"/>
  <c r="Y112" i="10" s="1"/>
  <c r="Y111" i="10" s="1"/>
  <c r="Y110" i="10" s="1"/>
  <c r="Y109" i="10" s="1"/>
  <c r="Y108" i="10" s="1"/>
  <c r="Y107" i="10" s="1"/>
  <c r="Y106" i="10" s="1"/>
  <c r="Y105" i="10" s="1"/>
  <c r="Y104" i="10" s="1"/>
  <c r="Y103" i="10" s="1"/>
  <c r="Y102" i="10" s="1"/>
  <c r="Y101" i="10" s="1"/>
  <c r="Y100" i="10" s="1"/>
  <c r="Y99" i="10" s="1"/>
  <c r="Y98" i="10" s="1"/>
  <c r="Y97" i="10" s="1"/>
  <c r="Y96" i="10" s="1"/>
  <c r="Y95" i="10" s="1"/>
  <c r="Y94" i="10" s="1"/>
  <c r="Y93" i="10" s="1"/>
  <c r="Y92" i="10" s="1"/>
  <c r="Y91" i="10" s="1"/>
  <c r="Y90" i="10" s="1"/>
  <c r="Y89" i="10" s="1"/>
  <c r="Y88" i="10" s="1"/>
  <c r="Y87" i="10" s="1"/>
  <c r="Y86" i="10" s="1"/>
  <c r="Y85" i="10" s="1"/>
  <c r="Y84" i="10" s="1"/>
  <c r="Y83" i="10" s="1"/>
  <c r="Y82" i="10" s="1"/>
  <c r="Y81" i="10" s="1"/>
  <c r="Y80" i="10" s="1"/>
  <c r="Y79" i="10" s="1"/>
  <c r="Y78" i="10" s="1"/>
  <c r="Y77" i="10" s="1"/>
  <c r="Y76" i="10" s="1"/>
  <c r="Y75" i="10" s="1"/>
  <c r="Y74" i="10" s="1"/>
  <c r="Y73" i="10" s="1"/>
  <c r="Y72" i="10" s="1"/>
  <c r="Y71" i="10" s="1"/>
  <c r="Y70" i="10" s="1"/>
  <c r="Y69" i="10" s="1"/>
  <c r="Y68" i="10" s="1"/>
  <c r="Y67" i="10" s="1"/>
  <c r="Y66" i="10" s="1"/>
  <c r="Y65" i="10" s="1"/>
  <c r="Y64" i="10" s="1"/>
  <c r="Y63" i="10" s="1"/>
  <c r="Y62" i="10" s="1"/>
  <c r="Y61" i="10" s="1"/>
  <c r="Y60" i="10" s="1"/>
  <c r="Y59" i="10" s="1"/>
  <c r="Y58" i="10" s="1"/>
  <c r="Y57" i="10" s="1"/>
  <c r="Y56" i="10" s="1"/>
  <c r="Y55" i="10" s="1"/>
  <c r="Y54" i="10" s="1"/>
  <c r="Y53" i="10" s="1"/>
  <c r="Y52" i="10" s="1"/>
  <c r="Y51" i="10" s="1"/>
  <c r="Y50" i="10" s="1"/>
  <c r="Y49" i="10" s="1"/>
  <c r="Y48" i="10" s="1"/>
  <c r="Y47" i="10" s="1"/>
  <c r="Y46" i="10" s="1"/>
  <c r="Y45" i="10" s="1"/>
  <c r="Y44" i="10" s="1"/>
  <c r="Y43" i="10" s="1"/>
  <c r="Y42" i="10" s="1"/>
  <c r="Y41" i="10" s="1"/>
  <c r="Y40" i="10" s="1"/>
  <c r="Y39" i="10" s="1"/>
  <c r="Y38" i="10" s="1"/>
  <c r="Y37" i="10" s="1"/>
  <c r="Y36" i="10" s="1"/>
  <c r="Y35" i="10" s="1"/>
  <c r="Y34" i="10" s="1"/>
  <c r="Y33" i="10" s="1"/>
  <c r="Y32" i="10" s="1"/>
  <c r="Y31" i="10" s="1"/>
  <c r="Y30" i="10" s="1"/>
  <c r="Y29" i="10" s="1"/>
  <c r="Y28" i="10" s="1"/>
  <c r="Y27" i="10" s="1"/>
  <c r="Y26" i="10" s="1"/>
  <c r="Y25" i="10" s="1"/>
  <c r="Y24" i="10" s="1"/>
  <c r="Y23" i="10" s="1"/>
  <c r="Y22" i="10" s="1"/>
  <c r="Y21" i="10" s="1"/>
  <c r="Y20" i="10" s="1"/>
  <c r="Y19" i="10" s="1"/>
  <c r="Y18" i="10" s="1"/>
  <c r="Y17" i="10" s="1"/>
  <c r="Y16" i="10" s="1"/>
  <c r="Y15" i="10" s="1"/>
  <c r="Y14" i="10" s="1"/>
  <c r="Y13" i="10" s="1"/>
  <c r="Y12" i="10" s="1"/>
  <c r="Y11" i="10" s="1"/>
  <c r="Y10" i="10" s="1"/>
  <c r="Y9" i="10" s="1"/>
  <c r="Y8" i="10" s="1"/>
  <c r="Y7" i="10" s="1"/>
  <c r="Y6" i="10" s="1"/>
  <c r="Y5" i="10" s="1"/>
  <c r="Y4" i="10" s="1"/>
  <c r="Y3" i="10" s="1"/>
  <c r="AB363" i="10"/>
  <c r="AA362" i="10"/>
  <c r="AA361" i="10" s="1"/>
  <c r="AA360" i="10" s="1"/>
  <c r="AA359" i="10" s="1"/>
  <c r="AA358" i="10" s="1"/>
  <c r="AA357" i="10" s="1"/>
  <c r="AA356" i="10" s="1"/>
  <c r="AA355" i="10" s="1"/>
  <c r="AA354" i="10" s="1"/>
  <c r="AA353" i="10" s="1"/>
  <c r="AA352" i="10" s="1"/>
  <c r="AA351" i="10" s="1"/>
  <c r="AA350" i="10" s="1"/>
  <c r="AA349" i="10" s="1"/>
  <c r="AA348" i="10" s="1"/>
  <c r="AA347" i="10" s="1"/>
  <c r="AA346" i="10" s="1"/>
  <c r="AA345" i="10" s="1"/>
  <c r="AA344" i="10" s="1"/>
  <c r="AA343" i="10" s="1"/>
  <c r="AA342" i="10" s="1"/>
  <c r="AA341" i="10" s="1"/>
  <c r="AA340" i="10" s="1"/>
  <c r="AA339" i="10" s="1"/>
  <c r="AA338" i="10" s="1"/>
  <c r="AA337" i="10" s="1"/>
  <c r="AA336" i="10" s="1"/>
  <c r="AA335" i="10" s="1"/>
  <c r="AA334" i="10" s="1"/>
  <c r="AA333" i="10" s="1"/>
  <c r="AA332" i="10" s="1"/>
  <c r="AA331" i="10" s="1"/>
  <c r="AA330" i="10" s="1"/>
  <c r="AA329" i="10" s="1"/>
  <c r="AA328" i="10" s="1"/>
  <c r="AA327" i="10" s="1"/>
  <c r="AA326" i="10" s="1"/>
  <c r="AA325" i="10" s="1"/>
  <c r="AA324" i="10" s="1"/>
  <c r="AA323" i="10" s="1"/>
  <c r="AA322" i="10" s="1"/>
  <c r="AA321" i="10" s="1"/>
  <c r="AA320" i="10" s="1"/>
  <c r="AA319" i="10" s="1"/>
  <c r="AA318" i="10" s="1"/>
  <c r="AA317" i="10" s="1"/>
  <c r="AA316" i="10" s="1"/>
  <c r="AA315" i="10" s="1"/>
  <c r="AA314" i="10" s="1"/>
  <c r="AA313" i="10" s="1"/>
  <c r="AA312" i="10" s="1"/>
  <c r="AA311" i="10" s="1"/>
  <c r="AA310" i="10" s="1"/>
  <c r="AA309" i="10" s="1"/>
  <c r="AA308" i="10" s="1"/>
  <c r="AA307" i="10" s="1"/>
  <c r="AA306" i="10" s="1"/>
  <c r="AA305" i="10" s="1"/>
  <c r="AA304" i="10" s="1"/>
  <c r="AA303" i="10" s="1"/>
  <c r="AA302" i="10" s="1"/>
  <c r="AA301" i="10" s="1"/>
  <c r="AA300" i="10" s="1"/>
  <c r="AA299" i="10" s="1"/>
  <c r="AA298" i="10" s="1"/>
  <c r="AA297" i="10" s="1"/>
  <c r="AA296" i="10" s="1"/>
  <c r="AA295" i="10" s="1"/>
  <c r="AA294" i="10" s="1"/>
  <c r="AA293" i="10" s="1"/>
  <c r="AA292" i="10" s="1"/>
  <c r="AA291" i="10" s="1"/>
  <c r="AA290" i="10" s="1"/>
  <c r="AA289" i="10" s="1"/>
  <c r="AA288" i="10" s="1"/>
  <c r="AA287" i="10" s="1"/>
  <c r="AA286" i="10" s="1"/>
  <c r="AA285" i="10" s="1"/>
  <c r="AA284" i="10" s="1"/>
  <c r="AA283" i="10" s="1"/>
  <c r="AA282" i="10" s="1"/>
  <c r="AA281" i="10" s="1"/>
  <c r="AA280" i="10" s="1"/>
  <c r="AA279" i="10" s="1"/>
  <c r="AA278" i="10" s="1"/>
  <c r="AA277" i="10" s="1"/>
  <c r="AA276" i="10" s="1"/>
  <c r="AA275" i="10" s="1"/>
  <c r="AA274" i="10" s="1"/>
  <c r="AA273" i="10" s="1"/>
  <c r="AA272" i="10" s="1"/>
  <c r="AA271" i="10" s="1"/>
  <c r="AA270" i="10" s="1"/>
  <c r="AA269" i="10" s="1"/>
  <c r="AA268" i="10" s="1"/>
  <c r="AA267" i="10" s="1"/>
  <c r="AA266" i="10" s="1"/>
  <c r="AA265" i="10" s="1"/>
  <c r="AA264" i="10" s="1"/>
  <c r="AA263" i="10" s="1"/>
  <c r="AA262" i="10" s="1"/>
  <c r="AA261" i="10" s="1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AA249" i="10" s="1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AA23" i="10" s="1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AA6" i="10" s="1"/>
  <c r="AA5" i="10" s="1"/>
  <c r="AA4" i="10" s="1"/>
  <c r="AA3" i="10" s="1"/>
  <c r="AD363" i="10"/>
  <c r="AI363" i="10"/>
  <c r="AI362" i="10" s="1"/>
  <c r="AI361" i="10" s="1"/>
  <c r="AI360" i="10" s="1"/>
  <c r="AI359" i="10" s="1"/>
  <c r="AI358" i="10" s="1"/>
  <c r="AI357" i="10" s="1"/>
  <c r="AI356" i="10" s="1"/>
  <c r="AI355" i="10" s="1"/>
  <c r="AI354" i="10" s="1"/>
  <c r="AI353" i="10" s="1"/>
  <c r="AI352" i="10" s="1"/>
  <c r="AI351" i="10" s="1"/>
  <c r="AI350" i="10" s="1"/>
  <c r="AI349" i="10" s="1"/>
  <c r="AI348" i="10" s="1"/>
  <c r="AI347" i="10" s="1"/>
  <c r="AI346" i="10" s="1"/>
  <c r="AI345" i="10" s="1"/>
  <c r="AI344" i="10" s="1"/>
  <c r="AI343" i="10" s="1"/>
  <c r="AI342" i="10" s="1"/>
  <c r="AI341" i="10" s="1"/>
  <c r="AI340" i="10" s="1"/>
  <c r="AI339" i="10" s="1"/>
  <c r="AI338" i="10" s="1"/>
  <c r="AI337" i="10" s="1"/>
  <c r="AI336" i="10" s="1"/>
  <c r="AI335" i="10" s="1"/>
  <c r="AI334" i="10" s="1"/>
  <c r="AI333" i="10" s="1"/>
  <c r="AI332" i="10" s="1"/>
  <c r="AI331" i="10" s="1"/>
  <c r="AI330" i="10" s="1"/>
  <c r="AI329" i="10" s="1"/>
  <c r="AI328" i="10" s="1"/>
  <c r="AI327" i="10" s="1"/>
  <c r="AI326" i="10" s="1"/>
  <c r="AI325" i="10" s="1"/>
  <c r="AI324" i="10" s="1"/>
  <c r="AI323" i="10" s="1"/>
  <c r="AI322" i="10" s="1"/>
  <c r="AI321" i="10" s="1"/>
  <c r="AI320" i="10" s="1"/>
  <c r="AI319" i="10" s="1"/>
  <c r="AI318" i="10" s="1"/>
  <c r="AI317" i="10" s="1"/>
  <c r="AI316" i="10" s="1"/>
  <c r="AI315" i="10" s="1"/>
  <c r="AI314" i="10" s="1"/>
  <c r="AI313" i="10" s="1"/>
  <c r="AI312" i="10" s="1"/>
  <c r="AI311" i="10" s="1"/>
  <c r="AI310" i="10" s="1"/>
  <c r="AI309" i="10" s="1"/>
  <c r="AI308" i="10" s="1"/>
  <c r="AI307" i="10" s="1"/>
  <c r="AI306" i="10" s="1"/>
  <c r="AI305" i="10" s="1"/>
  <c r="AI304" i="10" s="1"/>
  <c r="AI303" i="10" s="1"/>
  <c r="AI302" i="10" s="1"/>
  <c r="AI301" i="10" s="1"/>
  <c r="AI300" i="10" s="1"/>
  <c r="AI299" i="10" s="1"/>
  <c r="AI298" i="10" s="1"/>
  <c r="AI297" i="10" s="1"/>
  <c r="AI296" i="10" s="1"/>
  <c r="AI295" i="10" s="1"/>
  <c r="AI294" i="10" s="1"/>
  <c r="AI293" i="10" s="1"/>
  <c r="AI292" i="10" s="1"/>
  <c r="AI291" i="10" s="1"/>
  <c r="AI290" i="10" s="1"/>
  <c r="AI289" i="10" s="1"/>
  <c r="AI288" i="10" s="1"/>
  <c r="AI287" i="10" s="1"/>
  <c r="AI286" i="10" s="1"/>
  <c r="AI285" i="10" s="1"/>
  <c r="AI284" i="10" s="1"/>
  <c r="AI283" i="10" s="1"/>
  <c r="AI282" i="10" s="1"/>
  <c r="AI281" i="10" s="1"/>
  <c r="AI280" i="10" s="1"/>
  <c r="AI279" i="10" s="1"/>
  <c r="AI278" i="10" s="1"/>
  <c r="AI277" i="10" s="1"/>
  <c r="AI276" i="10" s="1"/>
  <c r="AI275" i="10" s="1"/>
  <c r="AI274" i="10" s="1"/>
  <c r="AI273" i="10" s="1"/>
  <c r="AI272" i="10" s="1"/>
  <c r="AI271" i="10" s="1"/>
  <c r="AI270" i="10" s="1"/>
  <c r="AI269" i="10" s="1"/>
  <c r="AI268" i="10" s="1"/>
  <c r="AI267" i="10" s="1"/>
  <c r="AI266" i="10" s="1"/>
  <c r="AI265" i="10" s="1"/>
  <c r="AI264" i="10" s="1"/>
  <c r="AI263" i="10" s="1"/>
  <c r="AI262" i="10" s="1"/>
  <c r="AI261" i="10" s="1"/>
  <c r="AI260" i="10" s="1"/>
  <c r="AI259" i="10" s="1"/>
  <c r="AI258" i="10" s="1"/>
  <c r="AI257" i="10" s="1"/>
  <c r="AI256" i="10" s="1"/>
  <c r="AI255" i="10" s="1"/>
  <c r="AI254" i="10" s="1"/>
  <c r="AI253" i="10" s="1"/>
  <c r="AI252" i="10" s="1"/>
  <c r="AI251" i="10" s="1"/>
  <c r="AI250" i="10" s="1"/>
  <c r="AI249" i="10" s="1"/>
  <c r="AI248" i="10" s="1"/>
  <c r="AI247" i="10" s="1"/>
  <c r="AI246" i="10" s="1"/>
  <c r="AI245" i="10" s="1"/>
  <c r="AI244" i="10" s="1"/>
  <c r="AI243" i="10" s="1"/>
  <c r="AI242" i="10" s="1"/>
  <c r="AI241" i="10" s="1"/>
  <c r="AI240" i="10" s="1"/>
  <c r="AI239" i="10" s="1"/>
  <c r="AI238" i="10" s="1"/>
  <c r="AI237" i="10" s="1"/>
  <c r="AI236" i="10" s="1"/>
  <c r="AI235" i="10" s="1"/>
  <c r="AI234" i="10" s="1"/>
  <c r="AI233" i="10" s="1"/>
  <c r="AI232" i="10" s="1"/>
  <c r="AI231" i="10" s="1"/>
  <c r="AI230" i="10" s="1"/>
  <c r="AI229" i="10" s="1"/>
  <c r="AI228" i="10" s="1"/>
  <c r="AI227" i="10" s="1"/>
  <c r="AI226" i="10" s="1"/>
  <c r="AI225" i="10" s="1"/>
  <c r="AI224" i="10" s="1"/>
  <c r="AI223" i="10" s="1"/>
  <c r="AI222" i="10" s="1"/>
  <c r="AI221" i="10" s="1"/>
  <c r="AI220" i="10" s="1"/>
  <c r="AI219" i="10" s="1"/>
  <c r="AI218" i="10" s="1"/>
  <c r="AI217" i="10" s="1"/>
  <c r="AI216" i="10" s="1"/>
  <c r="AI215" i="10" s="1"/>
  <c r="AI214" i="10" s="1"/>
  <c r="AI213" i="10" s="1"/>
  <c r="AI212" i="10" s="1"/>
  <c r="AI211" i="10" s="1"/>
  <c r="AI210" i="10" s="1"/>
  <c r="AI209" i="10" s="1"/>
  <c r="AI208" i="10" s="1"/>
  <c r="AI207" i="10" s="1"/>
  <c r="AI206" i="10" s="1"/>
  <c r="AI205" i="10" s="1"/>
  <c r="AI204" i="10" s="1"/>
  <c r="AI203" i="10" s="1"/>
  <c r="AI202" i="10" s="1"/>
  <c r="AI201" i="10" s="1"/>
  <c r="AI200" i="10" s="1"/>
  <c r="AI199" i="10" s="1"/>
  <c r="AI198" i="10" s="1"/>
  <c r="AI197" i="10" s="1"/>
  <c r="AI196" i="10" s="1"/>
  <c r="AI195" i="10" s="1"/>
  <c r="AI194" i="10" s="1"/>
  <c r="AI193" i="10" s="1"/>
  <c r="AI192" i="10" s="1"/>
  <c r="AI191" i="10" s="1"/>
  <c r="AI190" i="10" s="1"/>
  <c r="AI189" i="10" s="1"/>
  <c r="AI188" i="10" s="1"/>
  <c r="AI187" i="10" s="1"/>
  <c r="AI186" i="10" s="1"/>
  <c r="AI185" i="10" s="1"/>
  <c r="AI184" i="10" s="1"/>
  <c r="AI183" i="10" s="1"/>
  <c r="AI182" i="10" s="1"/>
  <c r="AI181" i="10" s="1"/>
  <c r="AI180" i="10" s="1"/>
  <c r="AI179" i="10" s="1"/>
  <c r="AI178" i="10" s="1"/>
  <c r="AI177" i="10" s="1"/>
  <c r="AI176" i="10" s="1"/>
  <c r="AI175" i="10" s="1"/>
  <c r="AI174" i="10" s="1"/>
  <c r="AI173" i="10" s="1"/>
  <c r="AI172" i="10" s="1"/>
  <c r="AI171" i="10" s="1"/>
  <c r="AI170" i="10" s="1"/>
  <c r="AI169" i="10" s="1"/>
  <c r="AI168" i="10" s="1"/>
  <c r="AI167" i="10" s="1"/>
  <c r="AI166" i="10" s="1"/>
  <c r="AI165" i="10" s="1"/>
  <c r="AI164" i="10" s="1"/>
  <c r="AI163" i="10" s="1"/>
  <c r="AI162" i="10" s="1"/>
  <c r="AI161" i="10" s="1"/>
  <c r="AI160" i="10" s="1"/>
  <c r="AI159" i="10" s="1"/>
  <c r="AI158" i="10" s="1"/>
  <c r="AI157" i="10" s="1"/>
  <c r="AI156" i="10" s="1"/>
  <c r="AI155" i="10" s="1"/>
  <c r="AI154" i="10" s="1"/>
  <c r="AI153" i="10" s="1"/>
  <c r="AI152" i="10" s="1"/>
  <c r="AI151" i="10" s="1"/>
  <c r="AI150" i="10" s="1"/>
  <c r="AI149" i="10" s="1"/>
  <c r="AI148" i="10" s="1"/>
  <c r="AI147" i="10" s="1"/>
  <c r="AI146" i="10" s="1"/>
  <c r="AI145" i="10" s="1"/>
  <c r="AI144" i="10" s="1"/>
  <c r="AI143" i="10" s="1"/>
  <c r="AI142" i="10" s="1"/>
  <c r="AI141" i="10" s="1"/>
  <c r="AI140" i="10" s="1"/>
  <c r="AI139" i="10" s="1"/>
  <c r="AI138" i="10" s="1"/>
  <c r="AI137" i="10" s="1"/>
  <c r="AI136" i="10" s="1"/>
  <c r="AI135" i="10" s="1"/>
  <c r="AI134" i="10" s="1"/>
  <c r="AI133" i="10" s="1"/>
  <c r="AI132" i="10" s="1"/>
  <c r="AI131" i="10" s="1"/>
  <c r="AI130" i="10" s="1"/>
  <c r="AI129" i="10" s="1"/>
  <c r="AI128" i="10" s="1"/>
  <c r="AI127" i="10" s="1"/>
  <c r="AI126" i="10" s="1"/>
  <c r="AI125" i="10" s="1"/>
  <c r="AI124" i="10" s="1"/>
  <c r="AI123" i="10" s="1"/>
  <c r="AI122" i="10" s="1"/>
  <c r="AI121" i="10" s="1"/>
  <c r="AI120" i="10" s="1"/>
  <c r="AI119" i="10" s="1"/>
  <c r="AI118" i="10" s="1"/>
  <c r="AI117" i="10" s="1"/>
  <c r="AI116" i="10" s="1"/>
  <c r="AI115" i="10" s="1"/>
  <c r="AI114" i="10" s="1"/>
  <c r="AI113" i="10" s="1"/>
  <c r="AI112" i="10" s="1"/>
  <c r="AI111" i="10" s="1"/>
  <c r="AI110" i="10" s="1"/>
  <c r="AI109" i="10" s="1"/>
  <c r="AI108" i="10" s="1"/>
  <c r="AI107" i="10" s="1"/>
  <c r="AI106" i="10" s="1"/>
  <c r="AI105" i="10" s="1"/>
  <c r="AI104" i="10" s="1"/>
  <c r="AI103" i="10" s="1"/>
  <c r="AI102" i="10" s="1"/>
  <c r="AI101" i="10" s="1"/>
  <c r="AI100" i="10" s="1"/>
  <c r="AI99" i="10" s="1"/>
  <c r="AI98" i="10" s="1"/>
  <c r="AI97" i="10" s="1"/>
  <c r="AI96" i="10" s="1"/>
  <c r="AI95" i="10" s="1"/>
  <c r="AI94" i="10" s="1"/>
  <c r="AI93" i="10" s="1"/>
  <c r="AI92" i="10" s="1"/>
  <c r="AI91" i="10" s="1"/>
  <c r="AI90" i="10" s="1"/>
  <c r="AI89" i="10" s="1"/>
  <c r="AI88" i="10" s="1"/>
  <c r="AI87" i="10" s="1"/>
  <c r="AI86" i="10" s="1"/>
  <c r="AI85" i="10" s="1"/>
  <c r="AI84" i="10" s="1"/>
  <c r="AI83" i="10" s="1"/>
  <c r="AI82" i="10" s="1"/>
  <c r="AI81" i="10" s="1"/>
  <c r="AI80" i="10" s="1"/>
  <c r="AI79" i="10" s="1"/>
  <c r="AI78" i="10" s="1"/>
  <c r="AI77" i="10" s="1"/>
  <c r="AI76" i="10" s="1"/>
  <c r="AI75" i="10" s="1"/>
  <c r="AI74" i="10" s="1"/>
  <c r="AI73" i="10" s="1"/>
  <c r="AI72" i="10" s="1"/>
  <c r="AI71" i="10" s="1"/>
  <c r="AI70" i="10" s="1"/>
  <c r="AI69" i="10" s="1"/>
  <c r="AI68" i="10" s="1"/>
  <c r="AI67" i="10" s="1"/>
  <c r="AI66" i="10" s="1"/>
  <c r="AI65" i="10" s="1"/>
  <c r="AI64" i="10" s="1"/>
  <c r="AI63" i="10" s="1"/>
  <c r="AI62" i="10" s="1"/>
  <c r="AI61" i="10" s="1"/>
  <c r="AI60" i="10" s="1"/>
  <c r="AI59" i="10" s="1"/>
  <c r="AI58" i="10" s="1"/>
  <c r="AI57" i="10" s="1"/>
  <c r="AI56" i="10" s="1"/>
  <c r="AI55" i="10" s="1"/>
  <c r="AI54" i="10" s="1"/>
  <c r="AI53" i="10" s="1"/>
  <c r="AI52" i="10" s="1"/>
  <c r="AI51" i="10" s="1"/>
  <c r="AI50" i="10" s="1"/>
  <c r="AI49" i="10" s="1"/>
  <c r="AI48" i="10" s="1"/>
  <c r="AI47" i="10" s="1"/>
  <c r="AI46" i="10" s="1"/>
  <c r="AI45" i="10" s="1"/>
  <c r="AI44" i="10" s="1"/>
  <c r="AI43" i="10" s="1"/>
  <c r="AI42" i="10" s="1"/>
  <c r="AI41" i="10" s="1"/>
  <c r="AI40" i="10" s="1"/>
  <c r="AI39" i="10" s="1"/>
  <c r="AI38" i="10" s="1"/>
  <c r="AI37" i="10" s="1"/>
  <c r="AI36" i="10" s="1"/>
  <c r="AI35" i="10" s="1"/>
  <c r="AI34" i="10" s="1"/>
  <c r="AI33" i="10" s="1"/>
  <c r="AI32" i="10" s="1"/>
  <c r="AI31" i="10" s="1"/>
  <c r="AI30" i="10" s="1"/>
  <c r="AI29" i="10" s="1"/>
  <c r="AI28" i="10" s="1"/>
  <c r="AI27" i="10" s="1"/>
  <c r="AI26" i="10" s="1"/>
  <c r="AI25" i="10" s="1"/>
  <c r="AI24" i="10" s="1"/>
  <c r="AI23" i="10" s="1"/>
  <c r="AI22" i="10" s="1"/>
  <c r="AI21" i="10" s="1"/>
  <c r="AI20" i="10" s="1"/>
  <c r="AI19" i="10" s="1"/>
  <c r="AI18" i="10" s="1"/>
  <c r="AI17" i="10" s="1"/>
  <c r="AI16" i="10" s="1"/>
  <c r="AI15" i="10" s="1"/>
  <c r="AI14" i="10" s="1"/>
  <c r="AI13" i="10" s="1"/>
  <c r="AI12" i="10" s="1"/>
  <c r="AI11" i="10" s="1"/>
  <c r="AI10" i="10" s="1"/>
  <c r="AI9" i="10" s="1"/>
  <c r="AI8" i="10" s="1"/>
  <c r="AI7" i="10" s="1"/>
  <c r="AI6" i="10" s="1"/>
  <c r="AI5" i="10" s="1"/>
  <c r="AI4" i="10" s="1"/>
  <c r="AI3" i="10" s="1"/>
  <c r="AF362" i="10"/>
  <c r="AF361" i="10" s="1"/>
  <c r="AF360" i="10" s="1"/>
  <c r="AF359" i="10" s="1"/>
  <c r="AF358" i="10" s="1"/>
  <c r="AF357" i="10" s="1"/>
  <c r="AF356" i="10" s="1"/>
  <c r="AF355" i="10" s="1"/>
  <c r="AF354" i="10" s="1"/>
  <c r="AF353" i="10" s="1"/>
  <c r="AF352" i="10" s="1"/>
  <c r="AF351" i="10" s="1"/>
  <c r="AF350" i="10" s="1"/>
  <c r="AF349" i="10" s="1"/>
  <c r="AF348" i="10" s="1"/>
  <c r="AF347" i="10" s="1"/>
  <c r="AF346" i="10" s="1"/>
  <c r="AF345" i="10" s="1"/>
  <c r="AF344" i="10" s="1"/>
  <c r="AF343" i="10" s="1"/>
  <c r="AF342" i="10" s="1"/>
  <c r="AF341" i="10" s="1"/>
  <c r="AF340" i="10" s="1"/>
  <c r="AF339" i="10" s="1"/>
  <c r="AF338" i="10" s="1"/>
  <c r="AF337" i="10" s="1"/>
  <c r="AF336" i="10" s="1"/>
  <c r="AF335" i="10" s="1"/>
  <c r="AF334" i="10" s="1"/>
  <c r="AF333" i="10" s="1"/>
  <c r="AF332" i="10" s="1"/>
  <c r="AF331" i="10" s="1"/>
  <c r="AF330" i="10" s="1"/>
  <c r="AF329" i="10" s="1"/>
  <c r="AF328" i="10" s="1"/>
  <c r="AF327" i="10" s="1"/>
  <c r="AF326" i="10" s="1"/>
  <c r="AF325" i="10" s="1"/>
  <c r="AF324" i="10" s="1"/>
  <c r="AF323" i="10" s="1"/>
  <c r="AF322" i="10" s="1"/>
  <c r="AF321" i="10" s="1"/>
  <c r="AF320" i="10" s="1"/>
  <c r="AF319" i="10" s="1"/>
  <c r="AF318" i="10" s="1"/>
  <c r="AF317" i="10" s="1"/>
  <c r="AF316" i="10" s="1"/>
  <c r="AF315" i="10" s="1"/>
  <c r="AF314" i="10" s="1"/>
  <c r="AF313" i="10" s="1"/>
  <c r="AF312" i="10" s="1"/>
  <c r="AF311" i="10" s="1"/>
  <c r="AF310" i="10" s="1"/>
  <c r="AF309" i="10" s="1"/>
  <c r="AF308" i="10" s="1"/>
  <c r="AF307" i="10" s="1"/>
  <c r="AF306" i="10" s="1"/>
  <c r="AF305" i="10" s="1"/>
  <c r="AF304" i="10" s="1"/>
  <c r="AF303" i="10" s="1"/>
  <c r="AF302" i="10" s="1"/>
  <c r="AF301" i="10" s="1"/>
  <c r="AF300" i="10" s="1"/>
  <c r="AF299" i="10" s="1"/>
  <c r="AF298" i="10" s="1"/>
  <c r="AF297" i="10" s="1"/>
  <c r="AF296" i="10" s="1"/>
  <c r="AF295" i="10" s="1"/>
  <c r="AF294" i="10" s="1"/>
  <c r="AF293" i="10" s="1"/>
  <c r="AF292" i="10" s="1"/>
  <c r="AF291" i="10" s="1"/>
  <c r="AF290" i="10" s="1"/>
  <c r="AF289" i="10" s="1"/>
  <c r="AF288" i="10" s="1"/>
  <c r="AF287" i="10" s="1"/>
  <c r="AF286" i="10" s="1"/>
  <c r="AF285" i="10" s="1"/>
  <c r="AF284" i="10" s="1"/>
  <c r="AF283" i="10" s="1"/>
  <c r="AF282" i="10" s="1"/>
  <c r="AF281" i="10" s="1"/>
  <c r="AF280" i="10" s="1"/>
  <c r="AF279" i="10" s="1"/>
  <c r="AF278" i="10" s="1"/>
  <c r="AF277" i="10" s="1"/>
  <c r="AF276" i="10" s="1"/>
  <c r="AF275" i="10" s="1"/>
  <c r="AF274" i="10" s="1"/>
  <c r="AF273" i="10" s="1"/>
  <c r="AF272" i="10" s="1"/>
  <c r="AF271" i="10" s="1"/>
  <c r="AF270" i="10" s="1"/>
  <c r="AF269" i="10" s="1"/>
  <c r="AF268" i="10" s="1"/>
  <c r="AF267" i="10" s="1"/>
  <c r="AF266" i="10" s="1"/>
  <c r="AF265" i="10" s="1"/>
  <c r="AF264" i="10" s="1"/>
  <c r="AF263" i="10" s="1"/>
  <c r="AF262" i="10" s="1"/>
  <c r="AF261" i="10" s="1"/>
  <c r="AF260" i="10" s="1"/>
  <c r="AF259" i="10" s="1"/>
  <c r="AF258" i="10" s="1"/>
  <c r="AF257" i="10" s="1"/>
  <c r="AF256" i="10" s="1"/>
  <c r="AF255" i="10" s="1"/>
  <c r="AF254" i="10" s="1"/>
  <c r="AF253" i="10" s="1"/>
  <c r="AF252" i="10" s="1"/>
  <c r="AF251" i="10" s="1"/>
  <c r="AF250" i="10" s="1"/>
  <c r="AF249" i="10" s="1"/>
  <c r="AF248" i="10" s="1"/>
  <c r="AF247" i="10" s="1"/>
  <c r="AF246" i="10" s="1"/>
  <c r="AF245" i="10" s="1"/>
  <c r="AF244" i="10" s="1"/>
  <c r="AF243" i="10" s="1"/>
  <c r="AF242" i="10" s="1"/>
  <c r="AF241" i="10" s="1"/>
  <c r="AF240" i="10" s="1"/>
  <c r="AF239" i="10" s="1"/>
  <c r="AF238" i="10" s="1"/>
  <c r="AF237" i="10" s="1"/>
  <c r="AF236" i="10" s="1"/>
  <c r="AF235" i="10" s="1"/>
  <c r="AF234" i="10" s="1"/>
  <c r="AF233" i="10" s="1"/>
  <c r="AF232" i="10" s="1"/>
  <c r="AF231" i="10" s="1"/>
  <c r="AF230" i="10" s="1"/>
  <c r="AF229" i="10" s="1"/>
  <c r="AF228" i="10" s="1"/>
  <c r="AF227" i="10" s="1"/>
  <c r="AF226" i="10" s="1"/>
  <c r="AF225" i="10" s="1"/>
  <c r="AF224" i="10" s="1"/>
  <c r="AF223" i="10" s="1"/>
  <c r="AF222" i="10" s="1"/>
  <c r="AF221" i="10" s="1"/>
  <c r="AF220" i="10" s="1"/>
  <c r="AF219" i="10" s="1"/>
  <c r="AF218" i="10" s="1"/>
  <c r="AF217" i="10" s="1"/>
  <c r="AF216" i="10" s="1"/>
  <c r="AF215" i="10" s="1"/>
  <c r="AF214" i="10" s="1"/>
  <c r="AF213" i="10" s="1"/>
  <c r="AF212" i="10" s="1"/>
  <c r="AF211" i="10" s="1"/>
  <c r="AF210" i="10" s="1"/>
  <c r="AF209" i="10" s="1"/>
  <c r="AF208" i="10" s="1"/>
  <c r="AF207" i="10" s="1"/>
  <c r="AF206" i="10" s="1"/>
  <c r="AF205" i="10" s="1"/>
  <c r="AF204" i="10" s="1"/>
  <c r="AF203" i="10" s="1"/>
  <c r="AF202" i="10" s="1"/>
  <c r="AF201" i="10" s="1"/>
  <c r="AF200" i="10" s="1"/>
  <c r="AF199" i="10" s="1"/>
  <c r="AF198" i="10" s="1"/>
  <c r="AF197" i="10" s="1"/>
  <c r="AF196" i="10" s="1"/>
  <c r="AF195" i="10" s="1"/>
  <c r="AF194" i="10" s="1"/>
  <c r="AF193" i="10" s="1"/>
  <c r="AF192" i="10" s="1"/>
  <c r="AF191" i="10" s="1"/>
  <c r="AF190" i="10" s="1"/>
  <c r="AF189" i="10" s="1"/>
  <c r="AF188" i="10" s="1"/>
  <c r="AF187" i="10" s="1"/>
  <c r="AF186" i="10" s="1"/>
  <c r="AF185" i="10" s="1"/>
  <c r="AF184" i="10" s="1"/>
  <c r="AF183" i="10" s="1"/>
  <c r="AF182" i="10" s="1"/>
  <c r="AF181" i="10" s="1"/>
  <c r="AF180" i="10" s="1"/>
  <c r="AF179" i="10" s="1"/>
  <c r="AF178" i="10" s="1"/>
  <c r="AF177" i="10" s="1"/>
  <c r="AF176" i="10" s="1"/>
  <c r="AF175" i="10" s="1"/>
  <c r="AF174" i="10" s="1"/>
  <c r="AF173" i="10" s="1"/>
  <c r="AF172" i="10" s="1"/>
  <c r="AF171" i="10" s="1"/>
  <c r="AF170" i="10" s="1"/>
  <c r="AF169" i="10" s="1"/>
  <c r="AF168" i="10" s="1"/>
  <c r="AF167" i="10" s="1"/>
  <c r="AF166" i="10" s="1"/>
  <c r="AF165" i="10" s="1"/>
  <c r="AF164" i="10" s="1"/>
  <c r="AF163" i="10" s="1"/>
  <c r="AF162" i="10" s="1"/>
  <c r="AF161" i="10" s="1"/>
  <c r="AF160" i="10" s="1"/>
  <c r="AF159" i="10" s="1"/>
  <c r="AF158" i="10" s="1"/>
  <c r="AF157" i="10" s="1"/>
  <c r="AF156" i="10" s="1"/>
  <c r="AF155" i="10" s="1"/>
  <c r="AF154" i="10" s="1"/>
  <c r="AF153" i="10" s="1"/>
  <c r="AF152" i="10" s="1"/>
  <c r="AF151" i="10" s="1"/>
  <c r="AF150" i="10" s="1"/>
  <c r="AF149" i="10" s="1"/>
  <c r="AF148" i="10" s="1"/>
  <c r="AF147" i="10" s="1"/>
  <c r="AF146" i="10" s="1"/>
  <c r="AF145" i="10" s="1"/>
  <c r="AF144" i="10" s="1"/>
  <c r="AF143" i="10" s="1"/>
  <c r="AF142" i="10" s="1"/>
  <c r="AF141" i="10" s="1"/>
  <c r="AF140" i="10" s="1"/>
  <c r="AF139" i="10" s="1"/>
  <c r="AF138" i="10" s="1"/>
  <c r="AF137" i="10" s="1"/>
  <c r="AF136" i="10" s="1"/>
  <c r="AF135" i="10" s="1"/>
  <c r="AF134" i="10" s="1"/>
  <c r="AF133" i="10" s="1"/>
  <c r="AF132" i="10" s="1"/>
  <c r="AF131" i="10" s="1"/>
  <c r="AF130" i="10" s="1"/>
  <c r="AF129" i="10" s="1"/>
  <c r="AF128" i="10" s="1"/>
  <c r="AF127" i="10" s="1"/>
  <c r="AF126" i="10" s="1"/>
  <c r="AF125" i="10" s="1"/>
  <c r="AF124" i="10" s="1"/>
  <c r="AF123" i="10" s="1"/>
  <c r="AF122" i="10" s="1"/>
  <c r="AF121" i="10" s="1"/>
  <c r="AF120" i="10" s="1"/>
  <c r="AF119" i="10" s="1"/>
  <c r="AF118" i="10" s="1"/>
  <c r="AF117" i="10" s="1"/>
  <c r="AF116" i="10" s="1"/>
  <c r="AF115" i="10" s="1"/>
  <c r="AF114" i="10" s="1"/>
  <c r="AF113" i="10" s="1"/>
  <c r="AF112" i="10" s="1"/>
  <c r="AF111" i="10" s="1"/>
  <c r="AF110" i="10" s="1"/>
  <c r="AF109" i="10" s="1"/>
  <c r="AF108" i="10" s="1"/>
  <c r="AF107" i="10" s="1"/>
  <c r="AF106" i="10" s="1"/>
  <c r="AF105" i="10" s="1"/>
  <c r="AF104" i="10" s="1"/>
  <c r="AF103" i="10" s="1"/>
  <c r="AF102" i="10" s="1"/>
  <c r="AF101" i="10" s="1"/>
  <c r="AF100" i="10" s="1"/>
  <c r="AF99" i="10" s="1"/>
  <c r="AF98" i="10" s="1"/>
  <c r="AF97" i="10" s="1"/>
  <c r="AF96" i="10" s="1"/>
  <c r="AF95" i="10" s="1"/>
  <c r="AF94" i="10" s="1"/>
  <c r="AF93" i="10" s="1"/>
  <c r="AF92" i="10" s="1"/>
  <c r="AF91" i="10" s="1"/>
  <c r="AF90" i="10" s="1"/>
  <c r="AF89" i="10" s="1"/>
  <c r="AF88" i="10" s="1"/>
  <c r="AF87" i="10" s="1"/>
  <c r="AF86" i="10" s="1"/>
  <c r="AF85" i="10" s="1"/>
  <c r="AF84" i="10" s="1"/>
  <c r="AF83" i="10" s="1"/>
  <c r="AF82" i="10" s="1"/>
  <c r="AF81" i="10" s="1"/>
  <c r="AF80" i="10" s="1"/>
  <c r="AF79" i="10" s="1"/>
  <c r="AF78" i="10" s="1"/>
  <c r="AF77" i="10" s="1"/>
  <c r="AF76" i="10" s="1"/>
  <c r="AF75" i="10" s="1"/>
  <c r="AF74" i="10" s="1"/>
  <c r="AF73" i="10" s="1"/>
  <c r="AF72" i="10" s="1"/>
  <c r="AF71" i="10" s="1"/>
  <c r="AF70" i="10" s="1"/>
  <c r="AF69" i="10" s="1"/>
  <c r="AF68" i="10" s="1"/>
  <c r="AF67" i="10" s="1"/>
  <c r="AF66" i="10" s="1"/>
  <c r="AF65" i="10" s="1"/>
  <c r="AF64" i="10" s="1"/>
  <c r="AF63" i="10" s="1"/>
  <c r="AF62" i="10" s="1"/>
  <c r="AF61" i="10" s="1"/>
  <c r="AF60" i="10" s="1"/>
  <c r="AF59" i="10" s="1"/>
  <c r="AF58" i="10" s="1"/>
  <c r="AF57" i="10" s="1"/>
  <c r="AF56" i="10" s="1"/>
  <c r="AF55" i="10" s="1"/>
  <c r="AF54" i="10" s="1"/>
  <c r="AF53" i="10" s="1"/>
  <c r="AF52" i="10" s="1"/>
  <c r="AF51" i="10" s="1"/>
  <c r="AF50" i="10" s="1"/>
  <c r="AF49" i="10" s="1"/>
  <c r="AF48" i="10" s="1"/>
  <c r="AF47" i="10" s="1"/>
  <c r="AF46" i="10" s="1"/>
  <c r="AF45" i="10" s="1"/>
  <c r="AF44" i="10" s="1"/>
  <c r="AF43" i="10" s="1"/>
  <c r="AF42" i="10" s="1"/>
  <c r="AF41" i="10" s="1"/>
  <c r="AF40" i="10" s="1"/>
  <c r="AF39" i="10" s="1"/>
  <c r="AF38" i="10" s="1"/>
  <c r="AF37" i="10" s="1"/>
  <c r="AF36" i="10" s="1"/>
  <c r="AF35" i="10" s="1"/>
  <c r="AF34" i="10" s="1"/>
  <c r="AF33" i="10" s="1"/>
  <c r="AF32" i="10" s="1"/>
  <c r="AF31" i="10" s="1"/>
  <c r="AF30" i="10" s="1"/>
  <c r="AF29" i="10" s="1"/>
  <c r="AF28" i="10" s="1"/>
  <c r="AF27" i="10" s="1"/>
  <c r="AF26" i="10" s="1"/>
  <c r="AF25" i="10" s="1"/>
  <c r="AF24" i="10" s="1"/>
  <c r="AF23" i="10" s="1"/>
  <c r="AF22" i="10" s="1"/>
  <c r="AF21" i="10" s="1"/>
  <c r="AF20" i="10" s="1"/>
  <c r="AF19" i="10" s="1"/>
  <c r="AF18" i="10" s="1"/>
  <c r="AF17" i="10" s="1"/>
  <c r="AF16" i="10" s="1"/>
  <c r="AF15" i="10" s="1"/>
  <c r="AF14" i="10" s="1"/>
  <c r="AF13" i="10" s="1"/>
  <c r="AF12" i="10" s="1"/>
  <c r="AF11" i="10" s="1"/>
  <c r="AF10" i="10" s="1"/>
  <c r="AF9" i="10" s="1"/>
  <c r="AF8" i="10" s="1"/>
  <c r="AF7" i="10" s="1"/>
  <c r="AF6" i="10" s="1"/>
  <c r="AF5" i="10" s="1"/>
  <c r="AF4" i="10" s="1"/>
  <c r="AF3" i="10" s="1"/>
  <c r="B141" i="14" l="1"/>
  <c r="C179" i="14"/>
  <c r="I167" i="14" s="1"/>
  <c r="H287" i="14"/>
  <c r="H292" i="14" s="1"/>
  <c r="I207" i="14"/>
  <c r="I212" i="14" s="1"/>
  <c r="I80" i="14"/>
  <c r="I84" i="14" s="1"/>
  <c r="I187" i="14"/>
  <c r="I192" i="14" s="1"/>
  <c r="I19" i="14"/>
  <c r="I23" i="14" s="1"/>
  <c r="O321" i="8"/>
  <c r="I311" i="8" s="1"/>
  <c r="O319" i="8"/>
  <c r="O320" i="8" s="1"/>
  <c r="I310" i="8" s="1"/>
  <c r="I208" i="8"/>
  <c r="H208" i="8"/>
  <c r="H207" i="8" s="1"/>
  <c r="H212" i="8" s="1"/>
  <c r="C116" i="8"/>
  <c r="H80" i="8"/>
  <c r="H84" i="8" s="1"/>
  <c r="H148" i="8"/>
  <c r="H152" i="8" s="1"/>
  <c r="I187" i="8"/>
  <c r="I192" i="8" s="1"/>
  <c r="I148" i="8"/>
  <c r="I152" i="8" s="1"/>
  <c r="I287" i="8"/>
  <c r="I292" i="8" s="1"/>
  <c r="I267" i="8"/>
  <c r="I272" i="8" s="1"/>
  <c r="C141" i="8"/>
  <c r="B141" i="8"/>
  <c r="B179" i="8"/>
  <c r="N282" i="11"/>
  <c r="N281" i="11" s="1"/>
  <c r="H271" i="11" s="1"/>
  <c r="O242" i="11"/>
  <c r="O241" i="11" s="1"/>
  <c r="I231" i="11" s="1"/>
  <c r="N239" i="11"/>
  <c r="N240" i="11" s="1"/>
  <c r="H230" i="11" s="1"/>
  <c r="O302" i="11"/>
  <c r="O301" i="11" s="1"/>
  <c r="I291" i="11" s="1"/>
  <c r="N182" i="11"/>
  <c r="N181" i="11" s="1"/>
  <c r="H170" i="11" s="1"/>
  <c r="O282" i="11"/>
  <c r="O281" i="11" s="1"/>
  <c r="I271" i="11" s="1"/>
  <c r="O262" i="11"/>
  <c r="O261" i="11" s="1"/>
  <c r="I251" i="11" s="1"/>
  <c r="N201" i="11"/>
  <c r="H191" i="11" s="1"/>
  <c r="N199" i="11"/>
  <c r="N200" i="11" s="1"/>
  <c r="H190" i="11" s="1"/>
  <c r="O219" i="11"/>
  <c r="O220" i="11" s="1"/>
  <c r="I210" i="11" s="1"/>
  <c r="O112" i="11"/>
  <c r="O116" i="11" s="1"/>
  <c r="O115" i="11" s="1"/>
  <c r="I102" i="11" s="1"/>
  <c r="C116" i="11"/>
  <c r="I208" i="11"/>
  <c r="I207" i="11" s="1"/>
  <c r="I212" i="11" s="1"/>
  <c r="I187" i="11"/>
  <c r="I192" i="11" s="1"/>
  <c r="O178" i="11"/>
  <c r="O182" i="11" s="1"/>
  <c r="O181" i="11" s="1"/>
  <c r="I170" i="11" s="1"/>
  <c r="C179" i="11"/>
  <c r="I167" i="11" s="1"/>
  <c r="I166" i="11" s="1"/>
  <c r="I171" i="11" s="1"/>
  <c r="I248" i="11"/>
  <c r="I247" i="11" s="1"/>
  <c r="I252" i="11" s="1"/>
  <c r="H65" i="11"/>
  <c r="N73" i="11"/>
  <c r="I288" i="11"/>
  <c r="I287" i="11" s="1"/>
  <c r="I292" i="11" s="1"/>
  <c r="H188" i="11"/>
  <c r="H187" i="11" s="1"/>
  <c r="H192" i="11" s="1"/>
  <c r="H20" i="11"/>
  <c r="H19" i="11" s="1"/>
  <c r="H23" i="11" s="1"/>
  <c r="H81" i="11"/>
  <c r="H80" i="11" s="1"/>
  <c r="H84" i="11" s="1"/>
  <c r="O137" i="11"/>
  <c r="O138" i="11" s="1"/>
  <c r="O139" i="11" s="1"/>
  <c r="I126" i="11" s="1"/>
  <c r="C141" i="11"/>
  <c r="I19" i="11"/>
  <c r="I23" i="11" s="1"/>
  <c r="I288" i="14"/>
  <c r="O301" i="14"/>
  <c r="I291" i="14" s="1"/>
  <c r="O299" i="14"/>
  <c r="O300" i="14" s="1"/>
  <c r="I290" i="14" s="1"/>
  <c r="N261" i="14"/>
  <c r="H251" i="14" s="1"/>
  <c r="N279" i="14"/>
  <c r="N280" i="14" s="1"/>
  <c r="H270" i="14" s="1"/>
  <c r="H268" i="14"/>
  <c r="N259" i="14"/>
  <c r="N260" i="14" s="1"/>
  <c r="H250" i="14" s="1"/>
  <c r="I268" i="14"/>
  <c r="H247" i="14"/>
  <c r="H252" i="14" s="1"/>
  <c r="N219" i="14"/>
  <c r="N220" i="14" s="1"/>
  <c r="H210" i="14" s="1"/>
  <c r="O201" i="14"/>
  <c r="I191" i="14" s="1"/>
  <c r="N221" i="14"/>
  <c r="H211" i="14" s="1"/>
  <c r="H208" i="14"/>
  <c r="I248" i="14"/>
  <c r="H188" i="14"/>
  <c r="O222" i="14"/>
  <c r="O221" i="14" s="1"/>
  <c r="I211" i="14" s="1"/>
  <c r="I228" i="14"/>
  <c r="O199" i="14"/>
  <c r="O200" i="14" s="1"/>
  <c r="I190" i="14" s="1"/>
  <c r="N302" i="14"/>
  <c r="N301" i="14" s="1"/>
  <c r="H291" i="14" s="1"/>
  <c r="O239" i="14"/>
  <c r="O240" i="14" s="1"/>
  <c r="I230" i="14" s="1"/>
  <c r="N239" i="14"/>
  <c r="N240" i="14" s="1"/>
  <c r="H230" i="14" s="1"/>
  <c r="O279" i="14"/>
  <c r="O280" i="14" s="1"/>
  <c r="I270" i="14" s="1"/>
  <c r="N51" i="14"/>
  <c r="N55" i="14" s="1"/>
  <c r="B55" i="14"/>
  <c r="O178" i="14"/>
  <c r="O179" i="14" s="1"/>
  <c r="O180" i="14" s="1"/>
  <c r="I169" i="14" s="1"/>
  <c r="N137" i="14"/>
  <c r="N138" i="14" s="1"/>
  <c r="N139" i="14" s="1"/>
  <c r="H126" i="14" s="1"/>
  <c r="H20" i="14"/>
  <c r="H19" i="8"/>
  <c r="H23" i="8" s="1"/>
  <c r="H81" i="14"/>
  <c r="N299" i="8"/>
  <c r="N300" i="8" s="1"/>
  <c r="H290" i="8" s="1"/>
  <c r="I167" i="8"/>
  <c r="O179" i="8"/>
  <c r="O180" i="8" s="1"/>
  <c r="I169" i="8" s="1"/>
  <c r="N259" i="8"/>
  <c r="N260" i="8" s="1"/>
  <c r="H250" i="8" s="1"/>
  <c r="O239" i="8"/>
  <c r="O240" i="8" s="1"/>
  <c r="I230" i="8" s="1"/>
  <c r="H248" i="8"/>
  <c r="O202" i="8"/>
  <c r="O201" i="8" s="1"/>
  <c r="I191" i="8" s="1"/>
  <c r="O262" i="8"/>
  <c r="O261" i="8" s="1"/>
  <c r="I251" i="8" s="1"/>
  <c r="O222" i="8"/>
  <c r="O221" i="8" s="1"/>
  <c r="I211" i="8" s="1"/>
  <c r="O282" i="8"/>
  <c r="O281" i="8" s="1"/>
  <c r="I271" i="8" s="1"/>
  <c r="N242" i="8"/>
  <c r="N241" i="8" s="1"/>
  <c r="H231" i="8" s="1"/>
  <c r="I247" i="8"/>
  <c r="I252" i="8" s="1"/>
  <c r="I228" i="8"/>
  <c r="H288" i="8"/>
  <c r="H268" i="8"/>
  <c r="N219" i="8"/>
  <c r="N220" i="8" s="1"/>
  <c r="H210" i="8" s="1"/>
  <c r="H187" i="8"/>
  <c r="H192" i="8" s="1"/>
  <c r="N178" i="8"/>
  <c r="N179" i="8" s="1"/>
  <c r="N180" i="8" s="1"/>
  <c r="H169" i="8" s="1"/>
  <c r="H63" i="8"/>
  <c r="O137" i="8"/>
  <c r="O141" i="8" s="1"/>
  <c r="O140" i="8" s="1"/>
  <c r="I127" i="8" s="1"/>
  <c r="I81" i="8"/>
  <c r="O112" i="8"/>
  <c r="O113" i="8" s="1"/>
  <c r="O114" i="8" s="1"/>
  <c r="I101" i="8" s="1"/>
  <c r="N137" i="8"/>
  <c r="N141" i="8" s="1"/>
  <c r="N140" i="8" s="1"/>
  <c r="H127" i="8" s="1"/>
  <c r="N321" i="8"/>
  <c r="H311" i="8" s="1"/>
  <c r="N319" i="8"/>
  <c r="N320" i="8" s="1"/>
  <c r="H310" i="8" s="1"/>
  <c r="I47" i="8"/>
  <c r="I39" i="8" s="1"/>
  <c r="H105" i="14"/>
  <c r="O101" i="14" s="1"/>
  <c r="H168" i="14"/>
  <c r="H11" i="15"/>
  <c r="I105" i="14" s="1"/>
  <c r="O102" i="14" s="1"/>
  <c r="L124" i="8"/>
  <c r="L125" i="8" s="1"/>
  <c r="H44" i="8"/>
  <c r="O40" i="8" s="1"/>
  <c r="H109" i="8"/>
  <c r="H100" i="8" s="1"/>
  <c r="I109" i="14"/>
  <c r="I100" i="14" s="1"/>
  <c r="I130" i="11"/>
  <c r="O127" i="11" s="1"/>
  <c r="I105" i="8"/>
  <c r="O102" i="8" s="1"/>
  <c r="H130" i="14"/>
  <c r="O126" i="14" s="1"/>
  <c r="H130" i="11"/>
  <c r="O126" i="11" s="1"/>
  <c r="H105" i="8"/>
  <c r="O101" i="8" s="1"/>
  <c r="H108" i="14"/>
  <c r="H100" i="14" s="1"/>
  <c r="L11" i="15"/>
  <c r="I130" i="14" s="1"/>
  <c r="O127" i="14" s="1"/>
  <c r="L229" i="14"/>
  <c r="L168" i="14"/>
  <c r="I47" i="11"/>
  <c r="I39" i="11" s="1"/>
  <c r="L38" i="11"/>
  <c r="L39" i="11" s="1"/>
  <c r="H48" i="8"/>
  <c r="H39" i="8" s="1"/>
  <c r="H133" i="11"/>
  <c r="H125" i="11" s="1"/>
  <c r="G19" i="12"/>
  <c r="H105" i="11" s="1"/>
  <c r="O101" i="11" s="1"/>
  <c r="I133" i="14"/>
  <c r="I125" i="14" s="1"/>
  <c r="L65" i="14"/>
  <c r="L64" i="14"/>
  <c r="L38" i="14"/>
  <c r="L40" i="14" s="1"/>
  <c r="L229" i="8"/>
  <c r="L228" i="11"/>
  <c r="L229" i="11" s="1"/>
  <c r="H47" i="11"/>
  <c r="H39" i="11" s="1"/>
  <c r="I47" i="14"/>
  <c r="I39" i="14" s="1"/>
  <c r="I105" i="11"/>
  <c r="O102" i="11" s="1"/>
  <c r="H100" i="11"/>
  <c r="D11" i="9"/>
  <c r="I44" i="8" s="1"/>
  <c r="O41" i="8" s="1"/>
  <c r="L65" i="8"/>
  <c r="L63" i="11"/>
  <c r="L64" i="11" s="1"/>
  <c r="AE363" i="16"/>
  <c r="AB362" i="16"/>
  <c r="AB361" i="16" s="1"/>
  <c r="AB360" i="16" s="1"/>
  <c r="AB359" i="16" s="1"/>
  <c r="AB358" i="16" s="1"/>
  <c r="AB357" i="16" s="1"/>
  <c r="AB356" i="16" s="1"/>
  <c r="AB355" i="16" s="1"/>
  <c r="AB354" i="16" s="1"/>
  <c r="AB353" i="16" s="1"/>
  <c r="AB352" i="16" s="1"/>
  <c r="AB351" i="16" s="1"/>
  <c r="AB350" i="16" s="1"/>
  <c r="AB349" i="16" s="1"/>
  <c r="AB348" i="16" s="1"/>
  <c r="AB347" i="16" s="1"/>
  <c r="AB346" i="16" s="1"/>
  <c r="AB345" i="16" s="1"/>
  <c r="AB344" i="16" s="1"/>
  <c r="AB343" i="16" s="1"/>
  <c r="AB342" i="16" s="1"/>
  <c r="AB341" i="16" s="1"/>
  <c r="AB340" i="16" s="1"/>
  <c r="AB339" i="16" s="1"/>
  <c r="AB338" i="16" s="1"/>
  <c r="AB337" i="16" s="1"/>
  <c r="AB336" i="16" s="1"/>
  <c r="AB335" i="16" s="1"/>
  <c r="AB334" i="16" s="1"/>
  <c r="AB333" i="16" s="1"/>
  <c r="AB332" i="16" s="1"/>
  <c r="AB331" i="16" s="1"/>
  <c r="AB330" i="16" s="1"/>
  <c r="AB329" i="16" s="1"/>
  <c r="AB328" i="16" s="1"/>
  <c r="AB327" i="16" s="1"/>
  <c r="AB326" i="16" s="1"/>
  <c r="AB325" i="16" s="1"/>
  <c r="AB324" i="16" s="1"/>
  <c r="AB323" i="16" s="1"/>
  <c r="AB322" i="16" s="1"/>
  <c r="AB321" i="16" s="1"/>
  <c r="AB320" i="16" s="1"/>
  <c r="AB319" i="16" s="1"/>
  <c r="AB318" i="16" s="1"/>
  <c r="AB317" i="16" s="1"/>
  <c r="AB316" i="16" s="1"/>
  <c r="AB315" i="16" s="1"/>
  <c r="AB314" i="16" s="1"/>
  <c r="AB313" i="16" s="1"/>
  <c r="AB312" i="16" s="1"/>
  <c r="AB311" i="16" s="1"/>
  <c r="AB310" i="16" s="1"/>
  <c r="AB309" i="16" s="1"/>
  <c r="AB308" i="16" s="1"/>
  <c r="AB307" i="16" s="1"/>
  <c r="AB306" i="16" s="1"/>
  <c r="AB305" i="16" s="1"/>
  <c r="AB304" i="16" s="1"/>
  <c r="AB303" i="16" s="1"/>
  <c r="AB302" i="16" s="1"/>
  <c r="AB301" i="16" s="1"/>
  <c r="AB300" i="16" s="1"/>
  <c r="AB299" i="16" s="1"/>
  <c r="AB298" i="16" s="1"/>
  <c r="AB297" i="16" s="1"/>
  <c r="AB296" i="16" s="1"/>
  <c r="AB295" i="16" s="1"/>
  <c r="AB294" i="16" s="1"/>
  <c r="AB293" i="16" s="1"/>
  <c r="AB292" i="16" s="1"/>
  <c r="AB291" i="16" s="1"/>
  <c r="AB290" i="16" s="1"/>
  <c r="AB289" i="16" s="1"/>
  <c r="AB288" i="16" s="1"/>
  <c r="AB287" i="16" s="1"/>
  <c r="AB286" i="16" s="1"/>
  <c r="AB285" i="16" s="1"/>
  <c r="AB284" i="16" s="1"/>
  <c r="AB283" i="16" s="1"/>
  <c r="AB282" i="16" s="1"/>
  <c r="AB281" i="16" s="1"/>
  <c r="AB280" i="16" s="1"/>
  <c r="AB279" i="16" s="1"/>
  <c r="AB278" i="16" s="1"/>
  <c r="AB277" i="16" s="1"/>
  <c r="AB276" i="16" s="1"/>
  <c r="AB275" i="16" s="1"/>
  <c r="AB274" i="16" s="1"/>
  <c r="AB273" i="16" s="1"/>
  <c r="AB272" i="16" s="1"/>
  <c r="AB271" i="16" s="1"/>
  <c r="AB270" i="16" s="1"/>
  <c r="AB269" i="16" s="1"/>
  <c r="AB268" i="16" s="1"/>
  <c r="AB267" i="16" s="1"/>
  <c r="AB266" i="16" s="1"/>
  <c r="AB265" i="16" s="1"/>
  <c r="AB264" i="16" s="1"/>
  <c r="AB263" i="16" s="1"/>
  <c r="AB262" i="16" s="1"/>
  <c r="AB261" i="16" s="1"/>
  <c r="AB260" i="16" s="1"/>
  <c r="AB259" i="16" s="1"/>
  <c r="AB258" i="16" s="1"/>
  <c r="AB257" i="16" s="1"/>
  <c r="AB256" i="16" s="1"/>
  <c r="AB255" i="16" s="1"/>
  <c r="AB254" i="16" s="1"/>
  <c r="AB253" i="16" s="1"/>
  <c r="AB252" i="16" s="1"/>
  <c r="AB251" i="16" s="1"/>
  <c r="AB250" i="16" s="1"/>
  <c r="AB249" i="16" s="1"/>
  <c r="AB248" i="16" s="1"/>
  <c r="AB247" i="16" s="1"/>
  <c r="AB246" i="16" s="1"/>
  <c r="AB245" i="16" s="1"/>
  <c r="AB244" i="16" s="1"/>
  <c r="AB243" i="16" s="1"/>
  <c r="AB242" i="16" s="1"/>
  <c r="AB241" i="16" s="1"/>
  <c r="AB240" i="16" s="1"/>
  <c r="AB239" i="16" s="1"/>
  <c r="AB238" i="16" s="1"/>
  <c r="AB237" i="16" s="1"/>
  <c r="AB236" i="16" s="1"/>
  <c r="AB235" i="16" s="1"/>
  <c r="AB234" i="16" s="1"/>
  <c r="AB233" i="16" s="1"/>
  <c r="AB232" i="16" s="1"/>
  <c r="AB231" i="16" s="1"/>
  <c r="AB230" i="16" s="1"/>
  <c r="AB229" i="16" s="1"/>
  <c r="AB228" i="16" s="1"/>
  <c r="AB227" i="16" s="1"/>
  <c r="AB226" i="16" s="1"/>
  <c r="AB225" i="16" s="1"/>
  <c r="AB224" i="16" s="1"/>
  <c r="AB223" i="16" s="1"/>
  <c r="AB222" i="16" s="1"/>
  <c r="AB221" i="16" s="1"/>
  <c r="AB220" i="16" s="1"/>
  <c r="AB219" i="16" s="1"/>
  <c r="AB218" i="16" s="1"/>
  <c r="AB217" i="16" s="1"/>
  <c r="AB216" i="16" s="1"/>
  <c r="AB215" i="16" s="1"/>
  <c r="AB214" i="16" s="1"/>
  <c r="AB213" i="16" s="1"/>
  <c r="AB212" i="16" s="1"/>
  <c r="AB211" i="16" s="1"/>
  <c r="AB210" i="16" s="1"/>
  <c r="AB209" i="16" s="1"/>
  <c r="AB208" i="16" s="1"/>
  <c r="AB207" i="16" s="1"/>
  <c r="AB206" i="16" s="1"/>
  <c r="AB205" i="16" s="1"/>
  <c r="AB204" i="16" s="1"/>
  <c r="AB203" i="16" s="1"/>
  <c r="AB202" i="16" s="1"/>
  <c r="AB201" i="16" s="1"/>
  <c r="AB200" i="16" s="1"/>
  <c r="AB199" i="16" s="1"/>
  <c r="AB198" i="16" s="1"/>
  <c r="AB197" i="16" s="1"/>
  <c r="AB196" i="16" s="1"/>
  <c r="AB195" i="16" s="1"/>
  <c r="AB194" i="16" s="1"/>
  <c r="AB193" i="16" s="1"/>
  <c r="AB192" i="16" s="1"/>
  <c r="AB191" i="16" s="1"/>
  <c r="AB190" i="16" s="1"/>
  <c r="AB189" i="16" s="1"/>
  <c r="AB188" i="16" s="1"/>
  <c r="AB187" i="16" s="1"/>
  <c r="AB186" i="16" s="1"/>
  <c r="AB185" i="16" s="1"/>
  <c r="AB184" i="16" s="1"/>
  <c r="AB183" i="16" s="1"/>
  <c r="AB182" i="16" s="1"/>
  <c r="AB181" i="16" s="1"/>
  <c r="AB180" i="16" s="1"/>
  <c r="AB179" i="16" s="1"/>
  <c r="AB178" i="16" s="1"/>
  <c r="AB177" i="16" s="1"/>
  <c r="AB176" i="16" s="1"/>
  <c r="AB175" i="16" s="1"/>
  <c r="AB174" i="16" s="1"/>
  <c r="AB173" i="16" s="1"/>
  <c r="AB172" i="16" s="1"/>
  <c r="AB171" i="16" s="1"/>
  <c r="AB170" i="16" s="1"/>
  <c r="AB169" i="16" s="1"/>
  <c r="AB168" i="16" s="1"/>
  <c r="AB167" i="16" s="1"/>
  <c r="AB166" i="16" s="1"/>
  <c r="AB165" i="16" s="1"/>
  <c r="AB164" i="16" s="1"/>
  <c r="AB163" i="16" s="1"/>
  <c r="AB162" i="16" s="1"/>
  <c r="AB161" i="16" s="1"/>
  <c r="AB160" i="16" s="1"/>
  <c r="AB159" i="16" s="1"/>
  <c r="AB158" i="16" s="1"/>
  <c r="AB157" i="16" s="1"/>
  <c r="AB156" i="16" s="1"/>
  <c r="AB155" i="16" s="1"/>
  <c r="AB154" i="16" s="1"/>
  <c r="AB153" i="16" s="1"/>
  <c r="AB152" i="16" s="1"/>
  <c r="AB151" i="16" s="1"/>
  <c r="AB150" i="16" s="1"/>
  <c r="AB149" i="16" s="1"/>
  <c r="AB148" i="16" s="1"/>
  <c r="AB147" i="16" s="1"/>
  <c r="AB146" i="16" s="1"/>
  <c r="AB145" i="16" s="1"/>
  <c r="AB144" i="16" s="1"/>
  <c r="AB143" i="16" s="1"/>
  <c r="AB142" i="16" s="1"/>
  <c r="AB141" i="16" s="1"/>
  <c r="AB140" i="16" s="1"/>
  <c r="AB139" i="16" s="1"/>
  <c r="AB138" i="16" s="1"/>
  <c r="AB137" i="16" s="1"/>
  <c r="AB136" i="16" s="1"/>
  <c r="AB135" i="16" s="1"/>
  <c r="AB134" i="16" s="1"/>
  <c r="AB133" i="16" s="1"/>
  <c r="AB132" i="16" s="1"/>
  <c r="AB131" i="16" s="1"/>
  <c r="AB130" i="16" s="1"/>
  <c r="AB129" i="16" s="1"/>
  <c r="AB128" i="16" s="1"/>
  <c r="AB127" i="16" s="1"/>
  <c r="AB126" i="16" s="1"/>
  <c r="AB125" i="16" s="1"/>
  <c r="AB124" i="16" s="1"/>
  <c r="AB123" i="16" s="1"/>
  <c r="AB122" i="16" s="1"/>
  <c r="AB121" i="16" s="1"/>
  <c r="AB120" i="16" s="1"/>
  <c r="AB119" i="16" s="1"/>
  <c r="AB118" i="16" s="1"/>
  <c r="AB117" i="16" s="1"/>
  <c r="AB116" i="16" s="1"/>
  <c r="AB115" i="16" s="1"/>
  <c r="AB114" i="16" s="1"/>
  <c r="AB113" i="16" s="1"/>
  <c r="AB112" i="16" s="1"/>
  <c r="AB111" i="16" s="1"/>
  <c r="AB110" i="16" s="1"/>
  <c r="AB109" i="16" s="1"/>
  <c r="AB108" i="16" s="1"/>
  <c r="AB107" i="16" s="1"/>
  <c r="AB106" i="16" s="1"/>
  <c r="AB105" i="16" s="1"/>
  <c r="AB104" i="16" s="1"/>
  <c r="AB103" i="16" s="1"/>
  <c r="AB102" i="16" s="1"/>
  <c r="AB101" i="16" s="1"/>
  <c r="AB100" i="16" s="1"/>
  <c r="AB99" i="16" s="1"/>
  <c r="AB98" i="16" s="1"/>
  <c r="AB97" i="16" s="1"/>
  <c r="AB96" i="16" s="1"/>
  <c r="AB95" i="16" s="1"/>
  <c r="AB94" i="16" s="1"/>
  <c r="AB93" i="16" s="1"/>
  <c r="AB92" i="16" s="1"/>
  <c r="AB91" i="16" s="1"/>
  <c r="AB90" i="16" s="1"/>
  <c r="AB89" i="16" s="1"/>
  <c r="AB88" i="16" s="1"/>
  <c r="AB87" i="16" s="1"/>
  <c r="AB86" i="16" s="1"/>
  <c r="AB85" i="16" s="1"/>
  <c r="AB84" i="16" s="1"/>
  <c r="AB83" i="16" s="1"/>
  <c r="AB82" i="16" s="1"/>
  <c r="AB81" i="16" s="1"/>
  <c r="AB80" i="16" s="1"/>
  <c r="AB79" i="16" s="1"/>
  <c r="AB78" i="16" s="1"/>
  <c r="AB77" i="16" s="1"/>
  <c r="AB76" i="16" s="1"/>
  <c r="AB75" i="16" s="1"/>
  <c r="AB74" i="16" s="1"/>
  <c r="AB73" i="16" s="1"/>
  <c r="AB72" i="16" s="1"/>
  <c r="AB71" i="16" s="1"/>
  <c r="AB70" i="16" s="1"/>
  <c r="AB69" i="16" s="1"/>
  <c r="AB68" i="16" s="1"/>
  <c r="AB67" i="16" s="1"/>
  <c r="AB66" i="16" s="1"/>
  <c r="AB65" i="16" s="1"/>
  <c r="AB64" i="16" s="1"/>
  <c r="AB63" i="16" s="1"/>
  <c r="AB62" i="16" s="1"/>
  <c r="AB61" i="16" s="1"/>
  <c r="AB60" i="16" s="1"/>
  <c r="AB59" i="16" s="1"/>
  <c r="AB58" i="16" s="1"/>
  <c r="AB57" i="16" s="1"/>
  <c r="AB56" i="16" s="1"/>
  <c r="AB55" i="16" s="1"/>
  <c r="AB54" i="16" s="1"/>
  <c r="AB53" i="16" s="1"/>
  <c r="AB52" i="16" s="1"/>
  <c r="AB51" i="16" s="1"/>
  <c r="AB50" i="16" s="1"/>
  <c r="AB49" i="16" s="1"/>
  <c r="AB48" i="16" s="1"/>
  <c r="AB47" i="16" s="1"/>
  <c r="AB46" i="16" s="1"/>
  <c r="AB45" i="16" s="1"/>
  <c r="AB44" i="16" s="1"/>
  <c r="AB43" i="16" s="1"/>
  <c r="AB42" i="16" s="1"/>
  <c r="AB41" i="16" s="1"/>
  <c r="AB40" i="16" s="1"/>
  <c r="AB39" i="16" s="1"/>
  <c r="AB38" i="16" s="1"/>
  <c r="AB37" i="16" s="1"/>
  <c r="AB36" i="16" s="1"/>
  <c r="AB35" i="16" s="1"/>
  <c r="AB34" i="16" s="1"/>
  <c r="AB33" i="16" s="1"/>
  <c r="AB32" i="16" s="1"/>
  <c r="AB31" i="16" s="1"/>
  <c r="AB30" i="16" s="1"/>
  <c r="AB29" i="16" s="1"/>
  <c r="AB28" i="16" s="1"/>
  <c r="AB27" i="16" s="1"/>
  <c r="AB26" i="16" s="1"/>
  <c r="AB25" i="16" s="1"/>
  <c r="AB24" i="16" s="1"/>
  <c r="AB23" i="16" s="1"/>
  <c r="AB22" i="16" s="1"/>
  <c r="AB21" i="16" s="1"/>
  <c r="AB20" i="16" s="1"/>
  <c r="AB19" i="16" s="1"/>
  <c r="AB18" i="16" s="1"/>
  <c r="AB17" i="16" s="1"/>
  <c r="AB16" i="16" s="1"/>
  <c r="AB15" i="16" s="1"/>
  <c r="AB14" i="16" s="1"/>
  <c r="AB13" i="16" s="1"/>
  <c r="AB12" i="16" s="1"/>
  <c r="AB11" i="16" s="1"/>
  <c r="AB10" i="16" s="1"/>
  <c r="AB9" i="16" s="1"/>
  <c r="AB8" i="16" s="1"/>
  <c r="AB7" i="16" s="1"/>
  <c r="AB6" i="16" s="1"/>
  <c r="AB5" i="16" s="1"/>
  <c r="AB4" i="16" s="1"/>
  <c r="AB3" i="16" s="1"/>
  <c r="AG363" i="16"/>
  <c r="AD362" i="16"/>
  <c r="AD361" i="16" s="1"/>
  <c r="AD360" i="16" s="1"/>
  <c r="AD359" i="16" s="1"/>
  <c r="AD358" i="16" s="1"/>
  <c r="AD357" i="16" s="1"/>
  <c r="AD356" i="16" s="1"/>
  <c r="AD355" i="16" s="1"/>
  <c r="AD354" i="16" s="1"/>
  <c r="AD353" i="16" s="1"/>
  <c r="AD352" i="16" s="1"/>
  <c r="AD351" i="16" s="1"/>
  <c r="AD350" i="16" s="1"/>
  <c r="AD349" i="16" s="1"/>
  <c r="AD348" i="16" s="1"/>
  <c r="AD347" i="16" s="1"/>
  <c r="AD346" i="16" s="1"/>
  <c r="AD345" i="16" s="1"/>
  <c r="AD344" i="16" s="1"/>
  <c r="AD343" i="16" s="1"/>
  <c r="AD342" i="16" s="1"/>
  <c r="AD341" i="16" s="1"/>
  <c r="AD340" i="16" s="1"/>
  <c r="AD339" i="16" s="1"/>
  <c r="AD338" i="16" s="1"/>
  <c r="AD337" i="16" s="1"/>
  <c r="AD336" i="16" s="1"/>
  <c r="AD335" i="16" s="1"/>
  <c r="AD334" i="16" s="1"/>
  <c r="AD333" i="16" s="1"/>
  <c r="AD332" i="16" s="1"/>
  <c r="AD331" i="16" s="1"/>
  <c r="AD330" i="16" s="1"/>
  <c r="AD329" i="16" s="1"/>
  <c r="AD328" i="16" s="1"/>
  <c r="AD327" i="16" s="1"/>
  <c r="AD326" i="16" s="1"/>
  <c r="AD325" i="16" s="1"/>
  <c r="AD324" i="16" s="1"/>
  <c r="AD323" i="16" s="1"/>
  <c r="AD322" i="16" s="1"/>
  <c r="AD321" i="16" s="1"/>
  <c r="AD320" i="16" s="1"/>
  <c r="AD319" i="16" s="1"/>
  <c r="AD318" i="16" s="1"/>
  <c r="AD317" i="16" s="1"/>
  <c r="AD316" i="16" s="1"/>
  <c r="AD315" i="16" s="1"/>
  <c r="AD314" i="16" s="1"/>
  <c r="AD313" i="16" s="1"/>
  <c r="AD312" i="16" s="1"/>
  <c r="AD311" i="16" s="1"/>
  <c r="AD310" i="16" s="1"/>
  <c r="AD309" i="16" s="1"/>
  <c r="AD308" i="16" s="1"/>
  <c r="AD307" i="16" s="1"/>
  <c r="AD306" i="16" s="1"/>
  <c r="AD305" i="16" s="1"/>
  <c r="AD304" i="16" s="1"/>
  <c r="AD303" i="16" s="1"/>
  <c r="AD302" i="16" s="1"/>
  <c r="AD301" i="16" s="1"/>
  <c r="AD300" i="16" s="1"/>
  <c r="AD299" i="16" s="1"/>
  <c r="AD298" i="16" s="1"/>
  <c r="AD297" i="16" s="1"/>
  <c r="AD296" i="16" s="1"/>
  <c r="AD295" i="16" s="1"/>
  <c r="AD294" i="16" s="1"/>
  <c r="AD293" i="16" s="1"/>
  <c r="AD292" i="16" s="1"/>
  <c r="AD291" i="16" s="1"/>
  <c r="AD290" i="16" s="1"/>
  <c r="AD289" i="16" s="1"/>
  <c r="AD288" i="16" s="1"/>
  <c r="AD287" i="16" s="1"/>
  <c r="AD286" i="16" s="1"/>
  <c r="AD285" i="16" s="1"/>
  <c r="AD284" i="16" s="1"/>
  <c r="AD283" i="16" s="1"/>
  <c r="AD282" i="16" s="1"/>
  <c r="AD281" i="16" s="1"/>
  <c r="AD280" i="16" s="1"/>
  <c r="AD279" i="16" s="1"/>
  <c r="AD278" i="16" s="1"/>
  <c r="AD277" i="16" s="1"/>
  <c r="AD276" i="16" s="1"/>
  <c r="AD275" i="16" s="1"/>
  <c r="AD274" i="16" s="1"/>
  <c r="AD273" i="16" s="1"/>
  <c r="AD272" i="16" s="1"/>
  <c r="AD271" i="16" s="1"/>
  <c r="AD270" i="16" s="1"/>
  <c r="AD269" i="16" s="1"/>
  <c r="AD268" i="16" s="1"/>
  <c r="AD267" i="16" s="1"/>
  <c r="AD266" i="16" s="1"/>
  <c r="AD265" i="16" s="1"/>
  <c r="AD264" i="16" s="1"/>
  <c r="AD263" i="16" s="1"/>
  <c r="AD262" i="16" s="1"/>
  <c r="AD261" i="16" s="1"/>
  <c r="AD260" i="16" s="1"/>
  <c r="AD259" i="16" s="1"/>
  <c r="AD258" i="16" s="1"/>
  <c r="AD257" i="16" s="1"/>
  <c r="AD256" i="16" s="1"/>
  <c r="AD255" i="16" s="1"/>
  <c r="AD254" i="16" s="1"/>
  <c r="AD253" i="16" s="1"/>
  <c r="AD252" i="16" s="1"/>
  <c r="AD251" i="16" s="1"/>
  <c r="AD250" i="16" s="1"/>
  <c r="AD249" i="16" s="1"/>
  <c r="AD248" i="16" s="1"/>
  <c r="AD247" i="16" s="1"/>
  <c r="AD246" i="16" s="1"/>
  <c r="AD245" i="16" s="1"/>
  <c r="AD244" i="16" s="1"/>
  <c r="AD243" i="16" s="1"/>
  <c r="AD242" i="16" s="1"/>
  <c r="AD241" i="16" s="1"/>
  <c r="AD240" i="16" s="1"/>
  <c r="AD239" i="16" s="1"/>
  <c r="AD238" i="16" s="1"/>
  <c r="AD237" i="16" s="1"/>
  <c r="AD236" i="16" s="1"/>
  <c r="AD235" i="16" s="1"/>
  <c r="AD234" i="16" s="1"/>
  <c r="AD233" i="16" s="1"/>
  <c r="AD232" i="16" s="1"/>
  <c r="AD231" i="16" s="1"/>
  <c r="AD230" i="16" s="1"/>
  <c r="AD229" i="16" s="1"/>
  <c r="AD228" i="16" s="1"/>
  <c r="AD227" i="16" s="1"/>
  <c r="AD226" i="16" s="1"/>
  <c r="AD225" i="16" s="1"/>
  <c r="AD224" i="16" s="1"/>
  <c r="AD223" i="16" s="1"/>
  <c r="AD222" i="16" s="1"/>
  <c r="AD221" i="16" s="1"/>
  <c r="AD220" i="16" s="1"/>
  <c r="AD219" i="16" s="1"/>
  <c r="AD218" i="16" s="1"/>
  <c r="AD217" i="16" s="1"/>
  <c r="AD216" i="16" s="1"/>
  <c r="AD215" i="16" s="1"/>
  <c r="AD214" i="16" s="1"/>
  <c r="AD213" i="16" s="1"/>
  <c r="AD212" i="16" s="1"/>
  <c r="AD211" i="16" s="1"/>
  <c r="AD210" i="16" s="1"/>
  <c r="AD209" i="16" s="1"/>
  <c r="AD208" i="16" s="1"/>
  <c r="AD207" i="16" s="1"/>
  <c r="AD206" i="16" s="1"/>
  <c r="AD205" i="16" s="1"/>
  <c r="AD204" i="16" s="1"/>
  <c r="AD203" i="16" s="1"/>
  <c r="AD202" i="16" s="1"/>
  <c r="AD201" i="16" s="1"/>
  <c r="AD200" i="16" s="1"/>
  <c r="AD199" i="16" s="1"/>
  <c r="AD198" i="16" s="1"/>
  <c r="AD197" i="16" s="1"/>
  <c r="AD196" i="16" s="1"/>
  <c r="AD195" i="16" s="1"/>
  <c r="AD194" i="16" s="1"/>
  <c r="AD193" i="16" s="1"/>
  <c r="AD192" i="16" s="1"/>
  <c r="AD191" i="16" s="1"/>
  <c r="AD190" i="16" s="1"/>
  <c r="AD189" i="16" s="1"/>
  <c r="AD188" i="16" s="1"/>
  <c r="AD187" i="16" s="1"/>
  <c r="AD186" i="16" s="1"/>
  <c r="AD185" i="16" s="1"/>
  <c r="AD184" i="16" s="1"/>
  <c r="AD183" i="16" s="1"/>
  <c r="AD182" i="16" s="1"/>
  <c r="AD181" i="16" s="1"/>
  <c r="AD180" i="16" s="1"/>
  <c r="AD179" i="16" s="1"/>
  <c r="AD178" i="16" s="1"/>
  <c r="AD177" i="16" s="1"/>
  <c r="AD176" i="16" s="1"/>
  <c r="AD175" i="16" s="1"/>
  <c r="AD174" i="16" s="1"/>
  <c r="AD173" i="16" s="1"/>
  <c r="AD172" i="16" s="1"/>
  <c r="AD171" i="16" s="1"/>
  <c r="AD170" i="16" s="1"/>
  <c r="AD169" i="16" s="1"/>
  <c r="AD168" i="16" s="1"/>
  <c r="AD167" i="16" s="1"/>
  <c r="AD166" i="16" s="1"/>
  <c r="AD165" i="16" s="1"/>
  <c r="AD164" i="16" s="1"/>
  <c r="AD163" i="16" s="1"/>
  <c r="AD162" i="16" s="1"/>
  <c r="AD161" i="16" s="1"/>
  <c r="AD160" i="16" s="1"/>
  <c r="AD159" i="16" s="1"/>
  <c r="AD158" i="16" s="1"/>
  <c r="AD157" i="16" s="1"/>
  <c r="AD156" i="16" s="1"/>
  <c r="AD155" i="16" s="1"/>
  <c r="AD154" i="16" s="1"/>
  <c r="AD153" i="16" s="1"/>
  <c r="AD152" i="16" s="1"/>
  <c r="AD151" i="16" s="1"/>
  <c r="AD150" i="16" s="1"/>
  <c r="AD149" i="16" s="1"/>
  <c r="AD148" i="16" s="1"/>
  <c r="AD147" i="16" s="1"/>
  <c r="AD146" i="16" s="1"/>
  <c r="AD145" i="16" s="1"/>
  <c r="AD144" i="16" s="1"/>
  <c r="AD143" i="16" s="1"/>
  <c r="AD142" i="16" s="1"/>
  <c r="AD141" i="16" s="1"/>
  <c r="AD140" i="16" s="1"/>
  <c r="AD139" i="16" s="1"/>
  <c r="AD138" i="16" s="1"/>
  <c r="AD137" i="16" s="1"/>
  <c r="AD136" i="16" s="1"/>
  <c r="AD135" i="16" s="1"/>
  <c r="AD134" i="16" s="1"/>
  <c r="AD133" i="16" s="1"/>
  <c r="AD132" i="16" s="1"/>
  <c r="AD131" i="16" s="1"/>
  <c r="AD130" i="16" s="1"/>
  <c r="AD129" i="16" s="1"/>
  <c r="AD128" i="16" s="1"/>
  <c r="AD127" i="16" s="1"/>
  <c r="AD126" i="16" s="1"/>
  <c r="AD125" i="16" s="1"/>
  <c r="AD124" i="16" s="1"/>
  <c r="AD123" i="16" s="1"/>
  <c r="AD122" i="16" s="1"/>
  <c r="AD121" i="16" s="1"/>
  <c r="AD120" i="16" s="1"/>
  <c r="AD119" i="16" s="1"/>
  <c r="AD118" i="16" s="1"/>
  <c r="AD117" i="16" s="1"/>
  <c r="AD116" i="16" s="1"/>
  <c r="AD115" i="16" s="1"/>
  <c r="AD114" i="16" s="1"/>
  <c r="AD113" i="16" s="1"/>
  <c r="AD112" i="16" s="1"/>
  <c r="AD111" i="16" s="1"/>
  <c r="AD110" i="16" s="1"/>
  <c r="AD109" i="16" s="1"/>
  <c r="AD108" i="16" s="1"/>
  <c r="AD107" i="16" s="1"/>
  <c r="AD106" i="16" s="1"/>
  <c r="AD105" i="16" s="1"/>
  <c r="AD104" i="16" s="1"/>
  <c r="AD103" i="16" s="1"/>
  <c r="AD102" i="16" s="1"/>
  <c r="AD101" i="16" s="1"/>
  <c r="AD100" i="16" s="1"/>
  <c r="AD99" i="16" s="1"/>
  <c r="AD98" i="16" s="1"/>
  <c r="AD97" i="16" s="1"/>
  <c r="AD96" i="16" s="1"/>
  <c r="AD95" i="16" s="1"/>
  <c r="AD94" i="16" s="1"/>
  <c r="AD93" i="16" s="1"/>
  <c r="AD92" i="16" s="1"/>
  <c r="AD91" i="16" s="1"/>
  <c r="AD90" i="16" s="1"/>
  <c r="AD89" i="16" s="1"/>
  <c r="AD88" i="16" s="1"/>
  <c r="AD87" i="16" s="1"/>
  <c r="AD86" i="16" s="1"/>
  <c r="AD85" i="16" s="1"/>
  <c r="AD84" i="16" s="1"/>
  <c r="AD83" i="16" s="1"/>
  <c r="AD82" i="16" s="1"/>
  <c r="AD81" i="16" s="1"/>
  <c r="AD80" i="16" s="1"/>
  <c r="AD79" i="16" s="1"/>
  <c r="AD78" i="16" s="1"/>
  <c r="AD77" i="16" s="1"/>
  <c r="AD76" i="16" s="1"/>
  <c r="AD75" i="16" s="1"/>
  <c r="AD74" i="16" s="1"/>
  <c r="AD73" i="16" s="1"/>
  <c r="AD72" i="16" s="1"/>
  <c r="AD71" i="16" s="1"/>
  <c r="AD70" i="16" s="1"/>
  <c r="AD69" i="16" s="1"/>
  <c r="AD68" i="16" s="1"/>
  <c r="AD67" i="16" s="1"/>
  <c r="AD66" i="16" s="1"/>
  <c r="AD65" i="16" s="1"/>
  <c r="AD64" i="16" s="1"/>
  <c r="AD63" i="16" s="1"/>
  <c r="AD62" i="16" s="1"/>
  <c r="AD61" i="16" s="1"/>
  <c r="AD60" i="16" s="1"/>
  <c r="AD59" i="16" s="1"/>
  <c r="AD58" i="16" s="1"/>
  <c r="AD57" i="16" s="1"/>
  <c r="AD56" i="16" s="1"/>
  <c r="AD55" i="16" s="1"/>
  <c r="AD54" i="16" s="1"/>
  <c r="AD53" i="16" s="1"/>
  <c r="AD52" i="16" s="1"/>
  <c r="AD51" i="16" s="1"/>
  <c r="AD50" i="16" s="1"/>
  <c r="AD49" i="16" s="1"/>
  <c r="AD48" i="16" s="1"/>
  <c r="AD47" i="16" s="1"/>
  <c r="AD46" i="16" s="1"/>
  <c r="AD45" i="16" s="1"/>
  <c r="AD44" i="16" s="1"/>
  <c r="AD43" i="16" s="1"/>
  <c r="AD42" i="16" s="1"/>
  <c r="AD41" i="16" s="1"/>
  <c r="AD40" i="16" s="1"/>
  <c r="AD39" i="16" s="1"/>
  <c r="AD38" i="16" s="1"/>
  <c r="AD37" i="16" s="1"/>
  <c r="AD36" i="16" s="1"/>
  <c r="AD35" i="16" s="1"/>
  <c r="AD34" i="16" s="1"/>
  <c r="AD33" i="16" s="1"/>
  <c r="AD32" i="16" s="1"/>
  <c r="AD31" i="16" s="1"/>
  <c r="AD30" i="16" s="1"/>
  <c r="AD29" i="16" s="1"/>
  <c r="AD28" i="16" s="1"/>
  <c r="AD27" i="16" s="1"/>
  <c r="AD26" i="16" s="1"/>
  <c r="AD25" i="16" s="1"/>
  <c r="AD24" i="16" s="1"/>
  <c r="AD23" i="16" s="1"/>
  <c r="AD22" i="16" s="1"/>
  <c r="AD21" i="16" s="1"/>
  <c r="AD20" i="16" s="1"/>
  <c r="AD19" i="16" s="1"/>
  <c r="AD18" i="16" s="1"/>
  <c r="AD17" i="16" s="1"/>
  <c r="AD16" i="16" s="1"/>
  <c r="AD15" i="16" s="1"/>
  <c r="AD14" i="16" s="1"/>
  <c r="AD13" i="16" s="1"/>
  <c r="AD12" i="16" s="1"/>
  <c r="AD11" i="16" s="1"/>
  <c r="AD10" i="16" s="1"/>
  <c r="AD9" i="16" s="1"/>
  <c r="AD8" i="16" s="1"/>
  <c r="AD7" i="16" s="1"/>
  <c r="AD6" i="16" s="1"/>
  <c r="AD5" i="16" s="1"/>
  <c r="AD4" i="16" s="1"/>
  <c r="AD3" i="16" s="1"/>
  <c r="AG363" i="13"/>
  <c r="AD362" i="13"/>
  <c r="AD361" i="13" s="1"/>
  <c r="AD360" i="13" s="1"/>
  <c r="AD359" i="13" s="1"/>
  <c r="AD358" i="13" s="1"/>
  <c r="AD357" i="13" s="1"/>
  <c r="AD356" i="13" s="1"/>
  <c r="AD355" i="13" s="1"/>
  <c r="AD354" i="13" s="1"/>
  <c r="AD353" i="13" s="1"/>
  <c r="AD352" i="13" s="1"/>
  <c r="AD351" i="13" s="1"/>
  <c r="AD350" i="13" s="1"/>
  <c r="AD349" i="13" s="1"/>
  <c r="AD348" i="13" s="1"/>
  <c r="AD347" i="13" s="1"/>
  <c r="AD346" i="13" s="1"/>
  <c r="AD345" i="13" s="1"/>
  <c r="AD344" i="13" s="1"/>
  <c r="AD343" i="13" s="1"/>
  <c r="AD342" i="13" s="1"/>
  <c r="AD341" i="13" s="1"/>
  <c r="AD340" i="13" s="1"/>
  <c r="AD339" i="13" s="1"/>
  <c r="AD338" i="13" s="1"/>
  <c r="AD337" i="13" s="1"/>
  <c r="AD336" i="13" s="1"/>
  <c r="AD335" i="13" s="1"/>
  <c r="AD334" i="13" s="1"/>
  <c r="AD333" i="13" s="1"/>
  <c r="AD332" i="13" s="1"/>
  <c r="AD331" i="13" s="1"/>
  <c r="AD330" i="13" s="1"/>
  <c r="AD329" i="13" s="1"/>
  <c r="AD328" i="13" s="1"/>
  <c r="AD327" i="13" s="1"/>
  <c r="AD326" i="13" s="1"/>
  <c r="AD325" i="13" s="1"/>
  <c r="AD324" i="13" s="1"/>
  <c r="AD323" i="13" s="1"/>
  <c r="AD322" i="13" s="1"/>
  <c r="AD321" i="13" s="1"/>
  <c r="AD320" i="13" s="1"/>
  <c r="AD319" i="13" s="1"/>
  <c r="AD318" i="13" s="1"/>
  <c r="AD317" i="13" s="1"/>
  <c r="AD316" i="13" s="1"/>
  <c r="AD315" i="13" s="1"/>
  <c r="AD314" i="13" s="1"/>
  <c r="AD313" i="13" s="1"/>
  <c r="AD312" i="13" s="1"/>
  <c r="AD311" i="13" s="1"/>
  <c r="AD310" i="13" s="1"/>
  <c r="AD309" i="13" s="1"/>
  <c r="AD308" i="13" s="1"/>
  <c r="AD307" i="13" s="1"/>
  <c r="AD306" i="13" s="1"/>
  <c r="AD305" i="13" s="1"/>
  <c r="AD304" i="13" s="1"/>
  <c r="AD303" i="13" s="1"/>
  <c r="AD302" i="13" s="1"/>
  <c r="AD301" i="13" s="1"/>
  <c r="AD300" i="13" s="1"/>
  <c r="AD299" i="13" s="1"/>
  <c r="AD298" i="13" s="1"/>
  <c r="AD297" i="13" s="1"/>
  <c r="AD296" i="13" s="1"/>
  <c r="AD295" i="13" s="1"/>
  <c r="AD294" i="13" s="1"/>
  <c r="AD293" i="13" s="1"/>
  <c r="AD292" i="13" s="1"/>
  <c r="AD291" i="13" s="1"/>
  <c r="AD290" i="13" s="1"/>
  <c r="AD289" i="13" s="1"/>
  <c r="AD288" i="13" s="1"/>
  <c r="AD287" i="13" s="1"/>
  <c r="AD286" i="13" s="1"/>
  <c r="AD285" i="13" s="1"/>
  <c r="AD284" i="13" s="1"/>
  <c r="AD283" i="13" s="1"/>
  <c r="AD282" i="13" s="1"/>
  <c r="AD281" i="13" s="1"/>
  <c r="AD280" i="13" s="1"/>
  <c r="AD279" i="13" s="1"/>
  <c r="AD278" i="13" s="1"/>
  <c r="AD277" i="13" s="1"/>
  <c r="AD276" i="13" s="1"/>
  <c r="AD275" i="13" s="1"/>
  <c r="AD274" i="13" s="1"/>
  <c r="AD273" i="13" s="1"/>
  <c r="AD272" i="13" s="1"/>
  <c r="AD271" i="13" s="1"/>
  <c r="AD270" i="13" s="1"/>
  <c r="AD269" i="13" s="1"/>
  <c r="AD268" i="13" s="1"/>
  <c r="AD267" i="13" s="1"/>
  <c r="AD266" i="13" s="1"/>
  <c r="AD265" i="13" s="1"/>
  <c r="AD264" i="13" s="1"/>
  <c r="AD263" i="13" s="1"/>
  <c r="AD262" i="13" s="1"/>
  <c r="AD261" i="13" s="1"/>
  <c r="AD260" i="13" s="1"/>
  <c r="AD259" i="13" s="1"/>
  <c r="AD258" i="13" s="1"/>
  <c r="AD257" i="13" s="1"/>
  <c r="AD256" i="13" s="1"/>
  <c r="AD255" i="13" s="1"/>
  <c r="AD254" i="13" s="1"/>
  <c r="AD253" i="13" s="1"/>
  <c r="AD252" i="13" s="1"/>
  <c r="AD251" i="13" s="1"/>
  <c r="AD250" i="13" s="1"/>
  <c r="AD249" i="13" s="1"/>
  <c r="AD248" i="13" s="1"/>
  <c r="AD247" i="13" s="1"/>
  <c r="AD246" i="13" s="1"/>
  <c r="AD245" i="13" s="1"/>
  <c r="AD244" i="13" s="1"/>
  <c r="AD243" i="13" s="1"/>
  <c r="AD242" i="13" s="1"/>
  <c r="AD241" i="13" s="1"/>
  <c r="AD240" i="13" s="1"/>
  <c r="AD239" i="13" s="1"/>
  <c r="AD238" i="13" s="1"/>
  <c r="AD237" i="13" s="1"/>
  <c r="AD236" i="13" s="1"/>
  <c r="AD235" i="13" s="1"/>
  <c r="AD234" i="13" s="1"/>
  <c r="AD233" i="13" s="1"/>
  <c r="AD232" i="13" s="1"/>
  <c r="AD231" i="13" s="1"/>
  <c r="AD230" i="13" s="1"/>
  <c r="AD229" i="13" s="1"/>
  <c r="AD228" i="13" s="1"/>
  <c r="AD227" i="13" s="1"/>
  <c r="AD226" i="13" s="1"/>
  <c r="AD225" i="13" s="1"/>
  <c r="AD224" i="13" s="1"/>
  <c r="AD223" i="13" s="1"/>
  <c r="AD222" i="13" s="1"/>
  <c r="AD221" i="13" s="1"/>
  <c r="AD220" i="13" s="1"/>
  <c r="AD219" i="13" s="1"/>
  <c r="AD218" i="13" s="1"/>
  <c r="AD217" i="13" s="1"/>
  <c r="AD216" i="13" s="1"/>
  <c r="AD215" i="13" s="1"/>
  <c r="AD214" i="13" s="1"/>
  <c r="AD213" i="13" s="1"/>
  <c r="AD212" i="13" s="1"/>
  <c r="AD211" i="13" s="1"/>
  <c r="AD210" i="13" s="1"/>
  <c r="AD209" i="13" s="1"/>
  <c r="AD208" i="13" s="1"/>
  <c r="AD207" i="13" s="1"/>
  <c r="AD206" i="13" s="1"/>
  <c r="AD205" i="13" s="1"/>
  <c r="AD204" i="13" s="1"/>
  <c r="AD203" i="13" s="1"/>
  <c r="AD202" i="13" s="1"/>
  <c r="AD201" i="13" s="1"/>
  <c r="AD200" i="13" s="1"/>
  <c r="AD199" i="13" s="1"/>
  <c r="AD198" i="13" s="1"/>
  <c r="AD197" i="13" s="1"/>
  <c r="AD196" i="13" s="1"/>
  <c r="AD195" i="13" s="1"/>
  <c r="AD194" i="13" s="1"/>
  <c r="AD193" i="13" s="1"/>
  <c r="AD192" i="13" s="1"/>
  <c r="AD191" i="13" s="1"/>
  <c r="AD190" i="13" s="1"/>
  <c r="AD189" i="13" s="1"/>
  <c r="AD188" i="13" s="1"/>
  <c r="AD187" i="13" s="1"/>
  <c r="AD186" i="13" s="1"/>
  <c r="AD185" i="13" s="1"/>
  <c r="AD184" i="13" s="1"/>
  <c r="AD183" i="13" s="1"/>
  <c r="AD182" i="13" s="1"/>
  <c r="AD181" i="13" s="1"/>
  <c r="AD180" i="13" s="1"/>
  <c r="AD179" i="13" s="1"/>
  <c r="AD178" i="13" s="1"/>
  <c r="AD177" i="13" s="1"/>
  <c r="AD176" i="13" s="1"/>
  <c r="AD175" i="13" s="1"/>
  <c r="AD174" i="13" s="1"/>
  <c r="AD173" i="13" s="1"/>
  <c r="AD172" i="13" s="1"/>
  <c r="AD171" i="13" s="1"/>
  <c r="AD170" i="13" s="1"/>
  <c r="AD169" i="13" s="1"/>
  <c r="AD168" i="13" s="1"/>
  <c r="AD167" i="13" s="1"/>
  <c r="AD166" i="13" s="1"/>
  <c r="AD165" i="13" s="1"/>
  <c r="AD164" i="13" s="1"/>
  <c r="AD163" i="13" s="1"/>
  <c r="AD162" i="13" s="1"/>
  <c r="AD161" i="13" s="1"/>
  <c r="AD160" i="13" s="1"/>
  <c r="AD159" i="13" s="1"/>
  <c r="AD158" i="13" s="1"/>
  <c r="AD157" i="13" s="1"/>
  <c r="AD156" i="13" s="1"/>
  <c r="AD155" i="13" s="1"/>
  <c r="AD154" i="13" s="1"/>
  <c r="AD153" i="13" s="1"/>
  <c r="AD152" i="13" s="1"/>
  <c r="AD151" i="13" s="1"/>
  <c r="AD150" i="13" s="1"/>
  <c r="AD149" i="13" s="1"/>
  <c r="AD148" i="13" s="1"/>
  <c r="AD147" i="13" s="1"/>
  <c r="AD146" i="13" s="1"/>
  <c r="AD145" i="13" s="1"/>
  <c r="AD144" i="13" s="1"/>
  <c r="AD143" i="13" s="1"/>
  <c r="AD142" i="13" s="1"/>
  <c r="AD141" i="13" s="1"/>
  <c r="AD140" i="13" s="1"/>
  <c r="AD139" i="13" s="1"/>
  <c r="AD138" i="13" s="1"/>
  <c r="AD137" i="13" s="1"/>
  <c r="AD136" i="13" s="1"/>
  <c r="AD135" i="13" s="1"/>
  <c r="AD134" i="13" s="1"/>
  <c r="AD133" i="13" s="1"/>
  <c r="AD132" i="13" s="1"/>
  <c r="AD131" i="13" s="1"/>
  <c r="AD130" i="13" s="1"/>
  <c r="AD129" i="13" s="1"/>
  <c r="AD128" i="13" s="1"/>
  <c r="AD127" i="13" s="1"/>
  <c r="AD126" i="13" s="1"/>
  <c r="AD125" i="13" s="1"/>
  <c r="AD124" i="13" s="1"/>
  <c r="AD123" i="13" s="1"/>
  <c r="AD122" i="13" s="1"/>
  <c r="AD121" i="13" s="1"/>
  <c r="AD120" i="13" s="1"/>
  <c r="AD119" i="13" s="1"/>
  <c r="AD118" i="13" s="1"/>
  <c r="AD117" i="13" s="1"/>
  <c r="AD116" i="13" s="1"/>
  <c r="AD115" i="13" s="1"/>
  <c r="AD114" i="13" s="1"/>
  <c r="AD113" i="13" s="1"/>
  <c r="AD112" i="13" s="1"/>
  <c r="AD111" i="13" s="1"/>
  <c r="AD110" i="13" s="1"/>
  <c r="AD109" i="13" s="1"/>
  <c r="AD108" i="13" s="1"/>
  <c r="AD107" i="13" s="1"/>
  <c r="AD106" i="13" s="1"/>
  <c r="AD105" i="13" s="1"/>
  <c r="AD104" i="13" s="1"/>
  <c r="AD103" i="13" s="1"/>
  <c r="AD102" i="13" s="1"/>
  <c r="AD101" i="13" s="1"/>
  <c r="AD100" i="13" s="1"/>
  <c r="AD99" i="13" s="1"/>
  <c r="AD98" i="13" s="1"/>
  <c r="AD97" i="13" s="1"/>
  <c r="AD96" i="13" s="1"/>
  <c r="AD95" i="13" s="1"/>
  <c r="AD94" i="13" s="1"/>
  <c r="AD93" i="13" s="1"/>
  <c r="AD92" i="13" s="1"/>
  <c r="AD91" i="13" s="1"/>
  <c r="AD90" i="13" s="1"/>
  <c r="AD89" i="13" s="1"/>
  <c r="AD88" i="13" s="1"/>
  <c r="AD87" i="13" s="1"/>
  <c r="AD86" i="13" s="1"/>
  <c r="AD85" i="13" s="1"/>
  <c r="AD84" i="13" s="1"/>
  <c r="AD83" i="13" s="1"/>
  <c r="AD82" i="13" s="1"/>
  <c r="AD81" i="13" s="1"/>
  <c r="AD80" i="13" s="1"/>
  <c r="AD79" i="13" s="1"/>
  <c r="AD78" i="13" s="1"/>
  <c r="AD77" i="13" s="1"/>
  <c r="AD76" i="13" s="1"/>
  <c r="AD75" i="13" s="1"/>
  <c r="AD74" i="13" s="1"/>
  <c r="AD73" i="13" s="1"/>
  <c r="AD72" i="13" s="1"/>
  <c r="AD71" i="13" s="1"/>
  <c r="AD70" i="13" s="1"/>
  <c r="AD69" i="13" s="1"/>
  <c r="AD68" i="13" s="1"/>
  <c r="AD67" i="13" s="1"/>
  <c r="AD66" i="13" s="1"/>
  <c r="AD65" i="13" s="1"/>
  <c r="AD64" i="13" s="1"/>
  <c r="AD63" i="13" s="1"/>
  <c r="AD62" i="13" s="1"/>
  <c r="AD61" i="13" s="1"/>
  <c r="AD60" i="13" s="1"/>
  <c r="AD59" i="13" s="1"/>
  <c r="AD58" i="13" s="1"/>
  <c r="AD57" i="13" s="1"/>
  <c r="AD56" i="13" s="1"/>
  <c r="AD55" i="13" s="1"/>
  <c r="AD54" i="13" s="1"/>
  <c r="AD53" i="13" s="1"/>
  <c r="AD52" i="13" s="1"/>
  <c r="AD51" i="13" s="1"/>
  <c r="AD50" i="13" s="1"/>
  <c r="AD49" i="13" s="1"/>
  <c r="AD48" i="13" s="1"/>
  <c r="AD47" i="13" s="1"/>
  <c r="AD46" i="13" s="1"/>
  <c r="AD45" i="13" s="1"/>
  <c r="AD44" i="13" s="1"/>
  <c r="AD43" i="13" s="1"/>
  <c r="AD42" i="13" s="1"/>
  <c r="AD41" i="13" s="1"/>
  <c r="AD40" i="13" s="1"/>
  <c r="AD39" i="13" s="1"/>
  <c r="AD38" i="13" s="1"/>
  <c r="AD37" i="13" s="1"/>
  <c r="AD36" i="13" s="1"/>
  <c r="AD35" i="13" s="1"/>
  <c r="AD34" i="13" s="1"/>
  <c r="AD33" i="13" s="1"/>
  <c r="AD32" i="13" s="1"/>
  <c r="AD31" i="13" s="1"/>
  <c r="AD30" i="13" s="1"/>
  <c r="AD29" i="13" s="1"/>
  <c r="AD28" i="13" s="1"/>
  <c r="AD27" i="13" s="1"/>
  <c r="AD26" i="13" s="1"/>
  <c r="AD25" i="13" s="1"/>
  <c r="AD24" i="13" s="1"/>
  <c r="AD23" i="13" s="1"/>
  <c r="AD22" i="13" s="1"/>
  <c r="AD21" i="13" s="1"/>
  <c r="AD20" i="13" s="1"/>
  <c r="AD19" i="13" s="1"/>
  <c r="AD18" i="13" s="1"/>
  <c r="AD17" i="13" s="1"/>
  <c r="AD16" i="13" s="1"/>
  <c r="AD15" i="13" s="1"/>
  <c r="AD14" i="13" s="1"/>
  <c r="AD13" i="13" s="1"/>
  <c r="AD12" i="13" s="1"/>
  <c r="AD11" i="13" s="1"/>
  <c r="AD10" i="13" s="1"/>
  <c r="AD9" i="13" s="1"/>
  <c r="AD8" i="13" s="1"/>
  <c r="AD7" i="13" s="1"/>
  <c r="AD6" i="13" s="1"/>
  <c r="AD5" i="13" s="1"/>
  <c r="AD4" i="13" s="1"/>
  <c r="AD3" i="13" s="1"/>
  <c r="AE363" i="13"/>
  <c r="AB362" i="13"/>
  <c r="AB361" i="13" s="1"/>
  <c r="AB360" i="13" s="1"/>
  <c r="AB359" i="13" s="1"/>
  <c r="AB358" i="13" s="1"/>
  <c r="AB357" i="13" s="1"/>
  <c r="AB356" i="13" s="1"/>
  <c r="AB355" i="13" s="1"/>
  <c r="AB354" i="13" s="1"/>
  <c r="AB353" i="13" s="1"/>
  <c r="AB352" i="13" s="1"/>
  <c r="AB351" i="13" s="1"/>
  <c r="AB350" i="13" s="1"/>
  <c r="AB349" i="13" s="1"/>
  <c r="AB348" i="13" s="1"/>
  <c r="AB347" i="13" s="1"/>
  <c r="AB346" i="13" s="1"/>
  <c r="AB345" i="13" s="1"/>
  <c r="AB344" i="13" s="1"/>
  <c r="AB343" i="13" s="1"/>
  <c r="AB342" i="13" s="1"/>
  <c r="AB341" i="13" s="1"/>
  <c r="AB340" i="13" s="1"/>
  <c r="AB339" i="13" s="1"/>
  <c r="AB338" i="13" s="1"/>
  <c r="AB337" i="13" s="1"/>
  <c r="AB336" i="13" s="1"/>
  <c r="AB335" i="13" s="1"/>
  <c r="AB334" i="13" s="1"/>
  <c r="AB333" i="13" s="1"/>
  <c r="AB332" i="13" s="1"/>
  <c r="AB331" i="13" s="1"/>
  <c r="AB330" i="13" s="1"/>
  <c r="AB329" i="13" s="1"/>
  <c r="AB328" i="13" s="1"/>
  <c r="AB327" i="13" s="1"/>
  <c r="AB326" i="13" s="1"/>
  <c r="AB325" i="13" s="1"/>
  <c r="AB324" i="13" s="1"/>
  <c r="AB323" i="13" s="1"/>
  <c r="AB322" i="13" s="1"/>
  <c r="AB321" i="13" s="1"/>
  <c r="AB320" i="13" s="1"/>
  <c r="AB319" i="13" s="1"/>
  <c r="AB318" i="13" s="1"/>
  <c r="AB317" i="13" s="1"/>
  <c r="AB316" i="13" s="1"/>
  <c r="AB315" i="13" s="1"/>
  <c r="AB314" i="13" s="1"/>
  <c r="AB313" i="13" s="1"/>
  <c r="AB312" i="13" s="1"/>
  <c r="AB311" i="13" s="1"/>
  <c r="AB310" i="13" s="1"/>
  <c r="AB309" i="13" s="1"/>
  <c r="AB308" i="13" s="1"/>
  <c r="AB307" i="13" s="1"/>
  <c r="AB306" i="13" s="1"/>
  <c r="AB305" i="13" s="1"/>
  <c r="AB304" i="13" s="1"/>
  <c r="AB303" i="13" s="1"/>
  <c r="AB302" i="13" s="1"/>
  <c r="AB301" i="13" s="1"/>
  <c r="AB300" i="13" s="1"/>
  <c r="AB299" i="13" s="1"/>
  <c r="AB298" i="13" s="1"/>
  <c r="AB297" i="13" s="1"/>
  <c r="AB296" i="13" s="1"/>
  <c r="AB295" i="13" s="1"/>
  <c r="AB294" i="13" s="1"/>
  <c r="AB293" i="13" s="1"/>
  <c r="AB292" i="13" s="1"/>
  <c r="AB291" i="13" s="1"/>
  <c r="AB290" i="13" s="1"/>
  <c r="AB289" i="13" s="1"/>
  <c r="AB288" i="13" s="1"/>
  <c r="AB287" i="13" s="1"/>
  <c r="AB286" i="13" s="1"/>
  <c r="AB285" i="13" s="1"/>
  <c r="AB284" i="13" s="1"/>
  <c r="AB283" i="13" s="1"/>
  <c r="AB282" i="13" s="1"/>
  <c r="AB281" i="13" s="1"/>
  <c r="AB280" i="13" s="1"/>
  <c r="AB279" i="13" s="1"/>
  <c r="AB278" i="13" s="1"/>
  <c r="AB277" i="13" s="1"/>
  <c r="AB276" i="13" s="1"/>
  <c r="AB275" i="13" s="1"/>
  <c r="AB274" i="13" s="1"/>
  <c r="AB273" i="13" s="1"/>
  <c r="AB272" i="13" s="1"/>
  <c r="AB271" i="13" s="1"/>
  <c r="AB270" i="13" s="1"/>
  <c r="AB269" i="13" s="1"/>
  <c r="AB268" i="13" s="1"/>
  <c r="AB267" i="13" s="1"/>
  <c r="AB266" i="13" s="1"/>
  <c r="AB265" i="13" s="1"/>
  <c r="AB264" i="13" s="1"/>
  <c r="AB263" i="13" s="1"/>
  <c r="AB262" i="13" s="1"/>
  <c r="AB261" i="13" s="1"/>
  <c r="AB260" i="13" s="1"/>
  <c r="AB259" i="13" s="1"/>
  <c r="AB258" i="13" s="1"/>
  <c r="AB257" i="13" s="1"/>
  <c r="AB256" i="13" s="1"/>
  <c r="AB255" i="13" s="1"/>
  <c r="AB254" i="13" s="1"/>
  <c r="AB253" i="13" s="1"/>
  <c r="AB252" i="13" s="1"/>
  <c r="AB251" i="13" s="1"/>
  <c r="AB250" i="13" s="1"/>
  <c r="AB249" i="13" s="1"/>
  <c r="AB248" i="13" s="1"/>
  <c r="AB247" i="13" s="1"/>
  <c r="AB246" i="13" s="1"/>
  <c r="AB245" i="13" s="1"/>
  <c r="AB244" i="13" s="1"/>
  <c r="AB243" i="13" s="1"/>
  <c r="AB242" i="13" s="1"/>
  <c r="AB241" i="13" s="1"/>
  <c r="AB240" i="13" s="1"/>
  <c r="AB239" i="13" s="1"/>
  <c r="AB238" i="13" s="1"/>
  <c r="AB237" i="13" s="1"/>
  <c r="AB236" i="13" s="1"/>
  <c r="AB235" i="13" s="1"/>
  <c r="AB234" i="13" s="1"/>
  <c r="AB233" i="13" s="1"/>
  <c r="AB232" i="13" s="1"/>
  <c r="AB231" i="13" s="1"/>
  <c r="AB230" i="13" s="1"/>
  <c r="AB229" i="13" s="1"/>
  <c r="AB228" i="13" s="1"/>
  <c r="AB227" i="13" s="1"/>
  <c r="AB226" i="13" s="1"/>
  <c r="AB225" i="13" s="1"/>
  <c r="AB224" i="13" s="1"/>
  <c r="AB223" i="13" s="1"/>
  <c r="AB222" i="13" s="1"/>
  <c r="AB221" i="13" s="1"/>
  <c r="AB220" i="13" s="1"/>
  <c r="AB219" i="13" s="1"/>
  <c r="AB218" i="13" s="1"/>
  <c r="AB217" i="13" s="1"/>
  <c r="AB216" i="13" s="1"/>
  <c r="AB215" i="13" s="1"/>
  <c r="AB214" i="13" s="1"/>
  <c r="AB213" i="13" s="1"/>
  <c r="AB212" i="13" s="1"/>
  <c r="AB211" i="13" s="1"/>
  <c r="AB210" i="13" s="1"/>
  <c r="AB209" i="13" s="1"/>
  <c r="AB208" i="13" s="1"/>
  <c r="AB207" i="13" s="1"/>
  <c r="AB206" i="13" s="1"/>
  <c r="AB205" i="13" s="1"/>
  <c r="AB204" i="13" s="1"/>
  <c r="AB203" i="13" s="1"/>
  <c r="AB202" i="13" s="1"/>
  <c r="AB201" i="13" s="1"/>
  <c r="AB200" i="13" s="1"/>
  <c r="AB199" i="13" s="1"/>
  <c r="AB198" i="13" s="1"/>
  <c r="AB197" i="13" s="1"/>
  <c r="AB196" i="13" s="1"/>
  <c r="AB195" i="13" s="1"/>
  <c r="AB194" i="13" s="1"/>
  <c r="AB193" i="13" s="1"/>
  <c r="AB192" i="13" s="1"/>
  <c r="AB191" i="13" s="1"/>
  <c r="AB190" i="13" s="1"/>
  <c r="AB189" i="13" s="1"/>
  <c r="AB188" i="13" s="1"/>
  <c r="AB187" i="13" s="1"/>
  <c r="AB186" i="13" s="1"/>
  <c r="AB185" i="13" s="1"/>
  <c r="AB184" i="13" s="1"/>
  <c r="AB183" i="13" s="1"/>
  <c r="AB182" i="13" s="1"/>
  <c r="AB181" i="13" s="1"/>
  <c r="AB180" i="13" s="1"/>
  <c r="AB179" i="13" s="1"/>
  <c r="AB178" i="13" s="1"/>
  <c r="AB177" i="13" s="1"/>
  <c r="AB176" i="13" s="1"/>
  <c r="AB175" i="13" s="1"/>
  <c r="AB174" i="13" s="1"/>
  <c r="AB173" i="13" s="1"/>
  <c r="AB172" i="13" s="1"/>
  <c r="AB171" i="13" s="1"/>
  <c r="AB170" i="13" s="1"/>
  <c r="AB169" i="13" s="1"/>
  <c r="AB168" i="13" s="1"/>
  <c r="AB167" i="13" s="1"/>
  <c r="AB166" i="13" s="1"/>
  <c r="AB165" i="13" s="1"/>
  <c r="AB164" i="13" s="1"/>
  <c r="AB163" i="13" s="1"/>
  <c r="AB162" i="13" s="1"/>
  <c r="AB161" i="13" s="1"/>
  <c r="AB160" i="13" s="1"/>
  <c r="AB159" i="13" s="1"/>
  <c r="AB158" i="13" s="1"/>
  <c r="AB157" i="13" s="1"/>
  <c r="AB156" i="13" s="1"/>
  <c r="AB155" i="13" s="1"/>
  <c r="AB154" i="13" s="1"/>
  <c r="AB153" i="13" s="1"/>
  <c r="AB152" i="13" s="1"/>
  <c r="AB151" i="13" s="1"/>
  <c r="AB150" i="13" s="1"/>
  <c r="AB149" i="13" s="1"/>
  <c r="AB148" i="13" s="1"/>
  <c r="AB147" i="13" s="1"/>
  <c r="AB146" i="13" s="1"/>
  <c r="AB145" i="13" s="1"/>
  <c r="AB144" i="13" s="1"/>
  <c r="AB143" i="13" s="1"/>
  <c r="AB142" i="13" s="1"/>
  <c r="AB141" i="13" s="1"/>
  <c r="AB140" i="13" s="1"/>
  <c r="AB139" i="13" s="1"/>
  <c r="AB138" i="13" s="1"/>
  <c r="AB137" i="13" s="1"/>
  <c r="AB136" i="13" s="1"/>
  <c r="AB135" i="13" s="1"/>
  <c r="AB134" i="13" s="1"/>
  <c r="AB133" i="13" s="1"/>
  <c r="AB132" i="13" s="1"/>
  <c r="AB131" i="13" s="1"/>
  <c r="AB130" i="13" s="1"/>
  <c r="AB129" i="13" s="1"/>
  <c r="AB128" i="13" s="1"/>
  <c r="AB127" i="13" s="1"/>
  <c r="AB126" i="13" s="1"/>
  <c r="AB125" i="13" s="1"/>
  <c r="AB124" i="13" s="1"/>
  <c r="AB123" i="13" s="1"/>
  <c r="AB122" i="13" s="1"/>
  <c r="AB121" i="13" s="1"/>
  <c r="AB120" i="13" s="1"/>
  <c r="AB119" i="13" s="1"/>
  <c r="AB118" i="13" s="1"/>
  <c r="AB117" i="13" s="1"/>
  <c r="AB116" i="13" s="1"/>
  <c r="AB115" i="13" s="1"/>
  <c r="AB114" i="13" s="1"/>
  <c r="AB113" i="13" s="1"/>
  <c r="AB112" i="13" s="1"/>
  <c r="AB111" i="13" s="1"/>
  <c r="AB110" i="13" s="1"/>
  <c r="AB109" i="13" s="1"/>
  <c r="AB108" i="13" s="1"/>
  <c r="AB107" i="13" s="1"/>
  <c r="AB106" i="13" s="1"/>
  <c r="AB105" i="13" s="1"/>
  <c r="AB104" i="13" s="1"/>
  <c r="AB103" i="13" s="1"/>
  <c r="AB102" i="13" s="1"/>
  <c r="AB101" i="13" s="1"/>
  <c r="AB100" i="13" s="1"/>
  <c r="AB99" i="13" s="1"/>
  <c r="AB98" i="13" s="1"/>
  <c r="AB97" i="13" s="1"/>
  <c r="AB96" i="13" s="1"/>
  <c r="AB95" i="13" s="1"/>
  <c r="AB94" i="13" s="1"/>
  <c r="AB93" i="13" s="1"/>
  <c r="AB92" i="13" s="1"/>
  <c r="AB91" i="13" s="1"/>
  <c r="AB90" i="13" s="1"/>
  <c r="AB89" i="13" s="1"/>
  <c r="AB88" i="13" s="1"/>
  <c r="AB87" i="13" s="1"/>
  <c r="AB86" i="13" s="1"/>
  <c r="AB85" i="13" s="1"/>
  <c r="AB84" i="13" s="1"/>
  <c r="AB83" i="13" s="1"/>
  <c r="AB82" i="13" s="1"/>
  <c r="AB81" i="13" s="1"/>
  <c r="AB80" i="13" s="1"/>
  <c r="AB79" i="13" s="1"/>
  <c r="AB78" i="13" s="1"/>
  <c r="AB77" i="13" s="1"/>
  <c r="AB76" i="13" s="1"/>
  <c r="AB75" i="13" s="1"/>
  <c r="AB74" i="13" s="1"/>
  <c r="AB73" i="13" s="1"/>
  <c r="AB72" i="13" s="1"/>
  <c r="AB71" i="13" s="1"/>
  <c r="AB70" i="13" s="1"/>
  <c r="AB69" i="13" s="1"/>
  <c r="AB68" i="13" s="1"/>
  <c r="AB67" i="13" s="1"/>
  <c r="AB66" i="13" s="1"/>
  <c r="AB65" i="13" s="1"/>
  <c r="AB64" i="13" s="1"/>
  <c r="AB63" i="13" s="1"/>
  <c r="AB62" i="13" s="1"/>
  <c r="AB61" i="13" s="1"/>
  <c r="AB60" i="13" s="1"/>
  <c r="AB59" i="13" s="1"/>
  <c r="AB58" i="13" s="1"/>
  <c r="AB57" i="13" s="1"/>
  <c r="AB56" i="13" s="1"/>
  <c r="AB55" i="13" s="1"/>
  <c r="AB54" i="13" s="1"/>
  <c r="AB53" i="13" s="1"/>
  <c r="AB52" i="13" s="1"/>
  <c r="AB51" i="13" s="1"/>
  <c r="AB50" i="13" s="1"/>
  <c r="AB49" i="13" s="1"/>
  <c r="AB48" i="13" s="1"/>
  <c r="AB47" i="13" s="1"/>
  <c r="AB46" i="13" s="1"/>
  <c r="AB45" i="13" s="1"/>
  <c r="AB44" i="13" s="1"/>
  <c r="AB43" i="13" s="1"/>
  <c r="AB42" i="13" s="1"/>
  <c r="AB41" i="13" s="1"/>
  <c r="AB40" i="13" s="1"/>
  <c r="AB39" i="13" s="1"/>
  <c r="AB38" i="13" s="1"/>
  <c r="AB37" i="13" s="1"/>
  <c r="AB36" i="13" s="1"/>
  <c r="AB35" i="13" s="1"/>
  <c r="AB34" i="13" s="1"/>
  <c r="AB33" i="13" s="1"/>
  <c r="AB32" i="13" s="1"/>
  <c r="AB31" i="13" s="1"/>
  <c r="AB30" i="13" s="1"/>
  <c r="AB29" i="13" s="1"/>
  <c r="AB28" i="13" s="1"/>
  <c r="AB27" i="13" s="1"/>
  <c r="AB26" i="13" s="1"/>
  <c r="AB25" i="13" s="1"/>
  <c r="AB24" i="13" s="1"/>
  <c r="AB23" i="13" s="1"/>
  <c r="AB22" i="13" s="1"/>
  <c r="AB21" i="13" s="1"/>
  <c r="AB20" i="13" s="1"/>
  <c r="AB19" i="13" s="1"/>
  <c r="AB18" i="13" s="1"/>
  <c r="AB17" i="13" s="1"/>
  <c r="AB16" i="13" s="1"/>
  <c r="AB15" i="13" s="1"/>
  <c r="AB14" i="13" s="1"/>
  <c r="AB13" i="13" s="1"/>
  <c r="AB12" i="13" s="1"/>
  <c r="AB11" i="13" s="1"/>
  <c r="AB10" i="13" s="1"/>
  <c r="AB9" i="13" s="1"/>
  <c r="AB8" i="13" s="1"/>
  <c r="AB7" i="13" s="1"/>
  <c r="AB6" i="13" s="1"/>
  <c r="AB5" i="13" s="1"/>
  <c r="AB4" i="13" s="1"/>
  <c r="AB3" i="13" s="1"/>
  <c r="AG363" i="10"/>
  <c r="AD362" i="10"/>
  <c r="AD361" i="10" s="1"/>
  <c r="AD360" i="10" s="1"/>
  <c r="AD359" i="10" s="1"/>
  <c r="AD358" i="10" s="1"/>
  <c r="AD357" i="10" s="1"/>
  <c r="AD356" i="10" s="1"/>
  <c r="AD355" i="10" s="1"/>
  <c r="AD354" i="10" s="1"/>
  <c r="AD353" i="10" s="1"/>
  <c r="AD352" i="10" s="1"/>
  <c r="AD351" i="10" s="1"/>
  <c r="AD350" i="10" s="1"/>
  <c r="AD349" i="10" s="1"/>
  <c r="AD348" i="10" s="1"/>
  <c r="AD347" i="10" s="1"/>
  <c r="AD346" i="10" s="1"/>
  <c r="AD345" i="10" s="1"/>
  <c r="AD344" i="10" s="1"/>
  <c r="AD343" i="10" s="1"/>
  <c r="AD342" i="10" s="1"/>
  <c r="AD341" i="10" s="1"/>
  <c r="AD340" i="10" s="1"/>
  <c r="AD339" i="10" s="1"/>
  <c r="AD338" i="10" s="1"/>
  <c r="AD337" i="10" s="1"/>
  <c r="AD336" i="10" s="1"/>
  <c r="AD335" i="10" s="1"/>
  <c r="AD334" i="10" s="1"/>
  <c r="AD333" i="10" s="1"/>
  <c r="AD332" i="10" s="1"/>
  <c r="AD331" i="10" s="1"/>
  <c r="AD330" i="10" s="1"/>
  <c r="AD329" i="10" s="1"/>
  <c r="AD328" i="10" s="1"/>
  <c r="AD327" i="10" s="1"/>
  <c r="AD326" i="10" s="1"/>
  <c r="AD325" i="10" s="1"/>
  <c r="AD324" i="10" s="1"/>
  <c r="AD323" i="10" s="1"/>
  <c r="AD322" i="10" s="1"/>
  <c r="AD321" i="10" s="1"/>
  <c r="AD320" i="10" s="1"/>
  <c r="AD319" i="10" s="1"/>
  <c r="AD318" i="10" s="1"/>
  <c r="AD317" i="10" s="1"/>
  <c r="AD316" i="10" s="1"/>
  <c r="AD315" i="10" s="1"/>
  <c r="AD314" i="10" s="1"/>
  <c r="AD313" i="10" s="1"/>
  <c r="AD312" i="10" s="1"/>
  <c r="AD311" i="10" s="1"/>
  <c r="AD310" i="10" s="1"/>
  <c r="AD309" i="10" s="1"/>
  <c r="AD308" i="10" s="1"/>
  <c r="AD307" i="10" s="1"/>
  <c r="AD306" i="10" s="1"/>
  <c r="AD305" i="10" s="1"/>
  <c r="AD304" i="10" s="1"/>
  <c r="AD303" i="10" s="1"/>
  <c r="AD302" i="10" s="1"/>
  <c r="AD301" i="10" s="1"/>
  <c r="AD300" i="10" s="1"/>
  <c r="AD299" i="10" s="1"/>
  <c r="AD298" i="10" s="1"/>
  <c r="AD297" i="10" s="1"/>
  <c r="AD296" i="10" s="1"/>
  <c r="AD295" i="10" s="1"/>
  <c r="AD294" i="10" s="1"/>
  <c r="AD293" i="10" s="1"/>
  <c r="AD292" i="10" s="1"/>
  <c r="AD291" i="10" s="1"/>
  <c r="AD290" i="10" s="1"/>
  <c r="AD289" i="10" s="1"/>
  <c r="AD288" i="10" s="1"/>
  <c r="AD287" i="10" s="1"/>
  <c r="AD286" i="10" s="1"/>
  <c r="AD285" i="10" s="1"/>
  <c r="AD284" i="10" s="1"/>
  <c r="AD283" i="10" s="1"/>
  <c r="AD282" i="10" s="1"/>
  <c r="AD281" i="10" s="1"/>
  <c r="AD280" i="10" s="1"/>
  <c r="AD279" i="10" s="1"/>
  <c r="AD278" i="10" s="1"/>
  <c r="AD277" i="10" s="1"/>
  <c r="AD276" i="10" s="1"/>
  <c r="AD275" i="10" s="1"/>
  <c r="AD274" i="10" s="1"/>
  <c r="AD273" i="10" s="1"/>
  <c r="AD272" i="10" s="1"/>
  <c r="AD271" i="10" s="1"/>
  <c r="AD270" i="10" s="1"/>
  <c r="AD269" i="10" s="1"/>
  <c r="AD268" i="10" s="1"/>
  <c r="AD267" i="10" s="1"/>
  <c r="AD266" i="10" s="1"/>
  <c r="AD265" i="10" s="1"/>
  <c r="AD264" i="10" s="1"/>
  <c r="AD263" i="10" s="1"/>
  <c r="AD262" i="10" s="1"/>
  <c r="AD261" i="10" s="1"/>
  <c r="AD260" i="10" s="1"/>
  <c r="AD259" i="10" s="1"/>
  <c r="AD258" i="10" s="1"/>
  <c r="AD257" i="10" s="1"/>
  <c r="AD256" i="10" s="1"/>
  <c r="AD255" i="10" s="1"/>
  <c r="AD254" i="10" s="1"/>
  <c r="AD253" i="10" s="1"/>
  <c r="AD252" i="10" s="1"/>
  <c r="AD251" i="10" s="1"/>
  <c r="AD250" i="10" s="1"/>
  <c r="AD249" i="10" s="1"/>
  <c r="AD248" i="10" s="1"/>
  <c r="AD247" i="10" s="1"/>
  <c r="AD246" i="10" s="1"/>
  <c r="AD245" i="10" s="1"/>
  <c r="AD244" i="10" s="1"/>
  <c r="AD243" i="10" s="1"/>
  <c r="AD242" i="10" s="1"/>
  <c r="AD241" i="10" s="1"/>
  <c r="AD240" i="10" s="1"/>
  <c r="AD239" i="10" s="1"/>
  <c r="AD238" i="10" s="1"/>
  <c r="AD237" i="10" s="1"/>
  <c r="AD236" i="10" s="1"/>
  <c r="AD235" i="10" s="1"/>
  <c r="AD234" i="10" s="1"/>
  <c r="AD233" i="10" s="1"/>
  <c r="AD232" i="10" s="1"/>
  <c r="AD231" i="10" s="1"/>
  <c r="AD230" i="10" s="1"/>
  <c r="AD229" i="10" s="1"/>
  <c r="AD228" i="10" s="1"/>
  <c r="AD227" i="10" s="1"/>
  <c r="AD226" i="10" s="1"/>
  <c r="AD225" i="10" s="1"/>
  <c r="AD224" i="10" s="1"/>
  <c r="AD223" i="10" s="1"/>
  <c r="AD222" i="10" s="1"/>
  <c r="AD221" i="10" s="1"/>
  <c r="AD220" i="10" s="1"/>
  <c r="AD219" i="10" s="1"/>
  <c r="AD218" i="10" s="1"/>
  <c r="AD217" i="10" s="1"/>
  <c r="AD216" i="10" s="1"/>
  <c r="AD215" i="10" s="1"/>
  <c r="AD214" i="10" s="1"/>
  <c r="AD213" i="10" s="1"/>
  <c r="AD212" i="10" s="1"/>
  <c r="AD211" i="10" s="1"/>
  <c r="AD210" i="10" s="1"/>
  <c r="AD209" i="10" s="1"/>
  <c r="AD208" i="10" s="1"/>
  <c r="AD207" i="10" s="1"/>
  <c r="AD206" i="10" s="1"/>
  <c r="AD205" i="10" s="1"/>
  <c r="AD204" i="10" s="1"/>
  <c r="AD203" i="10" s="1"/>
  <c r="AD202" i="10" s="1"/>
  <c r="AD201" i="10" s="1"/>
  <c r="AD200" i="10" s="1"/>
  <c r="AD199" i="10" s="1"/>
  <c r="AD198" i="10" s="1"/>
  <c r="AD197" i="10" s="1"/>
  <c r="AD196" i="10" s="1"/>
  <c r="AD195" i="10" s="1"/>
  <c r="AD194" i="10" s="1"/>
  <c r="AD193" i="10" s="1"/>
  <c r="AD192" i="10" s="1"/>
  <c r="AD191" i="10" s="1"/>
  <c r="AD190" i="10" s="1"/>
  <c r="AD189" i="10" s="1"/>
  <c r="AD188" i="10" s="1"/>
  <c r="AD187" i="10" s="1"/>
  <c r="AD186" i="10" s="1"/>
  <c r="AD185" i="10" s="1"/>
  <c r="AD184" i="10" s="1"/>
  <c r="AD183" i="10" s="1"/>
  <c r="AD182" i="10" s="1"/>
  <c r="AD181" i="10" s="1"/>
  <c r="AD180" i="10" s="1"/>
  <c r="AD179" i="10" s="1"/>
  <c r="AD178" i="10" s="1"/>
  <c r="AD177" i="10" s="1"/>
  <c r="AD176" i="10" s="1"/>
  <c r="AD175" i="10" s="1"/>
  <c r="AD174" i="10" s="1"/>
  <c r="AD173" i="10" s="1"/>
  <c r="AD172" i="10" s="1"/>
  <c r="AD171" i="10" s="1"/>
  <c r="AD170" i="10" s="1"/>
  <c r="AD169" i="10" s="1"/>
  <c r="AD168" i="10" s="1"/>
  <c r="AD167" i="10" s="1"/>
  <c r="AD166" i="10" s="1"/>
  <c r="AD165" i="10" s="1"/>
  <c r="AD164" i="10" s="1"/>
  <c r="AD163" i="10" s="1"/>
  <c r="AD162" i="10" s="1"/>
  <c r="AD161" i="10" s="1"/>
  <c r="AD160" i="10" s="1"/>
  <c r="AD159" i="10" s="1"/>
  <c r="AD158" i="10" s="1"/>
  <c r="AD157" i="10" s="1"/>
  <c r="AD156" i="10" s="1"/>
  <c r="AD155" i="10" s="1"/>
  <c r="AD154" i="10" s="1"/>
  <c r="AD153" i="10" s="1"/>
  <c r="AD152" i="10" s="1"/>
  <c r="AD151" i="10" s="1"/>
  <c r="AD150" i="10" s="1"/>
  <c r="AD149" i="10" s="1"/>
  <c r="AD148" i="10" s="1"/>
  <c r="AD147" i="10" s="1"/>
  <c r="AD146" i="10" s="1"/>
  <c r="AD145" i="10" s="1"/>
  <c r="AD144" i="10" s="1"/>
  <c r="AD143" i="10" s="1"/>
  <c r="AD142" i="10" s="1"/>
  <c r="AD141" i="10" s="1"/>
  <c r="AD140" i="10" s="1"/>
  <c r="AD139" i="10" s="1"/>
  <c r="AD138" i="10" s="1"/>
  <c r="AD137" i="10" s="1"/>
  <c r="AD136" i="10" s="1"/>
  <c r="AD135" i="10" s="1"/>
  <c r="AD134" i="10" s="1"/>
  <c r="AD133" i="10" s="1"/>
  <c r="AD132" i="10" s="1"/>
  <c r="AD131" i="10" s="1"/>
  <c r="AD130" i="10" s="1"/>
  <c r="AD129" i="10" s="1"/>
  <c r="AD128" i="10" s="1"/>
  <c r="AD127" i="10" s="1"/>
  <c r="AD126" i="10" s="1"/>
  <c r="AD125" i="10" s="1"/>
  <c r="AD124" i="10" s="1"/>
  <c r="AD123" i="10" s="1"/>
  <c r="AD122" i="10" s="1"/>
  <c r="AD121" i="10" s="1"/>
  <c r="AD120" i="10" s="1"/>
  <c r="AD119" i="10" s="1"/>
  <c r="AD118" i="10" s="1"/>
  <c r="AD117" i="10" s="1"/>
  <c r="AD116" i="10" s="1"/>
  <c r="AD115" i="10" s="1"/>
  <c r="AD114" i="10" s="1"/>
  <c r="AD113" i="10" s="1"/>
  <c r="AD112" i="10" s="1"/>
  <c r="AD111" i="10" s="1"/>
  <c r="AD110" i="10" s="1"/>
  <c r="AD109" i="10" s="1"/>
  <c r="AD108" i="10" s="1"/>
  <c r="AD107" i="10" s="1"/>
  <c r="AD106" i="10" s="1"/>
  <c r="AD105" i="10" s="1"/>
  <c r="AD104" i="10" s="1"/>
  <c r="AD103" i="10" s="1"/>
  <c r="AD102" i="10" s="1"/>
  <c r="AD101" i="10" s="1"/>
  <c r="AD100" i="10" s="1"/>
  <c r="AD99" i="10" s="1"/>
  <c r="AD98" i="10" s="1"/>
  <c r="AD97" i="10" s="1"/>
  <c r="AD96" i="10" s="1"/>
  <c r="AD95" i="10" s="1"/>
  <c r="AD94" i="10" s="1"/>
  <c r="AD93" i="10" s="1"/>
  <c r="AD92" i="10" s="1"/>
  <c r="AD91" i="10" s="1"/>
  <c r="AD90" i="10" s="1"/>
  <c r="AD89" i="10" s="1"/>
  <c r="AD88" i="10" s="1"/>
  <c r="AD87" i="10" s="1"/>
  <c r="AD86" i="10" s="1"/>
  <c r="AD85" i="10" s="1"/>
  <c r="AD84" i="10" s="1"/>
  <c r="AD83" i="10" s="1"/>
  <c r="AD82" i="10" s="1"/>
  <c r="AD81" i="10" s="1"/>
  <c r="AD80" i="10" s="1"/>
  <c r="AD79" i="10" s="1"/>
  <c r="AD78" i="10" s="1"/>
  <c r="AD77" i="10" s="1"/>
  <c r="AD76" i="10" s="1"/>
  <c r="AD75" i="10" s="1"/>
  <c r="AD74" i="10" s="1"/>
  <c r="AD73" i="10" s="1"/>
  <c r="AD72" i="10" s="1"/>
  <c r="AD71" i="10" s="1"/>
  <c r="AD70" i="10" s="1"/>
  <c r="AD69" i="10" s="1"/>
  <c r="AD68" i="10" s="1"/>
  <c r="AD67" i="10" s="1"/>
  <c r="AD66" i="10" s="1"/>
  <c r="AD65" i="10" s="1"/>
  <c r="AD64" i="10" s="1"/>
  <c r="AD63" i="10" s="1"/>
  <c r="AD62" i="10" s="1"/>
  <c r="AD61" i="10" s="1"/>
  <c r="AD60" i="10" s="1"/>
  <c r="AD59" i="10" s="1"/>
  <c r="AD58" i="10" s="1"/>
  <c r="AD57" i="10" s="1"/>
  <c r="AD56" i="10" s="1"/>
  <c r="AD55" i="10" s="1"/>
  <c r="AD54" i="10" s="1"/>
  <c r="AD53" i="10" s="1"/>
  <c r="AD52" i="10" s="1"/>
  <c r="AD51" i="10" s="1"/>
  <c r="AD50" i="10" s="1"/>
  <c r="AD49" i="10" s="1"/>
  <c r="AD48" i="10" s="1"/>
  <c r="AD47" i="10" s="1"/>
  <c r="AD46" i="10" s="1"/>
  <c r="AD45" i="10" s="1"/>
  <c r="AD44" i="10" s="1"/>
  <c r="AD43" i="10" s="1"/>
  <c r="AD42" i="10" s="1"/>
  <c r="AD41" i="10" s="1"/>
  <c r="AD40" i="10" s="1"/>
  <c r="AD39" i="10" s="1"/>
  <c r="AD38" i="10" s="1"/>
  <c r="AD37" i="10" s="1"/>
  <c r="AD36" i="10" s="1"/>
  <c r="AD35" i="10" s="1"/>
  <c r="AD34" i="10" s="1"/>
  <c r="AD33" i="10" s="1"/>
  <c r="AD32" i="10" s="1"/>
  <c r="AD31" i="10" s="1"/>
  <c r="AD30" i="10" s="1"/>
  <c r="AD29" i="10" s="1"/>
  <c r="AD28" i="10" s="1"/>
  <c r="AD27" i="10" s="1"/>
  <c r="AD26" i="10" s="1"/>
  <c r="AD25" i="10" s="1"/>
  <c r="AD24" i="10" s="1"/>
  <c r="AD23" i="10" s="1"/>
  <c r="AD22" i="10" s="1"/>
  <c r="AD21" i="10" s="1"/>
  <c r="AD20" i="10" s="1"/>
  <c r="AD19" i="10" s="1"/>
  <c r="AD18" i="10" s="1"/>
  <c r="AD17" i="10" s="1"/>
  <c r="AD16" i="10" s="1"/>
  <c r="AD15" i="10" s="1"/>
  <c r="AD14" i="10" s="1"/>
  <c r="AD13" i="10" s="1"/>
  <c r="AD12" i="10" s="1"/>
  <c r="AD11" i="10" s="1"/>
  <c r="AD10" i="10" s="1"/>
  <c r="AD9" i="10" s="1"/>
  <c r="AD8" i="10" s="1"/>
  <c r="AD7" i="10" s="1"/>
  <c r="AD6" i="10" s="1"/>
  <c r="AD5" i="10" s="1"/>
  <c r="AD4" i="10" s="1"/>
  <c r="AD3" i="10" s="1"/>
  <c r="AE363" i="10"/>
  <c r="AB362" i="10"/>
  <c r="AB361" i="10" s="1"/>
  <c r="AB360" i="10" s="1"/>
  <c r="AB359" i="10" s="1"/>
  <c r="AB358" i="10" s="1"/>
  <c r="AB357" i="10" s="1"/>
  <c r="AB356" i="10" s="1"/>
  <c r="AB355" i="10" s="1"/>
  <c r="AB354" i="10" s="1"/>
  <c r="AB353" i="10" s="1"/>
  <c r="AB352" i="10" s="1"/>
  <c r="AB351" i="10" s="1"/>
  <c r="AB350" i="10" s="1"/>
  <c r="AB349" i="10" s="1"/>
  <c r="AB348" i="10" s="1"/>
  <c r="AB347" i="10" s="1"/>
  <c r="AB346" i="10" s="1"/>
  <c r="AB345" i="10" s="1"/>
  <c r="AB344" i="10" s="1"/>
  <c r="AB343" i="10" s="1"/>
  <c r="AB342" i="10" s="1"/>
  <c r="AB341" i="10" s="1"/>
  <c r="AB340" i="10" s="1"/>
  <c r="AB339" i="10" s="1"/>
  <c r="AB338" i="10" s="1"/>
  <c r="AB337" i="10" s="1"/>
  <c r="AB336" i="10" s="1"/>
  <c r="AB335" i="10" s="1"/>
  <c r="AB334" i="10" s="1"/>
  <c r="AB333" i="10" s="1"/>
  <c r="AB332" i="10" s="1"/>
  <c r="AB331" i="10" s="1"/>
  <c r="AB330" i="10" s="1"/>
  <c r="AB329" i="10" s="1"/>
  <c r="AB328" i="10" s="1"/>
  <c r="AB327" i="10" s="1"/>
  <c r="AB326" i="10" s="1"/>
  <c r="AB325" i="10" s="1"/>
  <c r="AB324" i="10" s="1"/>
  <c r="AB323" i="10" s="1"/>
  <c r="AB322" i="10" s="1"/>
  <c r="AB321" i="10" s="1"/>
  <c r="AB320" i="10" s="1"/>
  <c r="AB319" i="10" s="1"/>
  <c r="AB318" i="10" s="1"/>
  <c r="AB317" i="10" s="1"/>
  <c r="AB316" i="10" s="1"/>
  <c r="AB315" i="10" s="1"/>
  <c r="AB314" i="10" s="1"/>
  <c r="AB313" i="10" s="1"/>
  <c r="AB312" i="10" s="1"/>
  <c r="AB311" i="10" s="1"/>
  <c r="AB310" i="10" s="1"/>
  <c r="AB309" i="10" s="1"/>
  <c r="AB308" i="10" s="1"/>
  <c r="AB307" i="10" s="1"/>
  <c r="AB306" i="10" s="1"/>
  <c r="AB305" i="10" s="1"/>
  <c r="AB304" i="10" s="1"/>
  <c r="AB303" i="10" s="1"/>
  <c r="AB302" i="10" s="1"/>
  <c r="AB301" i="10" s="1"/>
  <c r="AB300" i="10" s="1"/>
  <c r="AB299" i="10" s="1"/>
  <c r="AB298" i="10" s="1"/>
  <c r="AB297" i="10" s="1"/>
  <c r="AB296" i="10" s="1"/>
  <c r="AB295" i="10" s="1"/>
  <c r="AB294" i="10" s="1"/>
  <c r="AB293" i="10" s="1"/>
  <c r="AB292" i="10" s="1"/>
  <c r="AB291" i="10" s="1"/>
  <c r="AB290" i="10" s="1"/>
  <c r="AB289" i="10" s="1"/>
  <c r="AB288" i="10" s="1"/>
  <c r="AB287" i="10" s="1"/>
  <c r="AB286" i="10" s="1"/>
  <c r="AB285" i="10" s="1"/>
  <c r="AB284" i="10" s="1"/>
  <c r="AB283" i="10" s="1"/>
  <c r="AB282" i="10" s="1"/>
  <c r="AB281" i="10" s="1"/>
  <c r="AB280" i="10" s="1"/>
  <c r="AB279" i="10" s="1"/>
  <c r="AB278" i="10" s="1"/>
  <c r="AB277" i="10" s="1"/>
  <c r="AB276" i="10" s="1"/>
  <c r="AB275" i="10" s="1"/>
  <c r="AB274" i="10" s="1"/>
  <c r="AB273" i="10" s="1"/>
  <c r="AB272" i="10" s="1"/>
  <c r="AB271" i="10" s="1"/>
  <c r="AB270" i="10" s="1"/>
  <c r="AB269" i="10" s="1"/>
  <c r="AB268" i="10" s="1"/>
  <c r="AB267" i="10" s="1"/>
  <c r="AB266" i="10" s="1"/>
  <c r="AB265" i="10" s="1"/>
  <c r="AB264" i="10" s="1"/>
  <c r="AB263" i="10" s="1"/>
  <c r="AB262" i="10" s="1"/>
  <c r="AB261" i="10" s="1"/>
  <c r="AB260" i="10" s="1"/>
  <c r="AB259" i="10" s="1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B23" i="10" s="1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AB6" i="10" s="1"/>
  <c r="AB5" i="10" s="1"/>
  <c r="AB4" i="10" s="1"/>
  <c r="AB3" i="10" s="1"/>
  <c r="H207" i="14" l="1"/>
  <c r="H212" i="14" s="1"/>
  <c r="H19" i="14"/>
  <c r="H23" i="14" s="1"/>
  <c r="X19" i="20"/>
  <c r="X18" i="20"/>
  <c r="B179" i="14"/>
  <c r="H167" i="14" s="1"/>
  <c r="I166" i="14"/>
  <c r="I171" i="14" s="1"/>
  <c r="I227" i="14"/>
  <c r="I232" i="14" s="1"/>
  <c r="I287" i="14"/>
  <c r="I292" i="14" s="1"/>
  <c r="C116" i="14"/>
  <c r="I267" i="14"/>
  <c r="I272" i="14" s="1"/>
  <c r="C141" i="14"/>
  <c r="H187" i="14"/>
  <c r="H192" i="14" s="1"/>
  <c r="B116" i="14"/>
  <c r="H80" i="14"/>
  <c r="H84" i="14" s="1"/>
  <c r="H267" i="14"/>
  <c r="H272" i="14" s="1"/>
  <c r="I207" i="8"/>
  <c r="I212" i="8" s="1"/>
  <c r="I80" i="8"/>
  <c r="I84" i="8" s="1"/>
  <c r="H62" i="8"/>
  <c r="H66" i="8" s="1"/>
  <c r="B116" i="8"/>
  <c r="I166" i="8"/>
  <c r="I171" i="8" s="1"/>
  <c r="H267" i="8"/>
  <c r="H272" i="8" s="1"/>
  <c r="H287" i="8"/>
  <c r="H292" i="8" s="1"/>
  <c r="O141" i="11"/>
  <c r="O140" i="11" s="1"/>
  <c r="I127" i="11" s="1"/>
  <c r="O113" i="11"/>
  <c r="O114" i="11" s="1"/>
  <c r="I101" i="11" s="1"/>
  <c r="O179" i="11"/>
  <c r="O180" i="11" s="1"/>
  <c r="I169" i="11" s="1"/>
  <c r="H228" i="11"/>
  <c r="H227" i="11" s="1"/>
  <c r="H232" i="11" s="1"/>
  <c r="N112" i="11"/>
  <c r="N116" i="11" s="1"/>
  <c r="N115" i="11" s="1"/>
  <c r="H102" i="11" s="1"/>
  <c r="B116" i="11"/>
  <c r="N137" i="11"/>
  <c r="N141" i="11" s="1"/>
  <c r="N140" i="11" s="1"/>
  <c r="H127" i="11" s="1"/>
  <c r="B141" i="11"/>
  <c r="O51" i="11"/>
  <c r="O55" i="11" s="1"/>
  <c r="C55" i="11"/>
  <c r="H63" i="11"/>
  <c r="H62" i="11" s="1"/>
  <c r="H66" i="11" s="1"/>
  <c r="N51" i="11"/>
  <c r="N52" i="11" s="1"/>
  <c r="N53" i="11" s="1"/>
  <c r="H40" i="11" s="1"/>
  <c r="B55" i="11"/>
  <c r="H38" i="11" s="1"/>
  <c r="H37" i="11" s="1"/>
  <c r="H42" i="11" s="1"/>
  <c r="N52" i="14"/>
  <c r="N53" i="14" s="1"/>
  <c r="H40" i="14" s="1"/>
  <c r="N141" i="14"/>
  <c r="N140" i="14" s="1"/>
  <c r="H127" i="14" s="1"/>
  <c r="I247" i="14"/>
  <c r="I252" i="14" s="1"/>
  <c r="H228" i="14"/>
  <c r="N112" i="14"/>
  <c r="N116" i="14" s="1"/>
  <c r="H63" i="14"/>
  <c r="N178" i="14"/>
  <c r="N182" i="14" s="1"/>
  <c r="N181" i="14" s="1"/>
  <c r="H170" i="14" s="1"/>
  <c r="O51" i="14"/>
  <c r="O52" i="14" s="1"/>
  <c r="O53" i="14" s="1"/>
  <c r="I40" i="14" s="1"/>
  <c r="C55" i="14"/>
  <c r="I38" i="14" s="1"/>
  <c r="I63" i="14"/>
  <c r="N54" i="14"/>
  <c r="H41" i="14" s="1"/>
  <c r="O137" i="14"/>
  <c r="O141" i="14" s="1"/>
  <c r="O182" i="14"/>
  <c r="O181" i="14" s="1"/>
  <c r="I170" i="14" s="1"/>
  <c r="O112" i="14"/>
  <c r="O116" i="14" s="1"/>
  <c r="O115" i="14" s="1"/>
  <c r="I102" i="14" s="1"/>
  <c r="H247" i="8"/>
  <c r="H252" i="8" s="1"/>
  <c r="H167" i="8"/>
  <c r="I227" i="8"/>
  <c r="I232" i="8" s="1"/>
  <c r="N182" i="8"/>
  <c r="N181" i="8" s="1"/>
  <c r="H170" i="8" s="1"/>
  <c r="H228" i="8"/>
  <c r="O138" i="8"/>
  <c r="O139" i="8" s="1"/>
  <c r="I126" i="8" s="1"/>
  <c r="O116" i="8"/>
  <c r="O115" i="8" s="1"/>
  <c r="I102" i="8" s="1"/>
  <c r="N138" i="8"/>
  <c r="N139" i="8" s="1"/>
  <c r="H126" i="8" s="1"/>
  <c r="N112" i="8"/>
  <c r="N116" i="8" s="1"/>
  <c r="N115" i="8" s="1"/>
  <c r="H102" i="8" s="1"/>
  <c r="I63" i="8"/>
  <c r="H124" i="8"/>
  <c r="O51" i="8"/>
  <c r="O55" i="8" s="1"/>
  <c r="C55" i="8"/>
  <c r="N51" i="8"/>
  <c r="N55" i="8" s="1"/>
  <c r="N54" i="8" s="1"/>
  <c r="H41" i="8" s="1"/>
  <c r="B55" i="8"/>
  <c r="L99" i="14"/>
  <c r="L100" i="14" s="1"/>
  <c r="L126" i="8"/>
  <c r="L38" i="8"/>
  <c r="L124" i="11"/>
  <c r="L126" i="11" s="1"/>
  <c r="L99" i="8"/>
  <c r="L101" i="8" s="1"/>
  <c r="L124" i="14"/>
  <c r="L125" i="14" s="1"/>
  <c r="H124" i="14" s="1"/>
  <c r="L40" i="11"/>
  <c r="L39" i="14"/>
  <c r="L99" i="11"/>
  <c r="L101" i="11" s="1"/>
  <c r="L230" i="11"/>
  <c r="L65" i="11"/>
  <c r="AG362" i="16"/>
  <c r="AG361" i="16" s="1"/>
  <c r="AG360" i="16" s="1"/>
  <c r="AG359" i="16" s="1"/>
  <c r="AG358" i="16" s="1"/>
  <c r="AG357" i="16" s="1"/>
  <c r="AG356" i="16" s="1"/>
  <c r="AG355" i="16" s="1"/>
  <c r="AG354" i="16" s="1"/>
  <c r="AG353" i="16" s="1"/>
  <c r="AG352" i="16" s="1"/>
  <c r="AG351" i="16" s="1"/>
  <c r="AG350" i="16" s="1"/>
  <c r="AG349" i="16" s="1"/>
  <c r="AG348" i="16" s="1"/>
  <c r="AG347" i="16" s="1"/>
  <c r="AG346" i="16" s="1"/>
  <c r="AG345" i="16" s="1"/>
  <c r="AG344" i="16" s="1"/>
  <c r="AG343" i="16" s="1"/>
  <c r="AG342" i="16" s="1"/>
  <c r="AG341" i="16" s="1"/>
  <c r="AG340" i="16" s="1"/>
  <c r="AG339" i="16" s="1"/>
  <c r="AG338" i="16" s="1"/>
  <c r="AG337" i="16" s="1"/>
  <c r="AG336" i="16" s="1"/>
  <c r="AG335" i="16" s="1"/>
  <c r="AG334" i="16" s="1"/>
  <c r="AG333" i="16" s="1"/>
  <c r="AG332" i="16" s="1"/>
  <c r="AG331" i="16" s="1"/>
  <c r="AG330" i="16" s="1"/>
  <c r="AG329" i="16" s="1"/>
  <c r="AG328" i="16" s="1"/>
  <c r="AG327" i="16" s="1"/>
  <c r="AG326" i="16" s="1"/>
  <c r="AG325" i="16" s="1"/>
  <c r="AG324" i="16" s="1"/>
  <c r="AG323" i="16" s="1"/>
  <c r="AG322" i="16" s="1"/>
  <c r="AG321" i="16" s="1"/>
  <c r="AG320" i="16" s="1"/>
  <c r="AG319" i="16" s="1"/>
  <c r="AG318" i="16" s="1"/>
  <c r="AG317" i="16" s="1"/>
  <c r="AG316" i="16" s="1"/>
  <c r="AG315" i="16" s="1"/>
  <c r="AG314" i="16" s="1"/>
  <c r="AG313" i="16" s="1"/>
  <c r="AG312" i="16" s="1"/>
  <c r="AG311" i="16" s="1"/>
  <c r="AG310" i="16" s="1"/>
  <c r="AG309" i="16" s="1"/>
  <c r="AG308" i="16" s="1"/>
  <c r="AG307" i="16" s="1"/>
  <c r="AG306" i="16" s="1"/>
  <c r="AG305" i="16" s="1"/>
  <c r="AG304" i="16" s="1"/>
  <c r="AG303" i="16" s="1"/>
  <c r="AG302" i="16" s="1"/>
  <c r="AG301" i="16" s="1"/>
  <c r="AG300" i="16" s="1"/>
  <c r="AG299" i="16" s="1"/>
  <c r="AG298" i="16" s="1"/>
  <c r="AG297" i="16" s="1"/>
  <c r="AG296" i="16" s="1"/>
  <c r="AG295" i="16" s="1"/>
  <c r="AG294" i="16" s="1"/>
  <c r="AG293" i="16" s="1"/>
  <c r="AG292" i="16" s="1"/>
  <c r="AG291" i="16" s="1"/>
  <c r="AG290" i="16" s="1"/>
  <c r="AG289" i="16" s="1"/>
  <c r="AG288" i="16" s="1"/>
  <c r="AG287" i="16" s="1"/>
  <c r="AG286" i="16" s="1"/>
  <c r="AG285" i="16" s="1"/>
  <c r="AG284" i="16" s="1"/>
  <c r="AG283" i="16" s="1"/>
  <c r="AG282" i="16" s="1"/>
  <c r="AG281" i="16" s="1"/>
  <c r="AG280" i="16" s="1"/>
  <c r="AG279" i="16" s="1"/>
  <c r="AG278" i="16" s="1"/>
  <c r="AG277" i="16" s="1"/>
  <c r="AG276" i="16" s="1"/>
  <c r="AG275" i="16" s="1"/>
  <c r="AG274" i="16" s="1"/>
  <c r="AG273" i="16" s="1"/>
  <c r="AG272" i="16" s="1"/>
  <c r="AG271" i="16" s="1"/>
  <c r="AG270" i="16" s="1"/>
  <c r="AG269" i="16" s="1"/>
  <c r="AG268" i="16" s="1"/>
  <c r="AG267" i="16" s="1"/>
  <c r="AG266" i="16" s="1"/>
  <c r="AG265" i="16" s="1"/>
  <c r="AG264" i="16" s="1"/>
  <c r="AG263" i="16" s="1"/>
  <c r="AG262" i="16" s="1"/>
  <c r="AG261" i="16" s="1"/>
  <c r="AG260" i="16" s="1"/>
  <c r="AG259" i="16" s="1"/>
  <c r="AG258" i="16" s="1"/>
  <c r="AG257" i="16" s="1"/>
  <c r="AG256" i="16" s="1"/>
  <c r="AG255" i="16" s="1"/>
  <c r="AG254" i="16" s="1"/>
  <c r="AG253" i="16" s="1"/>
  <c r="AG252" i="16" s="1"/>
  <c r="AG251" i="16" s="1"/>
  <c r="AG250" i="16" s="1"/>
  <c r="AG249" i="16" s="1"/>
  <c r="AG248" i="16" s="1"/>
  <c r="AG247" i="16" s="1"/>
  <c r="AG246" i="16" s="1"/>
  <c r="AG245" i="16" s="1"/>
  <c r="AG244" i="16" s="1"/>
  <c r="AG243" i="16" s="1"/>
  <c r="AG242" i="16" s="1"/>
  <c r="AG241" i="16" s="1"/>
  <c r="AG240" i="16" s="1"/>
  <c r="AG239" i="16" s="1"/>
  <c r="AG238" i="16" s="1"/>
  <c r="AG237" i="16" s="1"/>
  <c r="AG236" i="16" s="1"/>
  <c r="AG235" i="16" s="1"/>
  <c r="AG234" i="16" s="1"/>
  <c r="AG233" i="16" s="1"/>
  <c r="AG232" i="16" s="1"/>
  <c r="AG231" i="16" s="1"/>
  <c r="AG230" i="16" s="1"/>
  <c r="AG229" i="16" s="1"/>
  <c r="AG228" i="16" s="1"/>
  <c r="AG227" i="16" s="1"/>
  <c r="AG226" i="16" s="1"/>
  <c r="AG225" i="16" s="1"/>
  <c r="AG224" i="16" s="1"/>
  <c r="AG223" i="16" s="1"/>
  <c r="AG222" i="16" s="1"/>
  <c r="AG221" i="16" s="1"/>
  <c r="AG220" i="16" s="1"/>
  <c r="AG219" i="16" s="1"/>
  <c r="AG218" i="16" s="1"/>
  <c r="AG217" i="16" s="1"/>
  <c r="AG216" i="16" s="1"/>
  <c r="AG215" i="16" s="1"/>
  <c r="AG214" i="16" s="1"/>
  <c r="AG213" i="16" s="1"/>
  <c r="AG212" i="16" s="1"/>
  <c r="AG211" i="16" s="1"/>
  <c r="AG210" i="16" s="1"/>
  <c r="AG209" i="16" s="1"/>
  <c r="AG208" i="16" s="1"/>
  <c r="AG207" i="16" s="1"/>
  <c r="AG206" i="16" s="1"/>
  <c r="AG205" i="16" s="1"/>
  <c r="AG204" i="16" s="1"/>
  <c r="AG203" i="16" s="1"/>
  <c r="AG202" i="16" s="1"/>
  <c r="AG201" i="16" s="1"/>
  <c r="AG200" i="16" s="1"/>
  <c r="AG199" i="16" s="1"/>
  <c r="AG198" i="16" s="1"/>
  <c r="AG197" i="16" s="1"/>
  <c r="AG196" i="16" s="1"/>
  <c r="AG195" i="16" s="1"/>
  <c r="AG194" i="16" s="1"/>
  <c r="AG193" i="16" s="1"/>
  <c r="AG192" i="16" s="1"/>
  <c r="AG191" i="16" s="1"/>
  <c r="AG190" i="16" s="1"/>
  <c r="AG189" i="16" s="1"/>
  <c r="AG188" i="16" s="1"/>
  <c r="AG187" i="16" s="1"/>
  <c r="AG186" i="16" s="1"/>
  <c r="AG185" i="16" s="1"/>
  <c r="AG184" i="16" s="1"/>
  <c r="AG183" i="16" s="1"/>
  <c r="AG182" i="16" s="1"/>
  <c r="AG181" i="16" s="1"/>
  <c r="AG180" i="16" s="1"/>
  <c r="AG179" i="16" s="1"/>
  <c r="AG178" i="16" s="1"/>
  <c r="AG177" i="16" s="1"/>
  <c r="AG176" i="16" s="1"/>
  <c r="AG175" i="16" s="1"/>
  <c r="AG174" i="16" s="1"/>
  <c r="AG173" i="16" s="1"/>
  <c r="AG172" i="16" s="1"/>
  <c r="AG171" i="16" s="1"/>
  <c r="AG170" i="16" s="1"/>
  <c r="AG169" i="16" s="1"/>
  <c r="AG168" i="16" s="1"/>
  <c r="AG167" i="16" s="1"/>
  <c r="AG166" i="16" s="1"/>
  <c r="AG165" i="16" s="1"/>
  <c r="AG164" i="16" s="1"/>
  <c r="AG163" i="16" s="1"/>
  <c r="AG162" i="16" s="1"/>
  <c r="AG161" i="16" s="1"/>
  <c r="AG160" i="16" s="1"/>
  <c r="AG159" i="16" s="1"/>
  <c r="AG158" i="16" s="1"/>
  <c r="AG157" i="16" s="1"/>
  <c r="AG156" i="16" s="1"/>
  <c r="AG155" i="16" s="1"/>
  <c r="AG154" i="16" s="1"/>
  <c r="AG153" i="16" s="1"/>
  <c r="AG152" i="16" s="1"/>
  <c r="AG151" i="16" s="1"/>
  <c r="AG150" i="16" s="1"/>
  <c r="AG149" i="16" s="1"/>
  <c r="AG148" i="16" s="1"/>
  <c r="AG147" i="16" s="1"/>
  <c r="AG146" i="16" s="1"/>
  <c r="AG145" i="16" s="1"/>
  <c r="AG144" i="16" s="1"/>
  <c r="AG143" i="16" s="1"/>
  <c r="AG142" i="16" s="1"/>
  <c r="AG141" i="16" s="1"/>
  <c r="AG140" i="16" s="1"/>
  <c r="AG139" i="16" s="1"/>
  <c r="AG138" i="16" s="1"/>
  <c r="AG137" i="16" s="1"/>
  <c r="AG136" i="16" s="1"/>
  <c r="AG135" i="16" s="1"/>
  <c r="AG134" i="16" s="1"/>
  <c r="AG133" i="16" s="1"/>
  <c r="AG132" i="16" s="1"/>
  <c r="AG131" i="16" s="1"/>
  <c r="AG130" i="16" s="1"/>
  <c r="AG129" i="16" s="1"/>
  <c r="AG128" i="16" s="1"/>
  <c r="AG127" i="16" s="1"/>
  <c r="AG126" i="16" s="1"/>
  <c r="AG125" i="16" s="1"/>
  <c r="AG124" i="16" s="1"/>
  <c r="AG123" i="16" s="1"/>
  <c r="AG122" i="16" s="1"/>
  <c r="AG121" i="16" s="1"/>
  <c r="AG120" i="16" s="1"/>
  <c r="AG119" i="16" s="1"/>
  <c r="AG118" i="16" s="1"/>
  <c r="AG117" i="16" s="1"/>
  <c r="AG116" i="16" s="1"/>
  <c r="AG115" i="16" s="1"/>
  <c r="AG114" i="16" s="1"/>
  <c r="AG113" i="16" s="1"/>
  <c r="AG112" i="16" s="1"/>
  <c r="AG111" i="16" s="1"/>
  <c r="AG110" i="16" s="1"/>
  <c r="AG109" i="16" s="1"/>
  <c r="AG108" i="16" s="1"/>
  <c r="AG107" i="16" s="1"/>
  <c r="AG106" i="16" s="1"/>
  <c r="AG105" i="16" s="1"/>
  <c r="AG104" i="16" s="1"/>
  <c r="AG103" i="16" s="1"/>
  <c r="AG102" i="16" s="1"/>
  <c r="AG101" i="16" s="1"/>
  <c r="AG100" i="16" s="1"/>
  <c r="AG99" i="16" s="1"/>
  <c r="AG98" i="16" s="1"/>
  <c r="AG97" i="16" s="1"/>
  <c r="AG96" i="16" s="1"/>
  <c r="AG95" i="16" s="1"/>
  <c r="AG94" i="16" s="1"/>
  <c r="AG93" i="16" s="1"/>
  <c r="AG92" i="16" s="1"/>
  <c r="AG91" i="16" s="1"/>
  <c r="AG90" i="16" s="1"/>
  <c r="AG89" i="16" s="1"/>
  <c r="AG88" i="16" s="1"/>
  <c r="AG87" i="16" s="1"/>
  <c r="AG86" i="16" s="1"/>
  <c r="AG85" i="16" s="1"/>
  <c r="AG84" i="16" s="1"/>
  <c r="AG83" i="16" s="1"/>
  <c r="AG82" i="16" s="1"/>
  <c r="AG81" i="16" s="1"/>
  <c r="AG80" i="16" s="1"/>
  <c r="AG79" i="16" s="1"/>
  <c r="AG78" i="16" s="1"/>
  <c r="AG77" i="16" s="1"/>
  <c r="AG76" i="16" s="1"/>
  <c r="AG75" i="16" s="1"/>
  <c r="AG74" i="16" s="1"/>
  <c r="AG73" i="16" s="1"/>
  <c r="AG72" i="16" s="1"/>
  <c r="AG71" i="16" s="1"/>
  <c r="AG70" i="16" s="1"/>
  <c r="AG69" i="16" s="1"/>
  <c r="AG68" i="16" s="1"/>
  <c r="AG67" i="16" s="1"/>
  <c r="AG66" i="16" s="1"/>
  <c r="AG65" i="16" s="1"/>
  <c r="AG64" i="16" s="1"/>
  <c r="AG63" i="16" s="1"/>
  <c r="AG62" i="16" s="1"/>
  <c r="AG61" i="16" s="1"/>
  <c r="AG60" i="16" s="1"/>
  <c r="AG59" i="16" s="1"/>
  <c r="AG58" i="16" s="1"/>
  <c r="AG57" i="16" s="1"/>
  <c r="AG56" i="16" s="1"/>
  <c r="AG55" i="16" s="1"/>
  <c r="AG54" i="16" s="1"/>
  <c r="AG53" i="16" s="1"/>
  <c r="AG52" i="16" s="1"/>
  <c r="AG51" i="16" s="1"/>
  <c r="AG50" i="16" s="1"/>
  <c r="AG49" i="16" s="1"/>
  <c r="AG48" i="16" s="1"/>
  <c r="AG47" i="16" s="1"/>
  <c r="AG46" i="16" s="1"/>
  <c r="AG45" i="16" s="1"/>
  <c r="AG44" i="16" s="1"/>
  <c r="AG43" i="16" s="1"/>
  <c r="AG42" i="16" s="1"/>
  <c r="AG41" i="16" s="1"/>
  <c r="AG40" i="16" s="1"/>
  <c r="AG39" i="16" s="1"/>
  <c r="AG38" i="16" s="1"/>
  <c r="AG37" i="16" s="1"/>
  <c r="AG36" i="16" s="1"/>
  <c r="AG35" i="16" s="1"/>
  <c r="AG34" i="16" s="1"/>
  <c r="AG33" i="16" s="1"/>
  <c r="AG32" i="16" s="1"/>
  <c r="AG31" i="16" s="1"/>
  <c r="AG30" i="16" s="1"/>
  <c r="AG29" i="16" s="1"/>
  <c r="AG28" i="16" s="1"/>
  <c r="AG27" i="16" s="1"/>
  <c r="AG26" i="16" s="1"/>
  <c r="AG25" i="16" s="1"/>
  <c r="AG24" i="16" s="1"/>
  <c r="AG23" i="16" s="1"/>
  <c r="AG22" i="16" s="1"/>
  <c r="AG21" i="16" s="1"/>
  <c r="AG20" i="16" s="1"/>
  <c r="AG19" i="16" s="1"/>
  <c r="AG18" i="16" s="1"/>
  <c r="AG17" i="16" s="1"/>
  <c r="AG16" i="16" s="1"/>
  <c r="AG15" i="16" s="1"/>
  <c r="AG14" i="16" s="1"/>
  <c r="AG13" i="16" s="1"/>
  <c r="AG12" i="16" s="1"/>
  <c r="AG11" i="16" s="1"/>
  <c r="AG10" i="16" s="1"/>
  <c r="AG9" i="16" s="1"/>
  <c r="AG8" i="16" s="1"/>
  <c r="AG7" i="16" s="1"/>
  <c r="AG6" i="16" s="1"/>
  <c r="AG5" i="16" s="1"/>
  <c r="AG4" i="16" s="1"/>
  <c r="AG3" i="16" s="1"/>
  <c r="AJ363" i="16"/>
  <c r="AJ362" i="16" s="1"/>
  <c r="AJ361" i="16" s="1"/>
  <c r="AJ360" i="16" s="1"/>
  <c r="AJ359" i="16" s="1"/>
  <c r="AJ358" i="16" s="1"/>
  <c r="AJ357" i="16" s="1"/>
  <c r="AJ356" i="16" s="1"/>
  <c r="AJ355" i="16" s="1"/>
  <c r="AJ354" i="16" s="1"/>
  <c r="AJ353" i="16" s="1"/>
  <c r="AJ352" i="16" s="1"/>
  <c r="AJ351" i="16" s="1"/>
  <c r="AJ350" i="16" s="1"/>
  <c r="AJ349" i="16" s="1"/>
  <c r="AJ348" i="16" s="1"/>
  <c r="AJ347" i="16" s="1"/>
  <c r="AJ346" i="16" s="1"/>
  <c r="AJ345" i="16" s="1"/>
  <c r="AJ344" i="16" s="1"/>
  <c r="AJ343" i="16" s="1"/>
  <c r="AJ342" i="16" s="1"/>
  <c r="AJ341" i="16" s="1"/>
  <c r="AJ340" i="16" s="1"/>
  <c r="AJ339" i="16" s="1"/>
  <c r="AJ338" i="16" s="1"/>
  <c r="AJ337" i="16" s="1"/>
  <c r="AJ336" i="16" s="1"/>
  <c r="AJ335" i="16" s="1"/>
  <c r="AJ334" i="16" s="1"/>
  <c r="AJ333" i="16" s="1"/>
  <c r="AJ332" i="16" s="1"/>
  <c r="AJ331" i="16" s="1"/>
  <c r="AJ330" i="16" s="1"/>
  <c r="AJ329" i="16" s="1"/>
  <c r="AJ328" i="16" s="1"/>
  <c r="AJ327" i="16" s="1"/>
  <c r="AJ326" i="16" s="1"/>
  <c r="AJ325" i="16" s="1"/>
  <c r="AJ324" i="16" s="1"/>
  <c r="AJ323" i="16" s="1"/>
  <c r="AJ322" i="16" s="1"/>
  <c r="AJ321" i="16" s="1"/>
  <c r="AJ320" i="16" s="1"/>
  <c r="AJ319" i="16" s="1"/>
  <c r="AJ318" i="16" s="1"/>
  <c r="AJ317" i="16" s="1"/>
  <c r="AJ316" i="16" s="1"/>
  <c r="AJ315" i="16" s="1"/>
  <c r="AJ314" i="16" s="1"/>
  <c r="AJ313" i="16" s="1"/>
  <c r="AJ312" i="16" s="1"/>
  <c r="AJ311" i="16" s="1"/>
  <c r="AJ310" i="16" s="1"/>
  <c r="AJ309" i="16" s="1"/>
  <c r="AJ308" i="16" s="1"/>
  <c r="AJ307" i="16" s="1"/>
  <c r="AJ306" i="16" s="1"/>
  <c r="AJ305" i="16" s="1"/>
  <c r="AJ304" i="16" s="1"/>
  <c r="AJ303" i="16" s="1"/>
  <c r="AJ302" i="16" s="1"/>
  <c r="AJ301" i="16" s="1"/>
  <c r="AJ300" i="16" s="1"/>
  <c r="AJ299" i="16" s="1"/>
  <c r="AJ298" i="16" s="1"/>
  <c r="AJ297" i="16" s="1"/>
  <c r="AJ296" i="16" s="1"/>
  <c r="AJ295" i="16" s="1"/>
  <c r="AJ294" i="16" s="1"/>
  <c r="AJ293" i="16" s="1"/>
  <c r="AJ292" i="16" s="1"/>
  <c r="AJ291" i="16" s="1"/>
  <c r="AJ290" i="16" s="1"/>
  <c r="AJ289" i="16" s="1"/>
  <c r="AJ288" i="16" s="1"/>
  <c r="AJ287" i="16" s="1"/>
  <c r="AJ286" i="16" s="1"/>
  <c r="AJ285" i="16" s="1"/>
  <c r="AJ284" i="16" s="1"/>
  <c r="AJ283" i="16" s="1"/>
  <c r="AJ282" i="16" s="1"/>
  <c r="AJ281" i="16" s="1"/>
  <c r="AJ280" i="16" s="1"/>
  <c r="AJ279" i="16" s="1"/>
  <c r="AJ278" i="16" s="1"/>
  <c r="AJ277" i="16" s="1"/>
  <c r="AJ276" i="16" s="1"/>
  <c r="AJ275" i="16" s="1"/>
  <c r="AJ274" i="16" s="1"/>
  <c r="AJ273" i="16" s="1"/>
  <c r="AJ272" i="16" s="1"/>
  <c r="AJ271" i="16" s="1"/>
  <c r="AJ270" i="16" s="1"/>
  <c r="AJ269" i="16" s="1"/>
  <c r="AJ268" i="16" s="1"/>
  <c r="AJ267" i="16" s="1"/>
  <c r="AJ266" i="16" s="1"/>
  <c r="AJ265" i="16" s="1"/>
  <c r="AJ264" i="16" s="1"/>
  <c r="AJ263" i="16" s="1"/>
  <c r="AJ262" i="16" s="1"/>
  <c r="AJ261" i="16" s="1"/>
  <c r="AJ260" i="16" s="1"/>
  <c r="AJ259" i="16" s="1"/>
  <c r="AJ258" i="16" s="1"/>
  <c r="AJ257" i="16" s="1"/>
  <c r="AJ256" i="16" s="1"/>
  <c r="AJ255" i="16" s="1"/>
  <c r="AJ254" i="16" s="1"/>
  <c r="AJ253" i="16" s="1"/>
  <c r="AJ252" i="16" s="1"/>
  <c r="AJ251" i="16" s="1"/>
  <c r="AJ250" i="16" s="1"/>
  <c r="AJ249" i="16" s="1"/>
  <c r="AJ248" i="16" s="1"/>
  <c r="AJ247" i="16" s="1"/>
  <c r="AJ246" i="16" s="1"/>
  <c r="AJ245" i="16" s="1"/>
  <c r="AJ244" i="16" s="1"/>
  <c r="AJ243" i="16" s="1"/>
  <c r="AJ242" i="16" s="1"/>
  <c r="AJ241" i="16" s="1"/>
  <c r="AJ240" i="16" s="1"/>
  <c r="AJ239" i="16" s="1"/>
  <c r="AJ238" i="16" s="1"/>
  <c r="AJ237" i="16" s="1"/>
  <c r="AJ236" i="16" s="1"/>
  <c r="AJ235" i="16" s="1"/>
  <c r="AJ234" i="16" s="1"/>
  <c r="AJ233" i="16" s="1"/>
  <c r="AJ232" i="16" s="1"/>
  <c r="AJ231" i="16" s="1"/>
  <c r="AJ230" i="16" s="1"/>
  <c r="AJ229" i="16" s="1"/>
  <c r="AJ228" i="16" s="1"/>
  <c r="AJ227" i="16" s="1"/>
  <c r="AJ226" i="16" s="1"/>
  <c r="AJ225" i="16" s="1"/>
  <c r="AJ224" i="16" s="1"/>
  <c r="AJ223" i="16" s="1"/>
  <c r="AJ222" i="16" s="1"/>
  <c r="AJ221" i="16" s="1"/>
  <c r="AJ220" i="16" s="1"/>
  <c r="AJ219" i="16" s="1"/>
  <c r="AJ218" i="16" s="1"/>
  <c r="AJ217" i="16" s="1"/>
  <c r="AJ216" i="16" s="1"/>
  <c r="AJ215" i="16" s="1"/>
  <c r="AJ214" i="16" s="1"/>
  <c r="AJ213" i="16" s="1"/>
  <c r="AJ212" i="16" s="1"/>
  <c r="AJ211" i="16" s="1"/>
  <c r="AJ210" i="16" s="1"/>
  <c r="AJ209" i="16" s="1"/>
  <c r="AJ208" i="16" s="1"/>
  <c r="AJ207" i="16" s="1"/>
  <c r="AJ206" i="16" s="1"/>
  <c r="AJ205" i="16" s="1"/>
  <c r="AJ204" i="16" s="1"/>
  <c r="AJ203" i="16" s="1"/>
  <c r="AJ202" i="16" s="1"/>
  <c r="AJ201" i="16" s="1"/>
  <c r="AJ200" i="16" s="1"/>
  <c r="AJ199" i="16" s="1"/>
  <c r="AJ198" i="16" s="1"/>
  <c r="AJ197" i="16" s="1"/>
  <c r="AJ196" i="16" s="1"/>
  <c r="AJ195" i="16" s="1"/>
  <c r="AJ194" i="16" s="1"/>
  <c r="AJ193" i="16" s="1"/>
  <c r="AJ192" i="16" s="1"/>
  <c r="AJ191" i="16" s="1"/>
  <c r="AJ190" i="16" s="1"/>
  <c r="AJ189" i="16" s="1"/>
  <c r="AJ188" i="16" s="1"/>
  <c r="AJ187" i="16" s="1"/>
  <c r="AJ186" i="16" s="1"/>
  <c r="AJ185" i="16" s="1"/>
  <c r="AJ184" i="16" s="1"/>
  <c r="AJ183" i="16" s="1"/>
  <c r="AJ182" i="16" s="1"/>
  <c r="AJ181" i="16" s="1"/>
  <c r="AJ180" i="16" s="1"/>
  <c r="AJ179" i="16" s="1"/>
  <c r="AJ178" i="16" s="1"/>
  <c r="AJ177" i="16" s="1"/>
  <c r="AJ176" i="16" s="1"/>
  <c r="AJ175" i="16" s="1"/>
  <c r="AJ174" i="16" s="1"/>
  <c r="AJ173" i="16" s="1"/>
  <c r="AJ172" i="16" s="1"/>
  <c r="AJ171" i="16" s="1"/>
  <c r="AJ170" i="16" s="1"/>
  <c r="AJ169" i="16" s="1"/>
  <c r="AJ168" i="16" s="1"/>
  <c r="AJ167" i="16" s="1"/>
  <c r="AJ166" i="16" s="1"/>
  <c r="AJ165" i="16" s="1"/>
  <c r="AJ164" i="16" s="1"/>
  <c r="AJ163" i="16" s="1"/>
  <c r="AJ162" i="16" s="1"/>
  <c r="AJ161" i="16" s="1"/>
  <c r="AJ160" i="16" s="1"/>
  <c r="AJ159" i="16" s="1"/>
  <c r="AJ158" i="16" s="1"/>
  <c r="AJ157" i="16" s="1"/>
  <c r="AJ156" i="16" s="1"/>
  <c r="AJ155" i="16" s="1"/>
  <c r="AJ154" i="16" s="1"/>
  <c r="AJ153" i="16" s="1"/>
  <c r="AJ152" i="16" s="1"/>
  <c r="AJ151" i="16" s="1"/>
  <c r="AJ150" i="16" s="1"/>
  <c r="AJ149" i="16" s="1"/>
  <c r="AJ148" i="16" s="1"/>
  <c r="AJ147" i="16" s="1"/>
  <c r="AJ146" i="16" s="1"/>
  <c r="AJ145" i="16" s="1"/>
  <c r="AJ144" i="16" s="1"/>
  <c r="AJ143" i="16" s="1"/>
  <c r="AJ142" i="16" s="1"/>
  <c r="AJ141" i="16" s="1"/>
  <c r="AJ140" i="16" s="1"/>
  <c r="AJ139" i="16" s="1"/>
  <c r="AJ138" i="16" s="1"/>
  <c r="AJ137" i="16" s="1"/>
  <c r="AJ136" i="16" s="1"/>
  <c r="AJ135" i="16" s="1"/>
  <c r="AJ134" i="16" s="1"/>
  <c r="AJ133" i="16" s="1"/>
  <c r="AJ132" i="16" s="1"/>
  <c r="AJ131" i="16" s="1"/>
  <c r="AJ130" i="16" s="1"/>
  <c r="AJ129" i="16" s="1"/>
  <c r="AJ128" i="16" s="1"/>
  <c r="AJ127" i="16" s="1"/>
  <c r="AJ126" i="16" s="1"/>
  <c r="AJ125" i="16" s="1"/>
  <c r="AJ124" i="16" s="1"/>
  <c r="AJ123" i="16" s="1"/>
  <c r="AJ122" i="16" s="1"/>
  <c r="AJ121" i="16" s="1"/>
  <c r="AJ120" i="16" s="1"/>
  <c r="AJ119" i="16" s="1"/>
  <c r="AJ118" i="16" s="1"/>
  <c r="AJ117" i="16" s="1"/>
  <c r="AJ116" i="16" s="1"/>
  <c r="AJ115" i="16" s="1"/>
  <c r="AJ114" i="16" s="1"/>
  <c r="AJ113" i="16" s="1"/>
  <c r="AJ112" i="16" s="1"/>
  <c r="AJ111" i="16" s="1"/>
  <c r="AJ110" i="16" s="1"/>
  <c r="AJ109" i="16" s="1"/>
  <c r="AJ108" i="16" s="1"/>
  <c r="AJ107" i="16" s="1"/>
  <c r="AJ106" i="16" s="1"/>
  <c r="AJ105" i="16" s="1"/>
  <c r="AJ104" i="16" s="1"/>
  <c r="AJ103" i="16" s="1"/>
  <c r="AJ102" i="16" s="1"/>
  <c r="AJ101" i="16" s="1"/>
  <c r="AJ100" i="16" s="1"/>
  <c r="AJ99" i="16" s="1"/>
  <c r="AJ98" i="16" s="1"/>
  <c r="AJ97" i="16" s="1"/>
  <c r="AJ96" i="16" s="1"/>
  <c r="AJ95" i="16" s="1"/>
  <c r="AJ94" i="16" s="1"/>
  <c r="AJ93" i="16" s="1"/>
  <c r="AJ92" i="16" s="1"/>
  <c r="AJ91" i="16" s="1"/>
  <c r="AJ90" i="16" s="1"/>
  <c r="AJ89" i="16" s="1"/>
  <c r="AJ88" i="16" s="1"/>
  <c r="AJ87" i="16" s="1"/>
  <c r="AJ86" i="16" s="1"/>
  <c r="AJ85" i="16" s="1"/>
  <c r="AJ84" i="16" s="1"/>
  <c r="AJ83" i="16" s="1"/>
  <c r="AJ82" i="16" s="1"/>
  <c r="AJ81" i="16" s="1"/>
  <c r="AJ80" i="16" s="1"/>
  <c r="AJ79" i="16" s="1"/>
  <c r="AJ78" i="16" s="1"/>
  <c r="AJ77" i="16" s="1"/>
  <c r="AJ76" i="16" s="1"/>
  <c r="AJ75" i="16" s="1"/>
  <c r="AJ74" i="16" s="1"/>
  <c r="AJ73" i="16" s="1"/>
  <c r="AJ72" i="16" s="1"/>
  <c r="AJ71" i="16" s="1"/>
  <c r="AJ70" i="16" s="1"/>
  <c r="AJ69" i="16" s="1"/>
  <c r="AJ68" i="16" s="1"/>
  <c r="AJ67" i="16" s="1"/>
  <c r="AJ66" i="16" s="1"/>
  <c r="AJ65" i="16" s="1"/>
  <c r="AJ64" i="16" s="1"/>
  <c r="AJ63" i="16" s="1"/>
  <c r="AJ62" i="16" s="1"/>
  <c r="AJ61" i="16" s="1"/>
  <c r="AJ60" i="16" s="1"/>
  <c r="AJ59" i="16" s="1"/>
  <c r="AJ58" i="16" s="1"/>
  <c r="AJ57" i="16" s="1"/>
  <c r="AJ56" i="16" s="1"/>
  <c r="AJ55" i="16" s="1"/>
  <c r="AJ54" i="16" s="1"/>
  <c r="AJ53" i="16" s="1"/>
  <c r="AJ52" i="16" s="1"/>
  <c r="AJ51" i="16" s="1"/>
  <c r="AJ50" i="16" s="1"/>
  <c r="AJ49" i="16" s="1"/>
  <c r="AJ48" i="16" s="1"/>
  <c r="AJ47" i="16" s="1"/>
  <c r="AJ46" i="16" s="1"/>
  <c r="AJ45" i="16" s="1"/>
  <c r="AJ44" i="16" s="1"/>
  <c r="AJ43" i="16" s="1"/>
  <c r="AJ42" i="16" s="1"/>
  <c r="AJ41" i="16" s="1"/>
  <c r="AJ40" i="16" s="1"/>
  <c r="AJ39" i="16" s="1"/>
  <c r="AJ38" i="16" s="1"/>
  <c r="AJ37" i="16" s="1"/>
  <c r="AJ36" i="16" s="1"/>
  <c r="AJ35" i="16" s="1"/>
  <c r="AJ34" i="16" s="1"/>
  <c r="AJ33" i="16" s="1"/>
  <c r="AJ32" i="16" s="1"/>
  <c r="AJ31" i="16" s="1"/>
  <c r="AJ30" i="16" s="1"/>
  <c r="AJ29" i="16" s="1"/>
  <c r="AJ28" i="16" s="1"/>
  <c r="AJ27" i="16" s="1"/>
  <c r="AJ26" i="16" s="1"/>
  <c r="AJ25" i="16" s="1"/>
  <c r="AJ24" i="16" s="1"/>
  <c r="AJ23" i="16" s="1"/>
  <c r="AJ22" i="16" s="1"/>
  <c r="AJ21" i="16" s="1"/>
  <c r="AJ20" i="16" s="1"/>
  <c r="AJ19" i="16" s="1"/>
  <c r="AJ18" i="16" s="1"/>
  <c r="AJ17" i="16" s="1"/>
  <c r="AJ16" i="16" s="1"/>
  <c r="AJ15" i="16" s="1"/>
  <c r="AJ14" i="16" s="1"/>
  <c r="AJ13" i="16" s="1"/>
  <c r="AJ12" i="16" s="1"/>
  <c r="AJ11" i="16" s="1"/>
  <c r="AJ10" i="16" s="1"/>
  <c r="AJ9" i="16" s="1"/>
  <c r="AJ8" i="16" s="1"/>
  <c r="AJ7" i="16" s="1"/>
  <c r="AJ6" i="16" s="1"/>
  <c r="AJ5" i="16" s="1"/>
  <c r="AJ4" i="16" s="1"/>
  <c r="AJ3" i="16" s="1"/>
  <c r="AE362" i="16"/>
  <c r="AE361" i="16" s="1"/>
  <c r="AE360" i="16" s="1"/>
  <c r="AE359" i="16" s="1"/>
  <c r="AE358" i="16" s="1"/>
  <c r="AE357" i="16" s="1"/>
  <c r="AE356" i="16" s="1"/>
  <c r="AE355" i="16" s="1"/>
  <c r="AE354" i="16" s="1"/>
  <c r="AE353" i="16" s="1"/>
  <c r="AE352" i="16" s="1"/>
  <c r="AE351" i="16" s="1"/>
  <c r="AE350" i="16" s="1"/>
  <c r="AE349" i="16" s="1"/>
  <c r="AE348" i="16" s="1"/>
  <c r="AE347" i="16" s="1"/>
  <c r="AE346" i="16" s="1"/>
  <c r="AE345" i="16" s="1"/>
  <c r="AE344" i="16" s="1"/>
  <c r="AE343" i="16" s="1"/>
  <c r="AE342" i="16" s="1"/>
  <c r="AE341" i="16" s="1"/>
  <c r="AE340" i="16" s="1"/>
  <c r="AE339" i="16" s="1"/>
  <c r="AE338" i="16" s="1"/>
  <c r="AE337" i="16" s="1"/>
  <c r="AE336" i="16" s="1"/>
  <c r="AE335" i="16" s="1"/>
  <c r="AE334" i="16" s="1"/>
  <c r="AE333" i="16" s="1"/>
  <c r="AE332" i="16" s="1"/>
  <c r="AE331" i="16" s="1"/>
  <c r="AE330" i="16" s="1"/>
  <c r="AE329" i="16" s="1"/>
  <c r="AE328" i="16" s="1"/>
  <c r="AE327" i="16" s="1"/>
  <c r="AE326" i="16" s="1"/>
  <c r="AE325" i="16" s="1"/>
  <c r="AE324" i="16" s="1"/>
  <c r="AE323" i="16" s="1"/>
  <c r="AE322" i="16" s="1"/>
  <c r="AE321" i="16" s="1"/>
  <c r="AE320" i="16" s="1"/>
  <c r="AE319" i="16" s="1"/>
  <c r="AE318" i="16" s="1"/>
  <c r="AE317" i="16" s="1"/>
  <c r="AE316" i="16" s="1"/>
  <c r="AE315" i="16" s="1"/>
  <c r="AE314" i="16" s="1"/>
  <c r="AE313" i="16" s="1"/>
  <c r="AE312" i="16" s="1"/>
  <c r="AE311" i="16" s="1"/>
  <c r="AE310" i="16" s="1"/>
  <c r="AE309" i="16" s="1"/>
  <c r="AE308" i="16" s="1"/>
  <c r="AE307" i="16" s="1"/>
  <c r="AE306" i="16" s="1"/>
  <c r="AE305" i="16" s="1"/>
  <c r="AE304" i="16" s="1"/>
  <c r="AE303" i="16" s="1"/>
  <c r="AE302" i="16" s="1"/>
  <c r="AE301" i="16" s="1"/>
  <c r="AE300" i="16" s="1"/>
  <c r="AE299" i="16" s="1"/>
  <c r="AE298" i="16" s="1"/>
  <c r="AE297" i="16" s="1"/>
  <c r="AE296" i="16" s="1"/>
  <c r="AE295" i="16" s="1"/>
  <c r="AE294" i="16" s="1"/>
  <c r="AE293" i="16" s="1"/>
  <c r="AE292" i="16" s="1"/>
  <c r="AE291" i="16" s="1"/>
  <c r="AE290" i="16" s="1"/>
  <c r="AE289" i="16" s="1"/>
  <c r="AE288" i="16" s="1"/>
  <c r="AE287" i="16" s="1"/>
  <c r="AE286" i="16" s="1"/>
  <c r="AE285" i="16" s="1"/>
  <c r="AE284" i="16" s="1"/>
  <c r="AE283" i="16" s="1"/>
  <c r="AE282" i="16" s="1"/>
  <c r="AE281" i="16" s="1"/>
  <c r="AE280" i="16" s="1"/>
  <c r="AE279" i="16" s="1"/>
  <c r="AE278" i="16" s="1"/>
  <c r="AE277" i="16" s="1"/>
  <c r="AE276" i="16" s="1"/>
  <c r="AE275" i="16" s="1"/>
  <c r="AE274" i="16" s="1"/>
  <c r="AE273" i="16" s="1"/>
  <c r="AE272" i="16" s="1"/>
  <c r="AE271" i="16" s="1"/>
  <c r="AE270" i="16" s="1"/>
  <c r="AE269" i="16" s="1"/>
  <c r="AE268" i="16" s="1"/>
  <c r="AE267" i="16" s="1"/>
  <c r="AE266" i="16" s="1"/>
  <c r="AE265" i="16" s="1"/>
  <c r="AE264" i="16" s="1"/>
  <c r="AE263" i="16" s="1"/>
  <c r="AE262" i="16" s="1"/>
  <c r="AE261" i="16" s="1"/>
  <c r="AE260" i="16" s="1"/>
  <c r="AE259" i="16" s="1"/>
  <c r="AE258" i="16" s="1"/>
  <c r="AE257" i="16" s="1"/>
  <c r="AE256" i="16" s="1"/>
  <c r="AE255" i="16" s="1"/>
  <c r="AE254" i="16" s="1"/>
  <c r="AE253" i="16" s="1"/>
  <c r="AE252" i="16" s="1"/>
  <c r="AE251" i="16" s="1"/>
  <c r="AE250" i="16" s="1"/>
  <c r="AE249" i="16" s="1"/>
  <c r="AE248" i="16" s="1"/>
  <c r="AE247" i="16" s="1"/>
  <c r="AE246" i="16" s="1"/>
  <c r="AE245" i="16" s="1"/>
  <c r="AE244" i="16" s="1"/>
  <c r="AE243" i="16" s="1"/>
  <c r="AE242" i="16" s="1"/>
  <c r="AE241" i="16" s="1"/>
  <c r="AE240" i="16" s="1"/>
  <c r="AE239" i="16" s="1"/>
  <c r="AE238" i="16" s="1"/>
  <c r="AE237" i="16" s="1"/>
  <c r="AE236" i="16" s="1"/>
  <c r="AE235" i="16" s="1"/>
  <c r="AE234" i="16" s="1"/>
  <c r="AE233" i="16" s="1"/>
  <c r="AE232" i="16" s="1"/>
  <c r="AE231" i="16" s="1"/>
  <c r="AE230" i="16" s="1"/>
  <c r="AE229" i="16" s="1"/>
  <c r="AE228" i="16" s="1"/>
  <c r="AE227" i="16" s="1"/>
  <c r="AE226" i="16" s="1"/>
  <c r="AE225" i="16" s="1"/>
  <c r="AE224" i="16" s="1"/>
  <c r="AE223" i="16" s="1"/>
  <c r="AE222" i="16" s="1"/>
  <c r="AE221" i="16" s="1"/>
  <c r="AE220" i="16" s="1"/>
  <c r="AE219" i="16" s="1"/>
  <c r="AE218" i="16" s="1"/>
  <c r="AE217" i="16" s="1"/>
  <c r="AE216" i="16" s="1"/>
  <c r="AE215" i="16" s="1"/>
  <c r="AE214" i="16" s="1"/>
  <c r="AE213" i="16" s="1"/>
  <c r="AE212" i="16" s="1"/>
  <c r="AE211" i="16" s="1"/>
  <c r="AE210" i="16" s="1"/>
  <c r="AE209" i="16" s="1"/>
  <c r="AE208" i="16" s="1"/>
  <c r="AE207" i="16" s="1"/>
  <c r="AE206" i="16" s="1"/>
  <c r="AE205" i="16" s="1"/>
  <c r="AE204" i="16" s="1"/>
  <c r="AE203" i="16" s="1"/>
  <c r="AE202" i="16" s="1"/>
  <c r="AE201" i="16" s="1"/>
  <c r="AE200" i="16" s="1"/>
  <c r="AE199" i="16" s="1"/>
  <c r="AE198" i="16" s="1"/>
  <c r="AE197" i="16" s="1"/>
  <c r="AE196" i="16" s="1"/>
  <c r="AE195" i="16" s="1"/>
  <c r="AE194" i="16" s="1"/>
  <c r="AE193" i="16" s="1"/>
  <c r="AE192" i="16" s="1"/>
  <c r="AE191" i="16" s="1"/>
  <c r="AE190" i="16" s="1"/>
  <c r="AE189" i="16" s="1"/>
  <c r="AE188" i="16" s="1"/>
  <c r="AE187" i="16" s="1"/>
  <c r="AE186" i="16" s="1"/>
  <c r="AE185" i="16" s="1"/>
  <c r="AE184" i="16" s="1"/>
  <c r="AE183" i="16" s="1"/>
  <c r="AE182" i="16" s="1"/>
  <c r="AE181" i="16" s="1"/>
  <c r="AE180" i="16" s="1"/>
  <c r="AE179" i="16" s="1"/>
  <c r="AE178" i="16" s="1"/>
  <c r="AE177" i="16" s="1"/>
  <c r="AE176" i="16" s="1"/>
  <c r="AE175" i="16" s="1"/>
  <c r="AE174" i="16" s="1"/>
  <c r="AE173" i="16" s="1"/>
  <c r="AE172" i="16" s="1"/>
  <c r="AE171" i="16" s="1"/>
  <c r="AE170" i="16" s="1"/>
  <c r="AE169" i="16" s="1"/>
  <c r="AE168" i="16" s="1"/>
  <c r="AE167" i="16" s="1"/>
  <c r="AE166" i="16" s="1"/>
  <c r="AE165" i="16" s="1"/>
  <c r="AE164" i="16" s="1"/>
  <c r="AE163" i="16" s="1"/>
  <c r="AE162" i="16" s="1"/>
  <c r="AE161" i="16" s="1"/>
  <c r="AE160" i="16" s="1"/>
  <c r="AE159" i="16" s="1"/>
  <c r="AE158" i="16" s="1"/>
  <c r="AE157" i="16" s="1"/>
  <c r="AE156" i="16" s="1"/>
  <c r="AE155" i="16" s="1"/>
  <c r="AE154" i="16" s="1"/>
  <c r="AE153" i="16" s="1"/>
  <c r="AE152" i="16" s="1"/>
  <c r="AE151" i="16" s="1"/>
  <c r="AE150" i="16" s="1"/>
  <c r="AE149" i="16" s="1"/>
  <c r="AE148" i="16" s="1"/>
  <c r="AE147" i="16" s="1"/>
  <c r="AE146" i="16" s="1"/>
  <c r="AE145" i="16" s="1"/>
  <c r="AE144" i="16" s="1"/>
  <c r="AE143" i="16" s="1"/>
  <c r="AE142" i="16" s="1"/>
  <c r="AE141" i="16" s="1"/>
  <c r="AE140" i="16" s="1"/>
  <c r="AE139" i="16" s="1"/>
  <c r="AE138" i="16" s="1"/>
  <c r="AE137" i="16" s="1"/>
  <c r="AE136" i="16" s="1"/>
  <c r="AE135" i="16" s="1"/>
  <c r="AE134" i="16" s="1"/>
  <c r="AE133" i="16" s="1"/>
  <c r="AE132" i="16" s="1"/>
  <c r="AE131" i="16" s="1"/>
  <c r="AE130" i="16" s="1"/>
  <c r="AE129" i="16" s="1"/>
  <c r="AE128" i="16" s="1"/>
  <c r="AE127" i="16" s="1"/>
  <c r="AE126" i="16" s="1"/>
  <c r="AE125" i="16" s="1"/>
  <c r="AE124" i="16" s="1"/>
  <c r="AE123" i="16" s="1"/>
  <c r="AE122" i="16" s="1"/>
  <c r="AE121" i="16" s="1"/>
  <c r="AE120" i="16" s="1"/>
  <c r="AE119" i="16" s="1"/>
  <c r="AE118" i="16" s="1"/>
  <c r="AE117" i="16" s="1"/>
  <c r="AE116" i="16" s="1"/>
  <c r="AE115" i="16" s="1"/>
  <c r="AE114" i="16" s="1"/>
  <c r="AE113" i="16" s="1"/>
  <c r="AE112" i="16" s="1"/>
  <c r="AE111" i="16" s="1"/>
  <c r="AE110" i="16" s="1"/>
  <c r="AE109" i="16" s="1"/>
  <c r="AE108" i="16" s="1"/>
  <c r="AE107" i="16" s="1"/>
  <c r="AE106" i="16" s="1"/>
  <c r="AE105" i="16" s="1"/>
  <c r="AE104" i="16" s="1"/>
  <c r="AE103" i="16" s="1"/>
  <c r="AE102" i="16" s="1"/>
  <c r="AE101" i="16" s="1"/>
  <c r="AE100" i="16" s="1"/>
  <c r="AE99" i="16" s="1"/>
  <c r="AE98" i="16" s="1"/>
  <c r="AE97" i="16" s="1"/>
  <c r="AE96" i="16" s="1"/>
  <c r="AE95" i="16" s="1"/>
  <c r="AE94" i="16" s="1"/>
  <c r="AE93" i="16" s="1"/>
  <c r="AE92" i="16" s="1"/>
  <c r="AE91" i="16" s="1"/>
  <c r="AE90" i="16" s="1"/>
  <c r="AE89" i="16" s="1"/>
  <c r="AE88" i="16" s="1"/>
  <c r="AE87" i="16" s="1"/>
  <c r="AE86" i="16" s="1"/>
  <c r="AE85" i="16" s="1"/>
  <c r="AE84" i="16" s="1"/>
  <c r="AE83" i="16" s="1"/>
  <c r="AE82" i="16" s="1"/>
  <c r="AE81" i="16" s="1"/>
  <c r="AE80" i="16" s="1"/>
  <c r="AE79" i="16" s="1"/>
  <c r="AE78" i="16" s="1"/>
  <c r="AE77" i="16" s="1"/>
  <c r="AE76" i="16" s="1"/>
  <c r="AE75" i="16" s="1"/>
  <c r="AE74" i="16" s="1"/>
  <c r="AE73" i="16" s="1"/>
  <c r="AE72" i="16" s="1"/>
  <c r="AE71" i="16" s="1"/>
  <c r="AE70" i="16" s="1"/>
  <c r="AE69" i="16" s="1"/>
  <c r="AE68" i="16" s="1"/>
  <c r="AE67" i="16" s="1"/>
  <c r="AE66" i="16" s="1"/>
  <c r="AE65" i="16" s="1"/>
  <c r="AE64" i="16" s="1"/>
  <c r="AE63" i="16" s="1"/>
  <c r="AE62" i="16" s="1"/>
  <c r="AE61" i="16" s="1"/>
  <c r="AE60" i="16" s="1"/>
  <c r="AE59" i="16" s="1"/>
  <c r="AE58" i="16" s="1"/>
  <c r="AE57" i="16" s="1"/>
  <c r="AE56" i="16" s="1"/>
  <c r="AE55" i="16" s="1"/>
  <c r="AE54" i="16" s="1"/>
  <c r="AE53" i="16" s="1"/>
  <c r="AE52" i="16" s="1"/>
  <c r="AE51" i="16" s="1"/>
  <c r="AE50" i="16" s="1"/>
  <c r="AE49" i="16" s="1"/>
  <c r="AE48" i="16" s="1"/>
  <c r="AE47" i="16" s="1"/>
  <c r="AE46" i="16" s="1"/>
  <c r="AE45" i="16" s="1"/>
  <c r="AE44" i="16" s="1"/>
  <c r="AE43" i="16" s="1"/>
  <c r="AE42" i="16" s="1"/>
  <c r="AE41" i="16" s="1"/>
  <c r="AE40" i="16" s="1"/>
  <c r="AE39" i="16" s="1"/>
  <c r="AE38" i="16" s="1"/>
  <c r="AE37" i="16" s="1"/>
  <c r="AE36" i="16" s="1"/>
  <c r="AE35" i="16" s="1"/>
  <c r="AE34" i="16" s="1"/>
  <c r="AE33" i="16" s="1"/>
  <c r="AE32" i="16" s="1"/>
  <c r="AE31" i="16" s="1"/>
  <c r="AE30" i="16" s="1"/>
  <c r="AE29" i="16" s="1"/>
  <c r="AE28" i="16" s="1"/>
  <c r="AE27" i="16" s="1"/>
  <c r="AE26" i="16" s="1"/>
  <c r="AE25" i="16" s="1"/>
  <c r="AE24" i="16" s="1"/>
  <c r="AE23" i="16" s="1"/>
  <c r="AE22" i="16" s="1"/>
  <c r="AE21" i="16" s="1"/>
  <c r="AE20" i="16" s="1"/>
  <c r="AE19" i="16" s="1"/>
  <c r="AE18" i="16" s="1"/>
  <c r="AE17" i="16" s="1"/>
  <c r="AE16" i="16" s="1"/>
  <c r="AE15" i="16" s="1"/>
  <c r="AE14" i="16" s="1"/>
  <c r="AE13" i="16" s="1"/>
  <c r="AE12" i="16" s="1"/>
  <c r="AE11" i="16" s="1"/>
  <c r="AE10" i="16" s="1"/>
  <c r="AE9" i="16" s="1"/>
  <c r="AE8" i="16" s="1"/>
  <c r="AE7" i="16" s="1"/>
  <c r="AE6" i="16" s="1"/>
  <c r="AE5" i="16" s="1"/>
  <c r="AE4" i="16" s="1"/>
  <c r="AE3" i="16" s="1"/>
  <c r="AH363" i="16"/>
  <c r="AE362" i="13"/>
  <c r="AE361" i="13" s="1"/>
  <c r="AE360" i="13" s="1"/>
  <c r="AE359" i="13" s="1"/>
  <c r="AE358" i="13" s="1"/>
  <c r="AE357" i="13" s="1"/>
  <c r="AE356" i="13" s="1"/>
  <c r="AE355" i="13" s="1"/>
  <c r="AE354" i="13" s="1"/>
  <c r="AE353" i="13" s="1"/>
  <c r="AE352" i="13" s="1"/>
  <c r="AE351" i="13" s="1"/>
  <c r="AE350" i="13" s="1"/>
  <c r="AE349" i="13" s="1"/>
  <c r="AE348" i="13" s="1"/>
  <c r="AE347" i="13" s="1"/>
  <c r="AE346" i="13" s="1"/>
  <c r="AE345" i="13" s="1"/>
  <c r="AE344" i="13" s="1"/>
  <c r="AE343" i="13" s="1"/>
  <c r="AE342" i="13" s="1"/>
  <c r="AE341" i="13" s="1"/>
  <c r="AE340" i="13" s="1"/>
  <c r="AE339" i="13" s="1"/>
  <c r="AE338" i="13" s="1"/>
  <c r="AE337" i="13" s="1"/>
  <c r="AE336" i="13" s="1"/>
  <c r="AE335" i="13" s="1"/>
  <c r="AE334" i="13" s="1"/>
  <c r="AE333" i="13" s="1"/>
  <c r="AE332" i="13" s="1"/>
  <c r="AE331" i="13" s="1"/>
  <c r="AE330" i="13" s="1"/>
  <c r="AE329" i="13" s="1"/>
  <c r="AE328" i="13" s="1"/>
  <c r="AE327" i="13" s="1"/>
  <c r="AE326" i="13" s="1"/>
  <c r="AE325" i="13" s="1"/>
  <c r="AE324" i="13" s="1"/>
  <c r="AE323" i="13" s="1"/>
  <c r="AE322" i="13" s="1"/>
  <c r="AE321" i="13" s="1"/>
  <c r="AE320" i="13" s="1"/>
  <c r="AE319" i="13" s="1"/>
  <c r="AE318" i="13" s="1"/>
  <c r="AE317" i="13" s="1"/>
  <c r="AE316" i="13" s="1"/>
  <c r="AE315" i="13" s="1"/>
  <c r="AE314" i="13" s="1"/>
  <c r="AE313" i="13" s="1"/>
  <c r="AE312" i="13" s="1"/>
  <c r="AE311" i="13" s="1"/>
  <c r="AE310" i="13" s="1"/>
  <c r="AE309" i="13" s="1"/>
  <c r="AE308" i="13" s="1"/>
  <c r="AE307" i="13" s="1"/>
  <c r="AE306" i="13" s="1"/>
  <c r="AE305" i="13" s="1"/>
  <c r="AE304" i="13" s="1"/>
  <c r="AE303" i="13" s="1"/>
  <c r="AE302" i="13" s="1"/>
  <c r="AE301" i="13" s="1"/>
  <c r="AE300" i="13" s="1"/>
  <c r="AE299" i="13" s="1"/>
  <c r="AE298" i="13" s="1"/>
  <c r="AE297" i="13" s="1"/>
  <c r="AE296" i="13" s="1"/>
  <c r="AE295" i="13" s="1"/>
  <c r="AE294" i="13" s="1"/>
  <c r="AE293" i="13" s="1"/>
  <c r="AE292" i="13" s="1"/>
  <c r="AE291" i="13" s="1"/>
  <c r="AE290" i="13" s="1"/>
  <c r="AE289" i="13" s="1"/>
  <c r="AE288" i="13" s="1"/>
  <c r="AE287" i="13" s="1"/>
  <c r="AE286" i="13" s="1"/>
  <c r="AE285" i="13" s="1"/>
  <c r="AE284" i="13" s="1"/>
  <c r="AE283" i="13" s="1"/>
  <c r="AE282" i="13" s="1"/>
  <c r="AE281" i="13" s="1"/>
  <c r="AE280" i="13" s="1"/>
  <c r="AE279" i="13" s="1"/>
  <c r="AE278" i="13" s="1"/>
  <c r="AE277" i="13" s="1"/>
  <c r="AE276" i="13" s="1"/>
  <c r="AE275" i="13" s="1"/>
  <c r="AE274" i="13" s="1"/>
  <c r="AE273" i="13" s="1"/>
  <c r="AE272" i="13" s="1"/>
  <c r="AE271" i="13" s="1"/>
  <c r="AE270" i="13" s="1"/>
  <c r="AE269" i="13" s="1"/>
  <c r="AE268" i="13" s="1"/>
  <c r="AE267" i="13" s="1"/>
  <c r="AE266" i="13" s="1"/>
  <c r="AE265" i="13" s="1"/>
  <c r="AE264" i="13" s="1"/>
  <c r="AE263" i="13" s="1"/>
  <c r="AE262" i="13" s="1"/>
  <c r="AE261" i="13" s="1"/>
  <c r="AE260" i="13" s="1"/>
  <c r="AE259" i="13" s="1"/>
  <c r="AE258" i="13" s="1"/>
  <c r="AE257" i="13" s="1"/>
  <c r="AE256" i="13" s="1"/>
  <c r="AE255" i="13" s="1"/>
  <c r="AE254" i="13" s="1"/>
  <c r="AE253" i="13" s="1"/>
  <c r="AE252" i="13" s="1"/>
  <c r="AE251" i="13" s="1"/>
  <c r="AE250" i="13" s="1"/>
  <c r="AE249" i="13" s="1"/>
  <c r="AE248" i="13" s="1"/>
  <c r="AE247" i="13" s="1"/>
  <c r="AE246" i="13" s="1"/>
  <c r="AE245" i="13" s="1"/>
  <c r="AE244" i="13" s="1"/>
  <c r="AE243" i="13" s="1"/>
  <c r="AE242" i="13" s="1"/>
  <c r="AE241" i="13" s="1"/>
  <c r="AE240" i="13" s="1"/>
  <c r="AE239" i="13" s="1"/>
  <c r="AE238" i="13" s="1"/>
  <c r="AE237" i="13" s="1"/>
  <c r="AE236" i="13" s="1"/>
  <c r="AE235" i="13" s="1"/>
  <c r="AE234" i="13" s="1"/>
  <c r="AE233" i="13" s="1"/>
  <c r="AE232" i="13" s="1"/>
  <c r="AE231" i="13" s="1"/>
  <c r="AE230" i="13" s="1"/>
  <c r="AE229" i="13" s="1"/>
  <c r="AE228" i="13" s="1"/>
  <c r="AE227" i="13" s="1"/>
  <c r="AE226" i="13" s="1"/>
  <c r="AE225" i="13" s="1"/>
  <c r="AE224" i="13" s="1"/>
  <c r="AE223" i="13" s="1"/>
  <c r="AE222" i="13" s="1"/>
  <c r="AE221" i="13" s="1"/>
  <c r="AE220" i="13" s="1"/>
  <c r="AE219" i="13" s="1"/>
  <c r="AE218" i="13" s="1"/>
  <c r="AE217" i="13" s="1"/>
  <c r="AE216" i="13" s="1"/>
  <c r="AE215" i="13" s="1"/>
  <c r="AE214" i="13" s="1"/>
  <c r="AE213" i="13" s="1"/>
  <c r="AE212" i="13" s="1"/>
  <c r="AE211" i="13" s="1"/>
  <c r="AE210" i="13" s="1"/>
  <c r="AE209" i="13" s="1"/>
  <c r="AE208" i="13" s="1"/>
  <c r="AE207" i="13" s="1"/>
  <c r="AE206" i="13" s="1"/>
  <c r="AE205" i="13" s="1"/>
  <c r="AE204" i="13" s="1"/>
  <c r="AE203" i="13" s="1"/>
  <c r="AE202" i="13" s="1"/>
  <c r="AE201" i="13" s="1"/>
  <c r="AE200" i="13" s="1"/>
  <c r="AE199" i="13" s="1"/>
  <c r="AE198" i="13" s="1"/>
  <c r="AE197" i="13" s="1"/>
  <c r="AE196" i="13" s="1"/>
  <c r="AE195" i="13" s="1"/>
  <c r="AE194" i="13" s="1"/>
  <c r="AE193" i="13" s="1"/>
  <c r="AE192" i="13" s="1"/>
  <c r="AE191" i="13" s="1"/>
  <c r="AE190" i="13" s="1"/>
  <c r="AE189" i="13" s="1"/>
  <c r="AE188" i="13" s="1"/>
  <c r="AE187" i="13" s="1"/>
  <c r="AE186" i="13" s="1"/>
  <c r="AE185" i="13" s="1"/>
  <c r="AE184" i="13" s="1"/>
  <c r="AE183" i="13" s="1"/>
  <c r="AE182" i="13" s="1"/>
  <c r="AE181" i="13" s="1"/>
  <c r="AE180" i="13" s="1"/>
  <c r="AE179" i="13" s="1"/>
  <c r="AE178" i="13" s="1"/>
  <c r="AE177" i="13" s="1"/>
  <c r="AE176" i="13" s="1"/>
  <c r="AE175" i="13" s="1"/>
  <c r="AE174" i="13" s="1"/>
  <c r="AE173" i="13" s="1"/>
  <c r="AE172" i="13" s="1"/>
  <c r="AE171" i="13" s="1"/>
  <c r="AE170" i="13" s="1"/>
  <c r="AE169" i="13" s="1"/>
  <c r="AE168" i="13" s="1"/>
  <c r="AE167" i="13" s="1"/>
  <c r="AE166" i="13" s="1"/>
  <c r="AE165" i="13" s="1"/>
  <c r="AE164" i="13" s="1"/>
  <c r="AE163" i="13" s="1"/>
  <c r="AE162" i="13" s="1"/>
  <c r="AE161" i="13" s="1"/>
  <c r="AE160" i="13" s="1"/>
  <c r="AE159" i="13" s="1"/>
  <c r="AE158" i="13" s="1"/>
  <c r="AE157" i="13" s="1"/>
  <c r="AE156" i="13" s="1"/>
  <c r="AE155" i="13" s="1"/>
  <c r="AE154" i="13" s="1"/>
  <c r="AE153" i="13" s="1"/>
  <c r="AE152" i="13" s="1"/>
  <c r="AE151" i="13" s="1"/>
  <c r="AE150" i="13" s="1"/>
  <c r="AE149" i="13" s="1"/>
  <c r="AE148" i="13" s="1"/>
  <c r="AE147" i="13" s="1"/>
  <c r="AE146" i="13" s="1"/>
  <c r="AE145" i="13" s="1"/>
  <c r="AE144" i="13" s="1"/>
  <c r="AE143" i="13" s="1"/>
  <c r="AE142" i="13" s="1"/>
  <c r="AE141" i="13" s="1"/>
  <c r="AE140" i="13" s="1"/>
  <c r="AE139" i="13" s="1"/>
  <c r="AE138" i="13" s="1"/>
  <c r="AE137" i="13" s="1"/>
  <c r="AE136" i="13" s="1"/>
  <c r="AE135" i="13" s="1"/>
  <c r="AE134" i="13" s="1"/>
  <c r="AE133" i="13" s="1"/>
  <c r="AE132" i="13" s="1"/>
  <c r="AE131" i="13" s="1"/>
  <c r="AE130" i="13" s="1"/>
  <c r="AE129" i="13" s="1"/>
  <c r="AE128" i="13" s="1"/>
  <c r="AE127" i="13" s="1"/>
  <c r="AE126" i="13" s="1"/>
  <c r="AE125" i="13" s="1"/>
  <c r="AE124" i="13" s="1"/>
  <c r="AE123" i="13" s="1"/>
  <c r="AE122" i="13" s="1"/>
  <c r="AE121" i="13" s="1"/>
  <c r="AE120" i="13" s="1"/>
  <c r="AE119" i="13" s="1"/>
  <c r="AE118" i="13" s="1"/>
  <c r="AE117" i="13" s="1"/>
  <c r="AE116" i="13" s="1"/>
  <c r="AE115" i="13" s="1"/>
  <c r="AE114" i="13" s="1"/>
  <c r="AE113" i="13" s="1"/>
  <c r="AE112" i="13" s="1"/>
  <c r="AE111" i="13" s="1"/>
  <c r="AE110" i="13" s="1"/>
  <c r="AE109" i="13" s="1"/>
  <c r="AE108" i="13" s="1"/>
  <c r="AE107" i="13" s="1"/>
  <c r="AE106" i="13" s="1"/>
  <c r="AE105" i="13" s="1"/>
  <c r="AE104" i="13" s="1"/>
  <c r="AE103" i="13" s="1"/>
  <c r="AE102" i="13" s="1"/>
  <c r="AE101" i="13" s="1"/>
  <c r="AE100" i="13" s="1"/>
  <c r="AE99" i="13" s="1"/>
  <c r="AE98" i="13" s="1"/>
  <c r="AE97" i="13" s="1"/>
  <c r="AE96" i="13" s="1"/>
  <c r="AE95" i="13" s="1"/>
  <c r="AE94" i="13" s="1"/>
  <c r="AE93" i="13" s="1"/>
  <c r="AE92" i="13" s="1"/>
  <c r="AE91" i="13" s="1"/>
  <c r="AE90" i="13" s="1"/>
  <c r="AE89" i="13" s="1"/>
  <c r="AE88" i="13" s="1"/>
  <c r="AE87" i="13" s="1"/>
  <c r="AE86" i="13" s="1"/>
  <c r="AE85" i="13" s="1"/>
  <c r="AE84" i="13" s="1"/>
  <c r="AE83" i="13" s="1"/>
  <c r="AE82" i="13" s="1"/>
  <c r="AE81" i="13" s="1"/>
  <c r="AE80" i="13" s="1"/>
  <c r="AE79" i="13" s="1"/>
  <c r="AE78" i="13" s="1"/>
  <c r="AE77" i="13" s="1"/>
  <c r="AE76" i="13" s="1"/>
  <c r="AE75" i="13" s="1"/>
  <c r="AE74" i="13" s="1"/>
  <c r="AE73" i="13" s="1"/>
  <c r="AE72" i="13" s="1"/>
  <c r="AE71" i="13" s="1"/>
  <c r="AE70" i="13" s="1"/>
  <c r="AE69" i="13" s="1"/>
  <c r="AE68" i="13" s="1"/>
  <c r="AE67" i="13" s="1"/>
  <c r="AE66" i="13" s="1"/>
  <c r="AE65" i="13" s="1"/>
  <c r="AE64" i="13" s="1"/>
  <c r="AE63" i="13" s="1"/>
  <c r="AE62" i="13" s="1"/>
  <c r="AE61" i="13" s="1"/>
  <c r="AE60" i="13" s="1"/>
  <c r="AE59" i="13" s="1"/>
  <c r="AE58" i="13" s="1"/>
  <c r="AE57" i="13" s="1"/>
  <c r="AE56" i="13" s="1"/>
  <c r="AE55" i="13" s="1"/>
  <c r="AE54" i="13" s="1"/>
  <c r="AE53" i="13" s="1"/>
  <c r="AE52" i="13" s="1"/>
  <c r="AE51" i="13" s="1"/>
  <c r="AE50" i="13" s="1"/>
  <c r="AE49" i="13" s="1"/>
  <c r="AE48" i="13" s="1"/>
  <c r="AE47" i="13" s="1"/>
  <c r="AE46" i="13" s="1"/>
  <c r="AE45" i="13" s="1"/>
  <c r="AE44" i="13" s="1"/>
  <c r="AE43" i="13" s="1"/>
  <c r="AE42" i="13" s="1"/>
  <c r="AE41" i="13" s="1"/>
  <c r="AE40" i="13" s="1"/>
  <c r="AE39" i="13" s="1"/>
  <c r="AE38" i="13" s="1"/>
  <c r="AE37" i="13" s="1"/>
  <c r="AE36" i="13" s="1"/>
  <c r="AE35" i="13" s="1"/>
  <c r="AE34" i="13" s="1"/>
  <c r="AE33" i="13" s="1"/>
  <c r="AE32" i="13" s="1"/>
  <c r="AE31" i="13" s="1"/>
  <c r="AE30" i="13" s="1"/>
  <c r="AE29" i="13" s="1"/>
  <c r="AE28" i="13" s="1"/>
  <c r="AE27" i="13" s="1"/>
  <c r="AE26" i="13" s="1"/>
  <c r="AE25" i="13" s="1"/>
  <c r="AE24" i="13" s="1"/>
  <c r="AE23" i="13" s="1"/>
  <c r="AE22" i="13" s="1"/>
  <c r="AE21" i="13" s="1"/>
  <c r="AE20" i="13" s="1"/>
  <c r="AE19" i="13" s="1"/>
  <c r="AE18" i="13" s="1"/>
  <c r="AE17" i="13" s="1"/>
  <c r="AE16" i="13" s="1"/>
  <c r="AE15" i="13" s="1"/>
  <c r="AE14" i="13" s="1"/>
  <c r="AE13" i="13" s="1"/>
  <c r="AE12" i="13" s="1"/>
  <c r="AE11" i="13" s="1"/>
  <c r="AE10" i="13" s="1"/>
  <c r="AE9" i="13" s="1"/>
  <c r="AE8" i="13" s="1"/>
  <c r="AE7" i="13" s="1"/>
  <c r="AE6" i="13" s="1"/>
  <c r="AE5" i="13" s="1"/>
  <c r="AE4" i="13" s="1"/>
  <c r="AE3" i="13" s="1"/>
  <c r="AH363" i="13"/>
  <c r="AG362" i="13"/>
  <c r="AG361" i="13" s="1"/>
  <c r="AG360" i="13" s="1"/>
  <c r="AG359" i="13" s="1"/>
  <c r="AG358" i="13" s="1"/>
  <c r="AG357" i="13" s="1"/>
  <c r="AG356" i="13" s="1"/>
  <c r="AG355" i="13" s="1"/>
  <c r="AG354" i="13" s="1"/>
  <c r="AG353" i="13" s="1"/>
  <c r="AG352" i="13" s="1"/>
  <c r="AG351" i="13" s="1"/>
  <c r="AG350" i="13" s="1"/>
  <c r="AG349" i="13" s="1"/>
  <c r="AG348" i="13" s="1"/>
  <c r="AG347" i="13" s="1"/>
  <c r="AG346" i="13" s="1"/>
  <c r="AG345" i="13" s="1"/>
  <c r="AG344" i="13" s="1"/>
  <c r="AG343" i="13" s="1"/>
  <c r="AG342" i="13" s="1"/>
  <c r="AG341" i="13" s="1"/>
  <c r="AG340" i="13" s="1"/>
  <c r="AG339" i="13" s="1"/>
  <c r="AG338" i="13" s="1"/>
  <c r="AG337" i="13" s="1"/>
  <c r="AG336" i="13" s="1"/>
  <c r="AG335" i="13" s="1"/>
  <c r="AG334" i="13" s="1"/>
  <c r="AG333" i="13" s="1"/>
  <c r="AG332" i="13" s="1"/>
  <c r="AG331" i="13" s="1"/>
  <c r="AG330" i="13" s="1"/>
  <c r="AG329" i="13" s="1"/>
  <c r="AG328" i="13" s="1"/>
  <c r="AG327" i="13" s="1"/>
  <c r="AG326" i="13" s="1"/>
  <c r="AG325" i="13" s="1"/>
  <c r="AG324" i="13" s="1"/>
  <c r="AG323" i="13" s="1"/>
  <c r="AG322" i="13" s="1"/>
  <c r="AG321" i="13" s="1"/>
  <c r="AG320" i="13" s="1"/>
  <c r="AG319" i="13" s="1"/>
  <c r="AG318" i="13" s="1"/>
  <c r="AG317" i="13" s="1"/>
  <c r="AG316" i="13" s="1"/>
  <c r="AG315" i="13" s="1"/>
  <c r="AG314" i="13" s="1"/>
  <c r="AG313" i="13" s="1"/>
  <c r="AG312" i="13" s="1"/>
  <c r="AG311" i="13" s="1"/>
  <c r="AG310" i="13" s="1"/>
  <c r="AG309" i="13" s="1"/>
  <c r="AG308" i="13" s="1"/>
  <c r="AG307" i="13" s="1"/>
  <c r="AG306" i="13" s="1"/>
  <c r="AG305" i="13" s="1"/>
  <c r="AG304" i="13" s="1"/>
  <c r="AG303" i="13" s="1"/>
  <c r="AG302" i="13" s="1"/>
  <c r="AG301" i="13" s="1"/>
  <c r="AG300" i="13" s="1"/>
  <c r="AG299" i="13" s="1"/>
  <c r="AG298" i="13" s="1"/>
  <c r="AG297" i="13" s="1"/>
  <c r="AG296" i="13" s="1"/>
  <c r="AG295" i="13" s="1"/>
  <c r="AG294" i="13" s="1"/>
  <c r="AG293" i="13" s="1"/>
  <c r="AG292" i="13" s="1"/>
  <c r="AG291" i="13" s="1"/>
  <c r="AG290" i="13" s="1"/>
  <c r="AG289" i="13" s="1"/>
  <c r="AG288" i="13" s="1"/>
  <c r="AG287" i="13" s="1"/>
  <c r="AG286" i="13" s="1"/>
  <c r="AG285" i="13" s="1"/>
  <c r="AG284" i="13" s="1"/>
  <c r="AG283" i="13" s="1"/>
  <c r="AG282" i="13" s="1"/>
  <c r="AG281" i="13" s="1"/>
  <c r="AG280" i="13" s="1"/>
  <c r="AG279" i="13" s="1"/>
  <c r="AG278" i="13" s="1"/>
  <c r="AG277" i="13" s="1"/>
  <c r="AG276" i="13" s="1"/>
  <c r="AG275" i="13" s="1"/>
  <c r="AG274" i="13" s="1"/>
  <c r="AG273" i="13" s="1"/>
  <c r="AG272" i="13" s="1"/>
  <c r="AG271" i="13" s="1"/>
  <c r="AG270" i="13" s="1"/>
  <c r="AG269" i="13" s="1"/>
  <c r="AG268" i="13" s="1"/>
  <c r="AG267" i="13" s="1"/>
  <c r="AG266" i="13" s="1"/>
  <c r="AG265" i="13" s="1"/>
  <c r="AG264" i="13" s="1"/>
  <c r="AG263" i="13" s="1"/>
  <c r="AG262" i="13" s="1"/>
  <c r="AG261" i="13" s="1"/>
  <c r="AG260" i="13" s="1"/>
  <c r="AG259" i="13" s="1"/>
  <c r="AG258" i="13" s="1"/>
  <c r="AG257" i="13" s="1"/>
  <c r="AG256" i="13" s="1"/>
  <c r="AG255" i="13" s="1"/>
  <c r="AG254" i="13" s="1"/>
  <c r="AG253" i="13" s="1"/>
  <c r="AG252" i="13" s="1"/>
  <c r="AG251" i="13" s="1"/>
  <c r="AG250" i="13" s="1"/>
  <c r="AG249" i="13" s="1"/>
  <c r="AG248" i="13" s="1"/>
  <c r="AG247" i="13" s="1"/>
  <c r="AG246" i="13" s="1"/>
  <c r="AG245" i="13" s="1"/>
  <c r="AG244" i="13" s="1"/>
  <c r="AG243" i="13" s="1"/>
  <c r="AG242" i="13" s="1"/>
  <c r="AG241" i="13" s="1"/>
  <c r="AG240" i="13" s="1"/>
  <c r="AG239" i="13" s="1"/>
  <c r="AG238" i="13" s="1"/>
  <c r="AG237" i="13" s="1"/>
  <c r="AG236" i="13" s="1"/>
  <c r="AG235" i="13" s="1"/>
  <c r="AG234" i="13" s="1"/>
  <c r="AG233" i="13" s="1"/>
  <c r="AG232" i="13" s="1"/>
  <c r="AG231" i="13" s="1"/>
  <c r="AG230" i="13" s="1"/>
  <c r="AG229" i="13" s="1"/>
  <c r="AG228" i="13" s="1"/>
  <c r="AG227" i="13" s="1"/>
  <c r="AG226" i="13" s="1"/>
  <c r="AG225" i="13" s="1"/>
  <c r="AG224" i="13" s="1"/>
  <c r="AG223" i="13" s="1"/>
  <c r="AG222" i="13" s="1"/>
  <c r="AG221" i="13" s="1"/>
  <c r="AG220" i="13" s="1"/>
  <c r="AG219" i="13" s="1"/>
  <c r="AG218" i="13" s="1"/>
  <c r="AG217" i="13" s="1"/>
  <c r="AG216" i="13" s="1"/>
  <c r="AG215" i="13" s="1"/>
  <c r="AG214" i="13" s="1"/>
  <c r="AG213" i="13" s="1"/>
  <c r="AG212" i="13" s="1"/>
  <c r="AG211" i="13" s="1"/>
  <c r="AG210" i="13" s="1"/>
  <c r="AG209" i="13" s="1"/>
  <c r="AG208" i="13" s="1"/>
  <c r="AG207" i="13" s="1"/>
  <c r="AG206" i="13" s="1"/>
  <c r="AG205" i="13" s="1"/>
  <c r="AG204" i="13" s="1"/>
  <c r="AG203" i="13" s="1"/>
  <c r="AG202" i="13" s="1"/>
  <c r="AG201" i="13" s="1"/>
  <c r="AG200" i="13" s="1"/>
  <c r="AG199" i="13" s="1"/>
  <c r="AG198" i="13" s="1"/>
  <c r="AG197" i="13" s="1"/>
  <c r="AG196" i="13" s="1"/>
  <c r="AG195" i="13" s="1"/>
  <c r="AG194" i="13" s="1"/>
  <c r="AG193" i="13" s="1"/>
  <c r="AG192" i="13" s="1"/>
  <c r="AG191" i="13" s="1"/>
  <c r="AG190" i="13" s="1"/>
  <c r="AG189" i="13" s="1"/>
  <c r="AG188" i="13" s="1"/>
  <c r="AG187" i="13" s="1"/>
  <c r="AG186" i="13" s="1"/>
  <c r="AG185" i="13" s="1"/>
  <c r="AG184" i="13" s="1"/>
  <c r="AG183" i="13" s="1"/>
  <c r="AG182" i="13" s="1"/>
  <c r="AG181" i="13" s="1"/>
  <c r="AG180" i="13" s="1"/>
  <c r="AG179" i="13" s="1"/>
  <c r="AG178" i="13" s="1"/>
  <c r="AG177" i="13" s="1"/>
  <c r="AG176" i="13" s="1"/>
  <c r="AG175" i="13" s="1"/>
  <c r="AG174" i="13" s="1"/>
  <c r="AG173" i="13" s="1"/>
  <c r="AG172" i="13" s="1"/>
  <c r="AG171" i="13" s="1"/>
  <c r="AG170" i="13" s="1"/>
  <c r="AG169" i="13" s="1"/>
  <c r="AG168" i="13" s="1"/>
  <c r="AG167" i="13" s="1"/>
  <c r="AG166" i="13" s="1"/>
  <c r="AG165" i="13" s="1"/>
  <c r="AG164" i="13" s="1"/>
  <c r="AG163" i="13" s="1"/>
  <c r="AG162" i="13" s="1"/>
  <c r="AG161" i="13" s="1"/>
  <c r="AG160" i="13" s="1"/>
  <c r="AG159" i="13" s="1"/>
  <c r="AG158" i="13" s="1"/>
  <c r="AG157" i="13" s="1"/>
  <c r="AG156" i="13" s="1"/>
  <c r="AG155" i="13" s="1"/>
  <c r="AG154" i="13" s="1"/>
  <c r="AG153" i="13" s="1"/>
  <c r="AG152" i="13" s="1"/>
  <c r="AG151" i="13" s="1"/>
  <c r="AG150" i="13" s="1"/>
  <c r="AG149" i="13" s="1"/>
  <c r="AG148" i="13" s="1"/>
  <c r="AG147" i="13" s="1"/>
  <c r="AG146" i="13" s="1"/>
  <c r="AG145" i="13" s="1"/>
  <c r="AG144" i="13" s="1"/>
  <c r="AG143" i="13" s="1"/>
  <c r="AG142" i="13" s="1"/>
  <c r="AG141" i="13" s="1"/>
  <c r="AG140" i="13" s="1"/>
  <c r="AG139" i="13" s="1"/>
  <c r="AG138" i="13" s="1"/>
  <c r="AG137" i="13" s="1"/>
  <c r="AG136" i="13" s="1"/>
  <c r="AG135" i="13" s="1"/>
  <c r="AG134" i="13" s="1"/>
  <c r="AG133" i="13" s="1"/>
  <c r="AG132" i="13" s="1"/>
  <c r="AG131" i="13" s="1"/>
  <c r="AG130" i="13" s="1"/>
  <c r="AG129" i="13" s="1"/>
  <c r="AG128" i="13" s="1"/>
  <c r="AG127" i="13" s="1"/>
  <c r="AG126" i="13" s="1"/>
  <c r="AG125" i="13" s="1"/>
  <c r="AG124" i="13" s="1"/>
  <c r="AG123" i="13" s="1"/>
  <c r="AG122" i="13" s="1"/>
  <c r="AG121" i="13" s="1"/>
  <c r="AG120" i="13" s="1"/>
  <c r="AG119" i="13" s="1"/>
  <c r="AG118" i="13" s="1"/>
  <c r="AG117" i="13" s="1"/>
  <c r="AG116" i="13" s="1"/>
  <c r="AG115" i="13" s="1"/>
  <c r="AG114" i="13" s="1"/>
  <c r="AG113" i="13" s="1"/>
  <c r="AG112" i="13" s="1"/>
  <c r="AG111" i="13" s="1"/>
  <c r="AG110" i="13" s="1"/>
  <c r="AG109" i="13" s="1"/>
  <c r="AG108" i="13" s="1"/>
  <c r="AG107" i="13" s="1"/>
  <c r="AG106" i="13" s="1"/>
  <c r="AG105" i="13" s="1"/>
  <c r="AG104" i="13" s="1"/>
  <c r="AG103" i="13" s="1"/>
  <c r="AG102" i="13" s="1"/>
  <c r="AG101" i="13" s="1"/>
  <c r="AG100" i="13" s="1"/>
  <c r="AG99" i="13" s="1"/>
  <c r="AG98" i="13" s="1"/>
  <c r="AG97" i="13" s="1"/>
  <c r="AG96" i="13" s="1"/>
  <c r="AG95" i="13" s="1"/>
  <c r="AG94" i="13" s="1"/>
  <c r="AG93" i="13" s="1"/>
  <c r="AG92" i="13" s="1"/>
  <c r="AG91" i="13" s="1"/>
  <c r="AG90" i="13" s="1"/>
  <c r="AG89" i="13" s="1"/>
  <c r="AG88" i="13" s="1"/>
  <c r="AG87" i="13" s="1"/>
  <c r="AG86" i="13" s="1"/>
  <c r="AG85" i="13" s="1"/>
  <c r="AG84" i="13" s="1"/>
  <c r="AG83" i="13" s="1"/>
  <c r="AG82" i="13" s="1"/>
  <c r="AG81" i="13" s="1"/>
  <c r="AG80" i="13" s="1"/>
  <c r="AG79" i="13" s="1"/>
  <c r="AG78" i="13" s="1"/>
  <c r="AG77" i="13" s="1"/>
  <c r="AG76" i="13" s="1"/>
  <c r="AG75" i="13" s="1"/>
  <c r="AG74" i="13" s="1"/>
  <c r="AG73" i="13" s="1"/>
  <c r="AG72" i="13" s="1"/>
  <c r="AG71" i="13" s="1"/>
  <c r="AG70" i="13" s="1"/>
  <c r="AG69" i="13" s="1"/>
  <c r="AG68" i="13" s="1"/>
  <c r="AG67" i="13" s="1"/>
  <c r="AG66" i="13" s="1"/>
  <c r="AG65" i="13" s="1"/>
  <c r="AG64" i="13" s="1"/>
  <c r="AG63" i="13" s="1"/>
  <c r="AG62" i="13" s="1"/>
  <c r="AG61" i="13" s="1"/>
  <c r="AG60" i="13" s="1"/>
  <c r="AG59" i="13" s="1"/>
  <c r="AG58" i="13" s="1"/>
  <c r="AG57" i="13" s="1"/>
  <c r="AG56" i="13" s="1"/>
  <c r="AG55" i="13" s="1"/>
  <c r="AG54" i="13" s="1"/>
  <c r="AG53" i="13" s="1"/>
  <c r="AG52" i="13" s="1"/>
  <c r="AG51" i="13" s="1"/>
  <c r="AG50" i="13" s="1"/>
  <c r="AG49" i="13" s="1"/>
  <c r="AG48" i="13" s="1"/>
  <c r="AG47" i="13" s="1"/>
  <c r="AG46" i="13" s="1"/>
  <c r="AG45" i="13" s="1"/>
  <c r="AG44" i="13" s="1"/>
  <c r="AG43" i="13" s="1"/>
  <c r="AG42" i="13" s="1"/>
  <c r="AG41" i="13" s="1"/>
  <c r="AG40" i="13" s="1"/>
  <c r="AG39" i="13" s="1"/>
  <c r="AG38" i="13" s="1"/>
  <c r="AG37" i="13" s="1"/>
  <c r="AG36" i="13" s="1"/>
  <c r="AG35" i="13" s="1"/>
  <c r="AG34" i="13" s="1"/>
  <c r="AG33" i="13" s="1"/>
  <c r="AG32" i="13" s="1"/>
  <c r="AG31" i="13" s="1"/>
  <c r="AG30" i="13" s="1"/>
  <c r="AG29" i="13" s="1"/>
  <c r="AG28" i="13" s="1"/>
  <c r="AG27" i="13" s="1"/>
  <c r="AG26" i="13" s="1"/>
  <c r="AG25" i="13" s="1"/>
  <c r="AG24" i="13" s="1"/>
  <c r="AG23" i="13" s="1"/>
  <c r="AG22" i="13" s="1"/>
  <c r="AG21" i="13" s="1"/>
  <c r="AG20" i="13" s="1"/>
  <c r="AG19" i="13" s="1"/>
  <c r="AG18" i="13" s="1"/>
  <c r="AG17" i="13" s="1"/>
  <c r="AG16" i="13" s="1"/>
  <c r="AG15" i="13" s="1"/>
  <c r="AG14" i="13" s="1"/>
  <c r="AG13" i="13" s="1"/>
  <c r="AG12" i="13" s="1"/>
  <c r="AG11" i="13" s="1"/>
  <c r="AG10" i="13" s="1"/>
  <c r="AG9" i="13" s="1"/>
  <c r="AG8" i="13" s="1"/>
  <c r="AG7" i="13" s="1"/>
  <c r="AG6" i="13" s="1"/>
  <c r="AG5" i="13" s="1"/>
  <c r="AG4" i="13" s="1"/>
  <c r="AG3" i="13" s="1"/>
  <c r="AJ363" i="13"/>
  <c r="AJ362" i="13" s="1"/>
  <c r="AJ361" i="13" s="1"/>
  <c r="AJ360" i="13" s="1"/>
  <c r="AJ359" i="13" s="1"/>
  <c r="AJ358" i="13" s="1"/>
  <c r="AJ357" i="13" s="1"/>
  <c r="AJ356" i="13" s="1"/>
  <c r="AJ355" i="13" s="1"/>
  <c r="AJ354" i="13" s="1"/>
  <c r="AJ353" i="13" s="1"/>
  <c r="AJ352" i="13" s="1"/>
  <c r="AJ351" i="13" s="1"/>
  <c r="AJ350" i="13" s="1"/>
  <c r="AJ349" i="13" s="1"/>
  <c r="AJ348" i="13" s="1"/>
  <c r="AJ347" i="13" s="1"/>
  <c r="AJ346" i="13" s="1"/>
  <c r="AJ345" i="13" s="1"/>
  <c r="AJ344" i="13" s="1"/>
  <c r="AJ343" i="13" s="1"/>
  <c r="AJ342" i="13" s="1"/>
  <c r="AJ341" i="13" s="1"/>
  <c r="AJ340" i="13" s="1"/>
  <c r="AJ339" i="13" s="1"/>
  <c r="AJ338" i="13" s="1"/>
  <c r="AJ337" i="13" s="1"/>
  <c r="AJ336" i="13" s="1"/>
  <c r="AJ335" i="13" s="1"/>
  <c r="AJ334" i="13" s="1"/>
  <c r="AJ333" i="13" s="1"/>
  <c r="AJ332" i="13" s="1"/>
  <c r="AJ331" i="13" s="1"/>
  <c r="AJ330" i="13" s="1"/>
  <c r="AJ329" i="13" s="1"/>
  <c r="AJ328" i="13" s="1"/>
  <c r="AJ327" i="13" s="1"/>
  <c r="AJ326" i="13" s="1"/>
  <c r="AJ325" i="13" s="1"/>
  <c r="AJ324" i="13" s="1"/>
  <c r="AJ323" i="13" s="1"/>
  <c r="AJ322" i="13" s="1"/>
  <c r="AJ321" i="13" s="1"/>
  <c r="AJ320" i="13" s="1"/>
  <c r="AJ319" i="13" s="1"/>
  <c r="AJ318" i="13" s="1"/>
  <c r="AJ317" i="13" s="1"/>
  <c r="AJ316" i="13" s="1"/>
  <c r="AJ315" i="13" s="1"/>
  <c r="AJ314" i="13" s="1"/>
  <c r="AJ313" i="13" s="1"/>
  <c r="AJ312" i="13" s="1"/>
  <c r="AJ311" i="13" s="1"/>
  <c r="AJ310" i="13" s="1"/>
  <c r="AJ309" i="13" s="1"/>
  <c r="AJ308" i="13" s="1"/>
  <c r="AJ307" i="13" s="1"/>
  <c r="AJ306" i="13" s="1"/>
  <c r="AJ305" i="13" s="1"/>
  <c r="AJ304" i="13" s="1"/>
  <c r="AJ303" i="13" s="1"/>
  <c r="AJ302" i="13" s="1"/>
  <c r="AJ301" i="13" s="1"/>
  <c r="AJ300" i="13" s="1"/>
  <c r="AJ299" i="13" s="1"/>
  <c r="AJ298" i="13" s="1"/>
  <c r="AJ297" i="13" s="1"/>
  <c r="AJ296" i="13" s="1"/>
  <c r="AJ295" i="13" s="1"/>
  <c r="AJ294" i="13" s="1"/>
  <c r="AJ293" i="13" s="1"/>
  <c r="AJ292" i="13" s="1"/>
  <c r="AJ291" i="13" s="1"/>
  <c r="AJ290" i="13" s="1"/>
  <c r="AJ289" i="13" s="1"/>
  <c r="AJ288" i="13" s="1"/>
  <c r="AJ287" i="13" s="1"/>
  <c r="AJ286" i="13" s="1"/>
  <c r="AJ285" i="13" s="1"/>
  <c r="AJ284" i="13" s="1"/>
  <c r="AJ283" i="13" s="1"/>
  <c r="AJ282" i="13" s="1"/>
  <c r="AJ281" i="13" s="1"/>
  <c r="AJ280" i="13" s="1"/>
  <c r="AJ279" i="13" s="1"/>
  <c r="AJ278" i="13" s="1"/>
  <c r="AJ277" i="13" s="1"/>
  <c r="AJ276" i="13" s="1"/>
  <c r="AJ275" i="13" s="1"/>
  <c r="AJ274" i="13" s="1"/>
  <c r="AJ273" i="13" s="1"/>
  <c r="AJ272" i="13" s="1"/>
  <c r="AJ271" i="13" s="1"/>
  <c r="AJ270" i="13" s="1"/>
  <c r="AJ269" i="13" s="1"/>
  <c r="AJ268" i="13" s="1"/>
  <c r="AJ267" i="13" s="1"/>
  <c r="AJ266" i="13" s="1"/>
  <c r="AJ265" i="13" s="1"/>
  <c r="AJ264" i="13" s="1"/>
  <c r="AJ263" i="13" s="1"/>
  <c r="AJ262" i="13" s="1"/>
  <c r="AJ261" i="13" s="1"/>
  <c r="AJ260" i="13" s="1"/>
  <c r="AJ259" i="13" s="1"/>
  <c r="AJ258" i="13" s="1"/>
  <c r="AJ257" i="13" s="1"/>
  <c r="AJ256" i="13" s="1"/>
  <c r="AJ255" i="13" s="1"/>
  <c r="AJ254" i="13" s="1"/>
  <c r="AJ253" i="13" s="1"/>
  <c r="AJ252" i="13" s="1"/>
  <c r="AJ251" i="13" s="1"/>
  <c r="AJ250" i="13" s="1"/>
  <c r="AJ249" i="13" s="1"/>
  <c r="AJ248" i="13" s="1"/>
  <c r="AJ247" i="13" s="1"/>
  <c r="AJ246" i="13" s="1"/>
  <c r="AJ245" i="13" s="1"/>
  <c r="AJ244" i="13" s="1"/>
  <c r="AJ243" i="13" s="1"/>
  <c r="AJ242" i="13" s="1"/>
  <c r="AJ241" i="13" s="1"/>
  <c r="AJ240" i="13" s="1"/>
  <c r="AJ239" i="13" s="1"/>
  <c r="AJ238" i="13" s="1"/>
  <c r="AJ237" i="13" s="1"/>
  <c r="AJ236" i="13" s="1"/>
  <c r="AJ235" i="13" s="1"/>
  <c r="AJ234" i="13" s="1"/>
  <c r="AJ233" i="13" s="1"/>
  <c r="AJ232" i="13" s="1"/>
  <c r="AJ231" i="13" s="1"/>
  <c r="AJ230" i="13" s="1"/>
  <c r="AJ229" i="13" s="1"/>
  <c r="AJ228" i="13" s="1"/>
  <c r="AJ227" i="13" s="1"/>
  <c r="AJ226" i="13" s="1"/>
  <c r="AJ225" i="13" s="1"/>
  <c r="AJ224" i="13" s="1"/>
  <c r="AJ223" i="13" s="1"/>
  <c r="AJ222" i="13" s="1"/>
  <c r="AJ221" i="13" s="1"/>
  <c r="AJ220" i="13" s="1"/>
  <c r="AJ219" i="13" s="1"/>
  <c r="AJ218" i="13" s="1"/>
  <c r="AJ217" i="13" s="1"/>
  <c r="AJ216" i="13" s="1"/>
  <c r="AJ215" i="13" s="1"/>
  <c r="AJ214" i="13" s="1"/>
  <c r="AJ213" i="13" s="1"/>
  <c r="AJ212" i="13" s="1"/>
  <c r="AJ211" i="13" s="1"/>
  <c r="AJ210" i="13" s="1"/>
  <c r="AJ209" i="13" s="1"/>
  <c r="AJ208" i="13" s="1"/>
  <c r="AJ207" i="13" s="1"/>
  <c r="AJ206" i="13" s="1"/>
  <c r="AJ205" i="13" s="1"/>
  <c r="AJ204" i="13" s="1"/>
  <c r="AJ203" i="13" s="1"/>
  <c r="AJ202" i="13" s="1"/>
  <c r="AJ201" i="13" s="1"/>
  <c r="AJ200" i="13" s="1"/>
  <c r="AJ199" i="13" s="1"/>
  <c r="AJ198" i="13" s="1"/>
  <c r="AJ197" i="13" s="1"/>
  <c r="AJ196" i="13" s="1"/>
  <c r="AJ195" i="13" s="1"/>
  <c r="AJ194" i="13" s="1"/>
  <c r="AJ193" i="13" s="1"/>
  <c r="AJ192" i="13" s="1"/>
  <c r="AJ191" i="13" s="1"/>
  <c r="AJ190" i="13" s="1"/>
  <c r="AJ189" i="13" s="1"/>
  <c r="AJ188" i="13" s="1"/>
  <c r="AJ187" i="13" s="1"/>
  <c r="AJ186" i="13" s="1"/>
  <c r="AJ185" i="13" s="1"/>
  <c r="AJ184" i="13" s="1"/>
  <c r="AJ183" i="13" s="1"/>
  <c r="AJ182" i="13" s="1"/>
  <c r="AJ181" i="13" s="1"/>
  <c r="AJ180" i="13" s="1"/>
  <c r="AJ179" i="13" s="1"/>
  <c r="AJ178" i="13" s="1"/>
  <c r="AJ177" i="13" s="1"/>
  <c r="AJ176" i="13" s="1"/>
  <c r="AJ175" i="13" s="1"/>
  <c r="AJ174" i="13" s="1"/>
  <c r="AJ173" i="13" s="1"/>
  <c r="AJ172" i="13" s="1"/>
  <c r="AJ171" i="13" s="1"/>
  <c r="AJ170" i="13" s="1"/>
  <c r="AJ169" i="13" s="1"/>
  <c r="AJ168" i="13" s="1"/>
  <c r="AJ167" i="13" s="1"/>
  <c r="AJ166" i="13" s="1"/>
  <c r="AJ165" i="13" s="1"/>
  <c r="AJ164" i="13" s="1"/>
  <c r="AJ163" i="13" s="1"/>
  <c r="AJ162" i="13" s="1"/>
  <c r="AJ161" i="13" s="1"/>
  <c r="AJ160" i="13" s="1"/>
  <c r="AJ159" i="13" s="1"/>
  <c r="AJ158" i="13" s="1"/>
  <c r="AJ157" i="13" s="1"/>
  <c r="AJ156" i="13" s="1"/>
  <c r="AJ155" i="13" s="1"/>
  <c r="AJ154" i="13" s="1"/>
  <c r="AJ153" i="13" s="1"/>
  <c r="AJ152" i="13" s="1"/>
  <c r="AJ151" i="13" s="1"/>
  <c r="AJ150" i="13" s="1"/>
  <c r="AJ149" i="13" s="1"/>
  <c r="AJ148" i="13" s="1"/>
  <c r="AJ147" i="13" s="1"/>
  <c r="AJ146" i="13" s="1"/>
  <c r="AJ145" i="13" s="1"/>
  <c r="AJ144" i="13" s="1"/>
  <c r="AJ143" i="13" s="1"/>
  <c r="AJ142" i="13" s="1"/>
  <c r="AJ141" i="13" s="1"/>
  <c r="AJ140" i="13" s="1"/>
  <c r="AJ139" i="13" s="1"/>
  <c r="AJ138" i="13" s="1"/>
  <c r="AJ137" i="13" s="1"/>
  <c r="AJ136" i="13" s="1"/>
  <c r="AJ135" i="13" s="1"/>
  <c r="AJ134" i="13" s="1"/>
  <c r="AJ133" i="13" s="1"/>
  <c r="AJ132" i="13" s="1"/>
  <c r="AJ131" i="13" s="1"/>
  <c r="AJ130" i="13" s="1"/>
  <c r="AJ129" i="13" s="1"/>
  <c r="AJ128" i="13" s="1"/>
  <c r="AJ127" i="13" s="1"/>
  <c r="AJ126" i="13" s="1"/>
  <c r="AJ125" i="13" s="1"/>
  <c r="AJ124" i="13" s="1"/>
  <c r="AJ123" i="13" s="1"/>
  <c r="AJ122" i="13" s="1"/>
  <c r="AJ121" i="13" s="1"/>
  <c r="AJ120" i="13" s="1"/>
  <c r="AJ119" i="13" s="1"/>
  <c r="AJ118" i="13" s="1"/>
  <c r="AJ117" i="13" s="1"/>
  <c r="AJ116" i="13" s="1"/>
  <c r="AJ115" i="13" s="1"/>
  <c r="AJ114" i="13" s="1"/>
  <c r="AJ113" i="13" s="1"/>
  <c r="AJ112" i="13" s="1"/>
  <c r="AJ111" i="13" s="1"/>
  <c r="AJ110" i="13" s="1"/>
  <c r="AJ109" i="13" s="1"/>
  <c r="AJ108" i="13" s="1"/>
  <c r="AJ107" i="13" s="1"/>
  <c r="AJ106" i="13" s="1"/>
  <c r="AJ105" i="13" s="1"/>
  <c r="AJ104" i="13" s="1"/>
  <c r="AJ103" i="13" s="1"/>
  <c r="AJ102" i="13" s="1"/>
  <c r="AJ101" i="13" s="1"/>
  <c r="AJ100" i="13" s="1"/>
  <c r="AJ99" i="13" s="1"/>
  <c r="AJ98" i="13" s="1"/>
  <c r="AJ97" i="13" s="1"/>
  <c r="AJ96" i="13" s="1"/>
  <c r="AJ95" i="13" s="1"/>
  <c r="AJ94" i="13" s="1"/>
  <c r="AJ93" i="13" s="1"/>
  <c r="AJ92" i="13" s="1"/>
  <c r="AJ91" i="13" s="1"/>
  <c r="AJ90" i="13" s="1"/>
  <c r="AJ89" i="13" s="1"/>
  <c r="AJ88" i="13" s="1"/>
  <c r="AJ87" i="13" s="1"/>
  <c r="AJ86" i="13" s="1"/>
  <c r="AJ85" i="13" s="1"/>
  <c r="AJ84" i="13" s="1"/>
  <c r="AJ83" i="13" s="1"/>
  <c r="AJ82" i="13" s="1"/>
  <c r="AJ81" i="13" s="1"/>
  <c r="AJ80" i="13" s="1"/>
  <c r="AJ79" i="13" s="1"/>
  <c r="AJ78" i="13" s="1"/>
  <c r="AJ77" i="13" s="1"/>
  <c r="AJ76" i="13" s="1"/>
  <c r="AJ75" i="13" s="1"/>
  <c r="AJ74" i="13" s="1"/>
  <c r="AJ73" i="13" s="1"/>
  <c r="AJ72" i="13" s="1"/>
  <c r="AJ71" i="13" s="1"/>
  <c r="AJ70" i="13" s="1"/>
  <c r="AJ69" i="13" s="1"/>
  <c r="AJ68" i="13" s="1"/>
  <c r="AJ67" i="13" s="1"/>
  <c r="AJ66" i="13" s="1"/>
  <c r="AJ65" i="13" s="1"/>
  <c r="AJ64" i="13" s="1"/>
  <c r="AJ63" i="13" s="1"/>
  <c r="AJ62" i="13" s="1"/>
  <c r="AJ61" i="13" s="1"/>
  <c r="AJ60" i="13" s="1"/>
  <c r="AJ59" i="13" s="1"/>
  <c r="AJ58" i="13" s="1"/>
  <c r="AJ57" i="13" s="1"/>
  <c r="AJ56" i="13" s="1"/>
  <c r="AJ55" i="13" s="1"/>
  <c r="AJ54" i="13" s="1"/>
  <c r="AJ53" i="13" s="1"/>
  <c r="AJ52" i="13" s="1"/>
  <c r="AJ51" i="13" s="1"/>
  <c r="AJ50" i="13" s="1"/>
  <c r="AJ49" i="13" s="1"/>
  <c r="AJ48" i="13" s="1"/>
  <c r="AJ47" i="13" s="1"/>
  <c r="AJ46" i="13" s="1"/>
  <c r="AJ45" i="13" s="1"/>
  <c r="AJ44" i="13" s="1"/>
  <c r="AJ43" i="13" s="1"/>
  <c r="AJ42" i="13" s="1"/>
  <c r="AJ41" i="13" s="1"/>
  <c r="AJ40" i="13" s="1"/>
  <c r="AJ39" i="13" s="1"/>
  <c r="AJ38" i="13" s="1"/>
  <c r="AJ37" i="13" s="1"/>
  <c r="AJ36" i="13" s="1"/>
  <c r="AJ35" i="13" s="1"/>
  <c r="AJ34" i="13" s="1"/>
  <c r="AJ33" i="13" s="1"/>
  <c r="AJ32" i="13" s="1"/>
  <c r="AJ31" i="13" s="1"/>
  <c r="AJ30" i="13" s="1"/>
  <c r="AJ29" i="13" s="1"/>
  <c r="AJ28" i="13" s="1"/>
  <c r="AJ27" i="13" s="1"/>
  <c r="AJ26" i="13" s="1"/>
  <c r="AJ25" i="13" s="1"/>
  <c r="AJ24" i="13" s="1"/>
  <c r="AJ23" i="13" s="1"/>
  <c r="AJ22" i="13" s="1"/>
  <c r="AJ21" i="13" s="1"/>
  <c r="AJ20" i="13" s="1"/>
  <c r="AJ19" i="13" s="1"/>
  <c r="AJ18" i="13" s="1"/>
  <c r="AJ17" i="13" s="1"/>
  <c r="AJ16" i="13" s="1"/>
  <c r="AJ15" i="13" s="1"/>
  <c r="AJ14" i="13" s="1"/>
  <c r="AJ13" i="13" s="1"/>
  <c r="AJ12" i="13" s="1"/>
  <c r="AJ11" i="13" s="1"/>
  <c r="AJ10" i="13" s="1"/>
  <c r="AJ9" i="13" s="1"/>
  <c r="AJ8" i="13" s="1"/>
  <c r="AJ7" i="13" s="1"/>
  <c r="AJ6" i="13" s="1"/>
  <c r="AJ5" i="13" s="1"/>
  <c r="AJ4" i="13" s="1"/>
  <c r="AJ3" i="13" s="1"/>
  <c r="AE362" i="10"/>
  <c r="AE361" i="10" s="1"/>
  <c r="AE360" i="10" s="1"/>
  <c r="AE359" i="10" s="1"/>
  <c r="AE358" i="10" s="1"/>
  <c r="AE357" i="10" s="1"/>
  <c r="AE356" i="10" s="1"/>
  <c r="AE355" i="10" s="1"/>
  <c r="AE354" i="10" s="1"/>
  <c r="AE353" i="10" s="1"/>
  <c r="AE352" i="10" s="1"/>
  <c r="AE351" i="10" s="1"/>
  <c r="AE350" i="10" s="1"/>
  <c r="AE349" i="10" s="1"/>
  <c r="AE348" i="10" s="1"/>
  <c r="AE347" i="10" s="1"/>
  <c r="AE346" i="10" s="1"/>
  <c r="AE345" i="10" s="1"/>
  <c r="AE344" i="10" s="1"/>
  <c r="AE343" i="10" s="1"/>
  <c r="AE342" i="10" s="1"/>
  <c r="AE341" i="10" s="1"/>
  <c r="AE340" i="10" s="1"/>
  <c r="AE339" i="10" s="1"/>
  <c r="AE338" i="10" s="1"/>
  <c r="AE337" i="10" s="1"/>
  <c r="AE336" i="10" s="1"/>
  <c r="AE335" i="10" s="1"/>
  <c r="AE334" i="10" s="1"/>
  <c r="AE333" i="10" s="1"/>
  <c r="AE332" i="10" s="1"/>
  <c r="AE331" i="10" s="1"/>
  <c r="AE330" i="10" s="1"/>
  <c r="AE329" i="10" s="1"/>
  <c r="AE328" i="10" s="1"/>
  <c r="AE327" i="10" s="1"/>
  <c r="AE326" i="10" s="1"/>
  <c r="AE325" i="10" s="1"/>
  <c r="AE324" i="10" s="1"/>
  <c r="AE323" i="10" s="1"/>
  <c r="AE322" i="10" s="1"/>
  <c r="AE321" i="10" s="1"/>
  <c r="AE320" i="10" s="1"/>
  <c r="AE319" i="10" s="1"/>
  <c r="AE318" i="10" s="1"/>
  <c r="AE317" i="10" s="1"/>
  <c r="AE316" i="10" s="1"/>
  <c r="AE315" i="10" s="1"/>
  <c r="AE314" i="10" s="1"/>
  <c r="AE313" i="10" s="1"/>
  <c r="AE312" i="10" s="1"/>
  <c r="AE311" i="10" s="1"/>
  <c r="AE310" i="10" s="1"/>
  <c r="AE309" i="10" s="1"/>
  <c r="AE308" i="10" s="1"/>
  <c r="AE307" i="10" s="1"/>
  <c r="AE306" i="10" s="1"/>
  <c r="AE305" i="10" s="1"/>
  <c r="AE304" i="10" s="1"/>
  <c r="AE303" i="10" s="1"/>
  <c r="AE302" i="10" s="1"/>
  <c r="AE301" i="10" s="1"/>
  <c r="AE300" i="10" s="1"/>
  <c r="AE299" i="10" s="1"/>
  <c r="AE298" i="10" s="1"/>
  <c r="AE297" i="10" s="1"/>
  <c r="AE296" i="10" s="1"/>
  <c r="AE295" i="10" s="1"/>
  <c r="AE294" i="10" s="1"/>
  <c r="AE293" i="10" s="1"/>
  <c r="AE292" i="10" s="1"/>
  <c r="AE291" i="10" s="1"/>
  <c r="AE290" i="10" s="1"/>
  <c r="AE289" i="10" s="1"/>
  <c r="AE288" i="10" s="1"/>
  <c r="AE287" i="10" s="1"/>
  <c r="AE286" i="10" s="1"/>
  <c r="AE285" i="10" s="1"/>
  <c r="AE284" i="10" s="1"/>
  <c r="AE283" i="10" s="1"/>
  <c r="AE282" i="10" s="1"/>
  <c r="AE281" i="10" s="1"/>
  <c r="AE280" i="10" s="1"/>
  <c r="AE279" i="10" s="1"/>
  <c r="AE278" i="10" s="1"/>
  <c r="AE277" i="10" s="1"/>
  <c r="AE276" i="10" s="1"/>
  <c r="AE275" i="10" s="1"/>
  <c r="AE274" i="10" s="1"/>
  <c r="AE273" i="10" s="1"/>
  <c r="AE272" i="10" s="1"/>
  <c r="AE271" i="10" s="1"/>
  <c r="AE270" i="10" s="1"/>
  <c r="AE269" i="10" s="1"/>
  <c r="AE268" i="10" s="1"/>
  <c r="AE267" i="10" s="1"/>
  <c r="AE266" i="10" s="1"/>
  <c r="AE265" i="10" s="1"/>
  <c r="AE264" i="10" s="1"/>
  <c r="AE263" i="10" s="1"/>
  <c r="AE262" i="10" s="1"/>
  <c r="AE261" i="10" s="1"/>
  <c r="AE260" i="10" s="1"/>
  <c r="AE259" i="10" s="1"/>
  <c r="AE258" i="10" s="1"/>
  <c r="AE257" i="10" s="1"/>
  <c r="AE256" i="10" s="1"/>
  <c r="AE255" i="10" s="1"/>
  <c r="AE254" i="10" s="1"/>
  <c r="AE253" i="10" s="1"/>
  <c r="AE252" i="10" s="1"/>
  <c r="AE251" i="10" s="1"/>
  <c r="AE250" i="10" s="1"/>
  <c r="AE249" i="10" s="1"/>
  <c r="AE248" i="10" s="1"/>
  <c r="AE247" i="10" s="1"/>
  <c r="AE246" i="10" s="1"/>
  <c r="AE245" i="10" s="1"/>
  <c r="AE244" i="10" s="1"/>
  <c r="AE243" i="10" s="1"/>
  <c r="AE242" i="10" s="1"/>
  <c r="AE241" i="10" s="1"/>
  <c r="AE240" i="10" s="1"/>
  <c r="AE239" i="10" s="1"/>
  <c r="AE238" i="10" s="1"/>
  <c r="AE237" i="10" s="1"/>
  <c r="AE236" i="10" s="1"/>
  <c r="AE235" i="10" s="1"/>
  <c r="AE234" i="10" s="1"/>
  <c r="AE233" i="10" s="1"/>
  <c r="AE232" i="10" s="1"/>
  <c r="AE231" i="10" s="1"/>
  <c r="AE230" i="10" s="1"/>
  <c r="AE229" i="10" s="1"/>
  <c r="AE228" i="10" s="1"/>
  <c r="AE227" i="10" s="1"/>
  <c r="AE226" i="10" s="1"/>
  <c r="AE225" i="10" s="1"/>
  <c r="AE224" i="10" s="1"/>
  <c r="AE223" i="10" s="1"/>
  <c r="AE222" i="10" s="1"/>
  <c r="AE221" i="10" s="1"/>
  <c r="AE220" i="10" s="1"/>
  <c r="AE219" i="10" s="1"/>
  <c r="AE218" i="10" s="1"/>
  <c r="AE217" i="10" s="1"/>
  <c r="AE216" i="10" s="1"/>
  <c r="AE215" i="10" s="1"/>
  <c r="AE214" i="10" s="1"/>
  <c r="AE213" i="10" s="1"/>
  <c r="AE212" i="10" s="1"/>
  <c r="AE211" i="10" s="1"/>
  <c r="AE210" i="10" s="1"/>
  <c r="AE209" i="10" s="1"/>
  <c r="AE208" i="10" s="1"/>
  <c r="AE207" i="10" s="1"/>
  <c r="AE206" i="10" s="1"/>
  <c r="AE205" i="10" s="1"/>
  <c r="AE204" i="10" s="1"/>
  <c r="AE203" i="10" s="1"/>
  <c r="AE202" i="10" s="1"/>
  <c r="AE201" i="10" s="1"/>
  <c r="AE200" i="10" s="1"/>
  <c r="AE199" i="10" s="1"/>
  <c r="AE198" i="10" s="1"/>
  <c r="AE197" i="10" s="1"/>
  <c r="AE196" i="10" s="1"/>
  <c r="AE195" i="10" s="1"/>
  <c r="AE194" i="10" s="1"/>
  <c r="AE193" i="10" s="1"/>
  <c r="AE192" i="10" s="1"/>
  <c r="AE191" i="10" s="1"/>
  <c r="AE190" i="10" s="1"/>
  <c r="AE189" i="10" s="1"/>
  <c r="AE188" i="10" s="1"/>
  <c r="AE187" i="10" s="1"/>
  <c r="AE186" i="10" s="1"/>
  <c r="AE185" i="10" s="1"/>
  <c r="AE184" i="10" s="1"/>
  <c r="AE183" i="10" s="1"/>
  <c r="AE182" i="10" s="1"/>
  <c r="AE181" i="10" s="1"/>
  <c r="AE180" i="10" s="1"/>
  <c r="AE179" i="10" s="1"/>
  <c r="AE178" i="10" s="1"/>
  <c r="AE177" i="10" s="1"/>
  <c r="AE176" i="10" s="1"/>
  <c r="AE175" i="10" s="1"/>
  <c r="AE174" i="10" s="1"/>
  <c r="AE173" i="10" s="1"/>
  <c r="AE172" i="10" s="1"/>
  <c r="AE171" i="10" s="1"/>
  <c r="AE170" i="10" s="1"/>
  <c r="AE169" i="10" s="1"/>
  <c r="AE168" i="10" s="1"/>
  <c r="AE167" i="10" s="1"/>
  <c r="AE166" i="10" s="1"/>
  <c r="AE165" i="10" s="1"/>
  <c r="AE164" i="10" s="1"/>
  <c r="AE163" i="10" s="1"/>
  <c r="AE162" i="10" s="1"/>
  <c r="AE161" i="10" s="1"/>
  <c r="AE160" i="10" s="1"/>
  <c r="AE159" i="10" s="1"/>
  <c r="AE158" i="10" s="1"/>
  <c r="AE157" i="10" s="1"/>
  <c r="AE156" i="10" s="1"/>
  <c r="AE155" i="10" s="1"/>
  <c r="AE154" i="10" s="1"/>
  <c r="AE153" i="10" s="1"/>
  <c r="AE152" i="10" s="1"/>
  <c r="AE151" i="10" s="1"/>
  <c r="AE150" i="10" s="1"/>
  <c r="AE149" i="10" s="1"/>
  <c r="AE148" i="10" s="1"/>
  <c r="AE147" i="10" s="1"/>
  <c r="AE146" i="10" s="1"/>
  <c r="AE145" i="10" s="1"/>
  <c r="AE144" i="10" s="1"/>
  <c r="AE143" i="10" s="1"/>
  <c r="AE142" i="10" s="1"/>
  <c r="AE141" i="10" s="1"/>
  <c r="AE140" i="10" s="1"/>
  <c r="AE139" i="10" s="1"/>
  <c r="AE138" i="10" s="1"/>
  <c r="AE137" i="10" s="1"/>
  <c r="AE136" i="10" s="1"/>
  <c r="AE135" i="10" s="1"/>
  <c r="AE134" i="10" s="1"/>
  <c r="AE133" i="10" s="1"/>
  <c r="AE132" i="10" s="1"/>
  <c r="AE131" i="10" s="1"/>
  <c r="AE130" i="10" s="1"/>
  <c r="AE129" i="10" s="1"/>
  <c r="AE128" i="10" s="1"/>
  <c r="AE127" i="10" s="1"/>
  <c r="AE126" i="10" s="1"/>
  <c r="AE125" i="10" s="1"/>
  <c r="AE124" i="10" s="1"/>
  <c r="AE123" i="10" s="1"/>
  <c r="AE122" i="10" s="1"/>
  <c r="AE121" i="10" s="1"/>
  <c r="AE120" i="10" s="1"/>
  <c r="AE119" i="10" s="1"/>
  <c r="AE118" i="10" s="1"/>
  <c r="AE117" i="10" s="1"/>
  <c r="AE116" i="10" s="1"/>
  <c r="AE115" i="10" s="1"/>
  <c r="AE114" i="10" s="1"/>
  <c r="AE113" i="10" s="1"/>
  <c r="AE112" i="10" s="1"/>
  <c r="AE111" i="10" s="1"/>
  <c r="AE110" i="10" s="1"/>
  <c r="AE109" i="10" s="1"/>
  <c r="AE108" i="10" s="1"/>
  <c r="AE107" i="10" s="1"/>
  <c r="AE106" i="10" s="1"/>
  <c r="AE105" i="10" s="1"/>
  <c r="AE104" i="10" s="1"/>
  <c r="AE103" i="10" s="1"/>
  <c r="AE102" i="10" s="1"/>
  <c r="AE101" i="10" s="1"/>
  <c r="AE100" i="10" s="1"/>
  <c r="AE99" i="10" s="1"/>
  <c r="AE98" i="10" s="1"/>
  <c r="AE97" i="10" s="1"/>
  <c r="AE96" i="10" s="1"/>
  <c r="AE95" i="10" s="1"/>
  <c r="AE94" i="10" s="1"/>
  <c r="AE93" i="10" s="1"/>
  <c r="AE92" i="10" s="1"/>
  <c r="AE91" i="10" s="1"/>
  <c r="AE90" i="10" s="1"/>
  <c r="AE89" i="10" s="1"/>
  <c r="AE88" i="10" s="1"/>
  <c r="AE87" i="10" s="1"/>
  <c r="AE86" i="10" s="1"/>
  <c r="AE85" i="10" s="1"/>
  <c r="AE84" i="10" s="1"/>
  <c r="AE83" i="10" s="1"/>
  <c r="AE82" i="10" s="1"/>
  <c r="AE81" i="10" s="1"/>
  <c r="AE80" i="10" s="1"/>
  <c r="AE79" i="10" s="1"/>
  <c r="AE78" i="10" s="1"/>
  <c r="AE77" i="10" s="1"/>
  <c r="AE76" i="10" s="1"/>
  <c r="AE75" i="10" s="1"/>
  <c r="AE74" i="10" s="1"/>
  <c r="AE73" i="10" s="1"/>
  <c r="AE72" i="10" s="1"/>
  <c r="AE71" i="10" s="1"/>
  <c r="AE70" i="10" s="1"/>
  <c r="AE69" i="10" s="1"/>
  <c r="AE68" i="10" s="1"/>
  <c r="AE67" i="10" s="1"/>
  <c r="AE66" i="10" s="1"/>
  <c r="AE65" i="10" s="1"/>
  <c r="AE64" i="10" s="1"/>
  <c r="AE63" i="10" s="1"/>
  <c r="AE62" i="10" s="1"/>
  <c r="AE61" i="10" s="1"/>
  <c r="AE60" i="10" s="1"/>
  <c r="AE59" i="10" s="1"/>
  <c r="AE58" i="10" s="1"/>
  <c r="AE57" i="10" s="1"/>
  <c r="AE56" i="10" s="1"/>
  <c r="AE55" i="10" s="1"/>
  <c r="AE54" i="10" s="1"/>
  <c r="AE53" i="10" s="1"/>
  <c r="AE52" i="10" s="1"/>
  <c r="AE51" i="10" s="1"/>
  <c r="AE50" i="10" s="1"/>
  <c r="AE49" i="10" s="1"/>
  <c r="AE48" i="10" s="1"/>
  <c r="AE47" i="10" s="1"/>
  <c r="AE46" i="10" s="1"/>
  <c r="AE45" i="10" s="1"/>
  <c r="AE44" i="10" s="1"/>
  <c r="AE43" i="10" s="1"/>
  <c r="AE42" i="10" s="1"/>
  <c r="AE41" i="10" s="1"/>
  <c r="AE40" i="10" s="1"/>
  <c r="AE39" i="10" s="1"/>
  <c r="AE38" i="10" s="1"/>
  <c r="AE37" i="10" s="1"/>
  <c r="AE36" i="10" s="1"/>
  <c r="AE35" i="10" s="1"/>
  <c r="AE34" i="10" s="1"/>
  <c r="AE33" i="10" s="1"/>
  <c r="AE32" i="10" s="1"/>
  <c r="AE31" i="10" s="1"/>
  <c r="AE30" i="10" s="1"/>
  <c r="AE29" i="10" s="1"/>
  <c r="AE28" i="10" s="1"/>
  <c r="AE27" i="10" s="1"/>
  <c r="AE26" i="10" s="1"/>
  <c r="AE25" i="10" s="1"/>
  <c r="AE24" i="10" s="1"/>
  <c r="AE23" i="10" s="1"/>
  <c r="AE22" i="10" s="1"/>
  <c r="AE21" i="10" s="1"/>
  <c r="AE20" i="10" s="1"/>
  <c r="AE19" i="10" s="1"/>
  <c r="AE18" i="10" s="1"/>
  <c r="AE17" i="10" s="1"/>
  <c r="AE16" i="10" s="1"/>
  <c r="AE15" i="10" s="1"/>
  <c r="AE14" i="10" s="1"/>
  <c r="AE13" i="10" s="1"/>
  <c r="AE12" i="10" s="1"/>
  <c r="AE11" i="10" s="1"/>
  <c r="AE10" i="10" s="1"/>
  <c r="AE9" i="10" s="1"/>
  <c r="AE8" i="10" s="1"/>
  <c r="AE7" i="10" s="1"/>
  <c r="AE6" i="10" s="1"/>
  <c r="AE5" i="10" s="1"/>
  <c r="AE4" i="10" s="1"/>
  <c r="AE3" i="10" s="1"/>
  <c r="AH363" i="10"/>
  <c r="AG362" i="10"/>
  <c r="AG361" i="10" s="1"/>
  <c r="AG360" i="10" s="1"/>
  <c r="AG359" i="10" s="1"/>
  <c r="AG358" i="10" s="1"/>
  <c r="AG357" i="10" s="1"/>
  <c r="AG356" i="10" s="1"/>
  <c r="AG355" i="10" s="1"/>
  <c r="AG354" i="10" s="1"/>
  <c r="AG353" i="10" s="1"/>
  <c r="AG352" i="10" s="1"/>
  <c r="AG351" i="10" s="1"/>
  <c r="AG350" i="10" s="1"/>
  <c r="AG349" i="10" s="1"/>
  <c r="AG348" i="10" s="1"/>
  <c r="AG347" i="10" s="1"/>
  <c r="AG346" i="10" s="1"/>
  <c r="AG345" i="10" s="1"/>
  <c r="AG344" i="10" s="1"/>
  <c r="AG343" i="10" s="1"/>
  <c r="AG342" i="10" s="1"/>
  <c r="AG341" i="10" s="1"/>
  <c r="AG340" i="10" s="1"/>
  <c r="AG339" i="10" s="1"/>
  <c r="AG338" i="10" s="1"/>
  <c r="AG337" i="10" s="1"/>
  <c r="AG336" i="10" s="1"/>
  <c r="AG335" i="10" s="1"/>
  <c r="AG334" i="10" s="1"/>
  <c r="AG333" i="10" s="1"/>
  <c r="AG332" i="10" s="1"/>
  <c r="AG331" i="10" s="1"/>
  <c r="AG330" i="10" s="1"/>
  <c r="AG329" i="10" s="1"/>
  <c r="AG328" i="10" s="1"/>
  <c r="AG327" i="10" s="1"/>
  <c r="AG326" i="10" s="1"/>
  <c r="AG325" i="10" s="1"/>
  <c r="AG324" i="10" s="1"/>
  <c r="AG323" i="10" s="1"/>
  <c r="AG322" i="10" s="1"/>
  <c r="AG321" i="10" s="1"/>
  <c r="AG320" i="10" s="1"/>
  <c r="AG319" i="10" s="1"/>
  <c r="AG318" i="10" s="1"/>
  <c r="AG317" i="10" s="1"/>
  <c r="AG316" i="10" s="1"/>
  <c r="AG315" i="10" s="1"/>
  <c r="AG314" i="10" s="1"/>
  <c r="AG313" i="10" s="1"/>
  <c r="AG312" i="10" s="1"/>
  <c r="AG311" i="10" s="1"/>
  <c r="AG310" i="10" s="1"/>
  <c r="AG309" i="10" s="1"/>
  <c r="AG308" i="10" s="1"/>
  <c r="AG307" i="10" s="1"/>
  <c r="AG306" i="10" s="1"/>
  <c r="AG305" i="10" s="1"/>
  <c r="AG304" i="10" s="1"/>
  <c r="AG303" i="10" s="1"/>
  <c r="AG302" i="10" s="1"/>
  <c r="AG301" i="10" s="1"/>
  <c r="AG300" i="10" s="1"/>
  <c r="AG299" i="10" s="1"/>
  <c r="AG298" i="10" s="1"/>
  <c r="AG297" i="10" s="1"/>
  <c r="AG296" i="10" s="1"/>
  <c r="AG295" i="10" s="1"/>
  <c r="AG294" i="10" s="1"/>
  <c r="AG293" i="10" s="1"/>
  <c r="AG292" i="10" s="1"/>
  <c r="AG291" i="10" s="1"/>
  <c r="AG290" i="10" s="1"/>
  <c r="AG289" i="10" s="1"/>
  <c r="AG288" i="10" s="1"/>
  <c r="AG287" i="10" s="1"/>
  <c r="AG286" i="10" s="1"/>
  <c r="AG285" i="10" s="1"/>
  <c r="AG284" i="10" s="1"/>
  <c r="AG283" i="10" s="1"/>
  <c r="AG282" i="10" s="1"/>
  <c r="AG281" i="10" s="1"/>
  <c r="AG280" i="10" s="1"/>
  <c r="AG279" i="10" s="1"/>
  <c r="AG278" i="10" s="1"/>
  <c r="AG277" i="10" s="1"/>
  <c r="AG276" i="10" s="1"/>
  <c r="AG275" i="10" s="1"/>
  <c r="AG274" i="10" s="1"/>
  <c r="AG273" i="10" s="1"/>
  <c r="AG272" i="10" s="1"/>
  <c r="AG271" i="10" s="1"/>
  <c r="AG270" i="10" s="1"/>
  <c r="AG269" i="10" s="1"/>
  <c r="AG268" i="10" s="1"/>
  <c r="AG267" i="10" s="1"/>
  <c r="AG266" i="10" s="1"/>
  <c r="AG265" i="10" s="1"/>
  <c r="AG264" i="10" s="1"/>
  <c r="AG263" i="10" s="1"/>
  <c r="AG262" i="10" s="1"/>
  <c r="AG261" i="10" s="1"/>
  <c r="AG260" i="10" s="1"/>
  <c r="AG259" i="10" s="1"/>
  <c r="AG258" i="10" s="1"/>
  <c r="AG257" i="10" s="1"/>
  <c r="AG256" i="10" s="1"/>
  <c r="AG255" i="10" s="1"/>
  <c r="AG254" i="10" s="1"/>
  <c r="AG253" i="10" s="1"/>
  <c r="AG252" i="10" s="1"/>
  <c r="AG251" i="10" s="1"/>
  <c r="AG250" i="10" s="1"/>
  <c r="AG249" i="10" s="1"/>
  <c r="AG248" i="10" s="1"/>
  <c r="AG247" i="10" s="1"/>
  <c r="AG246" i="10" s="1"/>
  <c r="AG245" i="10" s="1"/>
  <c r="AG244" i="10" s="1"/>
  <c r="AG243" i="10" s="1"/>
  <c r="AG242" i="10" s="1"/>
  <c r="AG241" i="10" s="1"/>
  <c r="AG240" i="10" s="1"/>
  <c r="AG239" i="10" s="1"/>
  <c r="AG238" i="10" s="1"/>
  <c r="AG237" i="10" s="1"/>
  <c r="AG236" i="10" s="1"/>
  <c r="AG235" i="10" s="1"/>
  <c r="AG234" i="10" s="1"/>
  <c r="AG233" i="10" s="1"/>
  <c r="AG232" i="10" s="1"/>
  <c r="AG231" i="10" s="1"/>
  <c r="AG230" i="10" s="1"/>
  <c r="AG229" i="10" s="1"/>
  <c r="AG228" i="10" s="1"/>
  <c r="AG227" i="10" s="1"/>
  <c r="AG226" i="10" s="1"/>
  <c r="AG225" i="10" s="1"/>
  <c r="AG224" i="10" s="1"/>
  <c r="AG223" i="10" s="1"/>
  <c r="AG222" i="10" s="1"/>
  <c r="AG221" i="10" s="1"/>
  <c r="AG220" i="10" s="1"/>
  <c r="AG219" i="10" s="1"/>
  <c r="AG218" i="10" s="1"/>
  <c r="AG217" i="10" s="1"/>
  <c r="AG216" i="10" s="1"/>
  <c r="AG215" i="10" s="1"/>
  <c r="AG214" i="10" s="1"/>
  <c r="AG213" i="10" s="1"/>
  <c r="AG212" i="10" s="1"/>
  <c r="AG211" i="10" s="1"/>
  <c r="AG210" i="10" s="1"/>
  <c r="AG209" i="10" s="1"/>
  <c r="AG208" i="10" s="1"/>
  <c r="AG207" i="10" s="1"/>
  <c r="AG206" i="10" s="1"/>
  <c r="AG205" i="10" s="1"/>
  <c r="AG204" i="10" s="1"/>
  <c r="AG203" i="10" s="1"/>
  <c r="AG202" i="10" s="1"/>
  <c r="AG201" i="10" s="1"/>
  <c r="AG200" i="10" s="1"/>
  <c r="AG199" i="10" s="1"/>
  <c r="AG198" i="10" s="1"/>
  <c r="AG197" i="10" s="1"/>
  <c r="AG196" i="10" s="1"/>
  <c r="AG195" i="10" s="1"/>
  <c r="AG194" i="10" s="1"/>
  <c r="AG193" i="10" s="1"/>
  <c r="AG192" i="10" s="1"/>
  <c r="AG191" i="10" s="1"/>
  <c r="AG190" i="10" s="1"/>
  <c r="AG189" i="10" s="1"/>
  <c r="AG188" i="10" s="1"/>
  <c r="AG187" i="10" s="1"/>
  <c r="AG186" i="10" s="1"/>
  <c r="AG185" i="10" s="1"/>
  <c r="AG184" i="10" s="1"/>
  <c r="AG183" i="10" s="1"/>
  <c r="AG182" i="10" s="1"/>
  <c r="AG181" i="10" s="1"/>
  <c r="AG180" i="10" s="1"/>
  <c r="AG179" i="10" s="1"/>
  <c r="AG178" i="10" s="1"/>
  <c r="AG177" i="10" s="1"/>
  <c r="AG176" i="10" s="1"/>
  <c r="AG175" i="10" s="1"/>
  <c r="AG174" i="10" s="1"/>
  <c r="AG173" i="10" s="1"/>
  <c r="AG172" i="10" s="1"/>
  <c r="AG171" i="10" s="1"/>
  <c r="AG170" i="10" s="1"/>
  <c r="AG169" i="10" s="1"/>
  <c r="AG168" i="10" s="1"/>
  <c r="AG167" i="10" s="1"/>
  <c r="AG166" i="10" s="1"/>
  <c r="AG165" i="10" s="1"/>
  <c r="AG164" i="10" s="1"/>
  <c r="AG163" i="10" s="1"/>
  <c r="AG162" i="10" s="1"/>
  <c r="AG161" i="10" s="1"/>
  <c r="AG160" i="10" s="1"/>
  <c r="AG159" i="10" s="1"/>
  <c r="AG158" i="10" s="1"/>
  <c r="AG157" i="10" s="1"/>
  <c r="AG156" i="10" s="1"/>
  <c r="AG155" i="10" s="1"/>
  <c r="AG154" i="10" s="1"/>
  <c r="AG153" i="10" s="1"/>
  <c r="AG152" i="10" s="1"/>
  <c r="AG151" i="10" s="1"/>
  <c r="AG150" i="10" s="1"/>
  <c r="AG149" i="10" s="1"/>
  <c r="AG148" i="10" s="1"/>
  <c r="AG147" i="10" s="1"/>
  <c r="AG146" i="10" s="1"/>
  <c r="AG145" i="10" s="1"/>
  <c r="AG144" i="10" s="1"/>
  <c r="AG143" i="10" s="1"/>
  <c r="AG142" i="10" s="1"/>
  <c r="AG141" i="10" s="1"/>
  <c r="AG140" i="10" s="1"/>
  <c r="AG139" i="10" s="1"/>
  <c r="AG138" i="10" s="1"/>
  <c r="AG137" i="10" s="1"/>
  <c r="AG136" i="10" s="1"/>
  <c r="AG135" i="10" s="1"/>
  <c r="AG134" i="10" s="1"/>
  <c r="AG133" i="10" s="1"/>
  <c r="AG132" i="10" s="1"/>
  <c r="AG131" i="10" s="1"/>
  <c r="AG130" i="10" s="1"/>
  <c r="AG129" i="10" s="1"/>
  <c r="AG128" i="10" s="1"/>
  <c r="AG127" i="10" s="1"/>
  <c r="AG126" i="10" s="1"/>
  <c r="AG125" i="10" s="1"/>
  <c r="AG124" i="10" s="1"/>
  <c r="AG123" i="10" s="1"/>
  <c r="AG122" i="10" s="1"/>
  <c r="AG121" i="10" s="1"/>
  <c r="AG120" i="10" s="1"/>
  <c r="AG119" i="10" s="1"/>
  <c r="AG118" i="10" s="1"/>
  <c r="AG117" i="10" s="1"/>
  <c r="AG116" i="10" s="1"/>
  <c r="AG115" i="10" s="1"/>
  <c r="AG114" i="10" s="1"/>
  <c r="AG113" i="10" s="1"/>
  <c r="AG112" i="10" s="1"/>
  <c r="AG111" i="10" s="1"/>
  <c r="AG110" i="10" s="1"/>
  <c r="AG109" i="10" s="1"/>
  <c r="AG108" i="10" s="1"/>
  <c r="AG107" i="10" s="1"/>
  <c r="AG106" i="10" s="1"/>
  <c r="AG105" i="10" s="1"/>
  <c r="AG104" i="10" s="1"/>
  <c r="AG103" i="10" s="1"/>
  <c r="AG102" i="10" s="1"/>
  <c r="AG101" i="10" s="1"/>
  <c r="AG100" i="10" s="1"/>
  <c r="AG99" i="10" s="1"/>
  <c r="AG98" i="10" s="1"/>
  <c r="AG97" i="10" s="1"/>
  <c r="AG96" i="10" s="1"/>
  <c r="AG95" i="10" s="1"/>
  <c r="AG94" i="10" s="1"/>
  <c r="AG93" i="10" s="1"/>
  <c r="AG92" i="10" s="1"/>
  <c r="AG91" i="10" s="1"/>
  <c r="AG90" i="10" s="1"/>
  <c r="AG89" i="10" s="1"/>
  <c r="AG88" i="10" s="1"/>
  <c r="AG87" i="10" s="1"/>
  <c r="AG86" i="10" s="1"/>
  <c r="AG85" i="10" s="1"/>
  <c r="AG84" i="10" s="1"/>
  <c r="AG83" i="10" s="1"/>
  <c r="AG82" i="10" s="1"/>
  <c r="AG81" i="10" s="1"/>
  <c r="AG80" i="10" s="1"/>
  <c r="AG79" i="10" s="1"/>
  <c r="AG78" i="10" s="1"/>
  <c r="AG77" i="10" s="1"/>
  <c r="AG76" i="10" s="1"/>
  <c r="AG75" i="10" s="1"/>
  <c r="AG74" i="10" s="1"/>
  <c r="AG73" i="10" s="1"/>
  <c r="AG72" i="10" s="1"/>
  <c r="AG71" i="10" s="1"/>
  <c r="AG70" i="10" s="1"/>
  <c r="AG69" i="10" s="1"/>
  <c r="AG68" i="10" s="1"/>
  <c r="AG67" i="10" s="1"/>
  <c r="AG66" i="10" s="1"/>
  <c r="AG65" i="10" s="1"/>
  <c r="AG64" i="10" s="1"/>
  <c r="AG63" i="10" s="1"/>
  <c r="AG62" i="10" s="1"/>
  <c r="AG61" i="10" s="1"/>
  <c r="AG60" i="10" s="1"/>
  <c r="AG59" i="10" s="1"/>
  <c r="AG58" i="10" s="1"/>
  <c r="AG57" i="10" s="1"/>
  <c r="AG56" i="10" s="1"/>
  <c r="AG55" i="10" s="1"/>
  <c r="AG54" i="10" s="1"/>
  <c r="AG53" i="10" s="1"/>
  <c r="AG52" i="10" s="1"/>
  <c r="AG51" i="10" s="1"/>
  <c r="AG50" i="10" s="1"/>
  <c r="AG49" i="10" s="1"/>
  <c r="AG48" i="10" s="1"/>
  <c r="AG47" i="10" s="1"/>
  <c r="AG46" i="10" s="1"/>
  <c r="AG45" i="10" s="1"/>
  <c r="AG44" i="10" s="1"/>
  <c r="AG43" i="10" s="1"/>
  <c r="AG42" i="10" s="1"/>
  <c r="AG41" i="10" s="1"/>
  <c r="AG40" i="10" s="1"/>
  <c r="AG39" i="10" s="1"/>
  <c r="AG38" i="10" s="1"/>
  <c r="AG37" i="10" s="1"/>
  <c r="AG36" i="10" s="1"/>
  <c r="AG35" i="10" s="1"/>
  <c r="AG34" i="10" s="1"/>
  <c r="AG33" i="10" s="1"/>
  <c r="AG32" i="10" s="1"/>
  <c r="AG31" i="10" s="1"/>
  <c r="AG30" i="10" s="1"/>
  <c r="AG29" i="10" s="1"/>
  <c r="AG28" i="10" s="1"/>
  <c r="AG27" i="10" s="1"/>
  <c r="AG26" i="10" s="1"/>
  <c r="AG25" i="10" s="1"/>
  <c r="AG24" i="10" s="1"/>
  <c r="AG23" i="10" s="1"/>
  <c r="AG22" i="10" s="1"/>
  <c r="AG21" i="10" s="1"/>
  <c r="AG20" i="10" s="1"/>
  <c r="AG19" i="10" s="1"/>
  <c r="AG18" i="10" s="1"/>
  <c r="AG17" i="10" s="1"/>
  <c r="AG16" i="10" s="1"/>
  <c r="AG15" i="10" s="1"/>
  <c r="AG14" i="10" s="1"/>
  <c r="AG13" i="10" s="1"/>
  <c r="AG12" i="10" s="1"/>
  <c r="AG11" i="10" s="1"/>
  <c r="AG10" i="10" s="1"/>
  <c r="AG9" i="10" s="1"/>
  <c r="AG8" i="10" s="1"/>
  <c r="AG7" i="10" s="1"/>
  <c r="AG6" i="10" s="1"/>
  <c r="AG5" i="10" s="1"/>
  <c r="AG4" i="10" s="1"/>
  <c r="AG3" i="10" s="1"/>
  <c r="AJ363" i="10"/>
  <c r="AJ362" i="10" s="1"/>
  <c r="AJ361" i="10" s="1"/>
  <c r="AJ360" i="10" s="1"/>
  <c r="AJ359" i="10" s="1"/>
  <c r="AJ358" i="10" s="1"/>
  <c r="AJ357" i="10" s="1"/>
  <c r="AJ356" i="10" s="1"/>
  <c r="AJ355" i="10" s="1"/>
  <c r="AJ354" i="10" s="1"/>
  <c r="AJ353" i="10" s="1"/>
  <c r="AJ352" i="10" s="1"/>
  <c r="AJ351" i="10" s="1"/>
  <c r="AJ350" i="10" s="1"/>
  <c r="AJ349" i="10" s="1"/>
  <c r="AJ348" i="10" s="1"/>
  <c r="AJ347" i="10" s="1"/>
  <c r="AJ346" i="10" s="1"/>
  <c r="AJ345" i="10" s="1"/>
  <c r="AJ344" i="10" s="1"/>
  <c r="AJ343" i="10" s="1"/>
  <c r="AJ342" i="10" s="1"/>
  <c r="AJ341" i="10" s="1"/>
  <c r="AJ340" i="10" s="1"/>
  <c r="AJ339" i="10" s="1"/>
  <c r="AJ338" i="10" s="1"/>
  <c r="AJ337" i="10" s="1"/>
  <c r="AJ336" i="10" s="1"/>
  <c r="AJ335" i="10" s="1"/>
  <c r="AJ334" i="10" s="1"/>
  <c r="AJ333" i="10" s="1"/>
  <c r="AJ332" i="10" s="1"/>
  <c r="AJ331" i="10" s="1"/>
  <c r="AJ330" i="10" s="1"/>
  <c r="AJ329" i="10" s="1"/>
  <c r="AJ328" i="10" s="1"/>
  <c r="AJ327" i="10" s="1"/>
  <c r="AJ326" i="10" s="1"/>
  <c r="AJ325" i="10" s="1"/>
  <c r="AJ324" i="10" s="1"/>
  <c r="AJ323" i="10" s="1"/>
  <c r="AJ322" i="10" s="1"/>
  <c r="AJ321" i="10" s="1"/>
  <c r="AJ320" i="10" s="1"/>
  <c r="AJ319" i="10" s="1"/>
  <c r="AJ318" i="10" s="1"/>
  <c r="AJ317" i="10" s="1"/>
  <c r="AJ316" i="10" s="1"/>
  <c r="AJ315" i="10" s="1"/>
  <c r="AJ314" i="10" s="1"/>
  <c r="AJ313" i="10" s="1"/>
  <c r="AJ312" i="10" s="1"/>
  <c r="AJ311" i="10" s="1"/>
  <c r="AJ310" i="10" s="1"/>
  <c r="AJ309" i="10" s="1"/>
  <c r="AJ308" i="10" s="1"/>
  <c r="AJ307" i="10" s="1"/>
  <c r="AJ306" i="10" s="1"/>
  <c r="AJ305" i="10" s="1"/>
  <c r="AJ304" i="10" s="1"/>
  <c r="AJ303" i="10" s="1"/>
  <c r="AJ302" i="10" s="1"/>
  <c r="AJ301" i="10" s="1"/>
  <c r="AJ300" i="10" s="1"/>
  <c r="AJ299" i="10" s="1"/>
  <c r="AJ298" i="10" s="1"/>
  <c r="AJ297" i="10" s="1"/>
  <c r="AJ296" i="10" s="1"/>
  <c r="AJ295" i="10" s="1"/>
  <c r="AJ294" i="10" s="1"/>
  <c r="AJ293" i="10" s="1"/>
  <c r="AJ292" i="10" s="1"/>
  <c r="AJ291" i="10" s="1"/>
  <c r="AJ290" i="10" s="1"/>
  <c r="AJ289" i="10" s="1"/>
  <c r="AJ288" i="10" s="1"/>
  <c r="AJ287" i="10" s="1"/>
  <c r="AJ286" i="10" s="1"/>
  <c r="AJ285" i="10" s="1"/>
  <c r="AJ284" i="10" s="1"/>
  <c r="AJ283" i="10" s="1"/>
  <c r="AJ282" i="10" s="1"/>
  <c r="AJ281" i="10" s="1"/>
  <c r="AJ280" i="10" s="1"/>
  <c r="AJ279" i="10" s="1"/>
  <c r="AJ278" i="10" s="1"/>
  <c r="AJ277" i="10" s="1"/>
  <c r="AJ276" i="10" s="1"/>
  <c r="AJ275" i="10" s="1"/>
  <c r="AJ274" i="10" s="1"/>
  <c r="AJ273" i="10" s="1"/>
  <c r="AJ272" i="10" s="1"/>
  <c r="AJ271" i="10" s="1"/>
  <c r="AJ270" i="10" s="1"/>
  <c r="AJ269" i="10" s="1"/>
  <c r="AJ268" i="10" s="1"/>
  <c r="AJ267" i="10" s="1"/>
  <c r="AJ266" i="10" s="1"/>
  <c r="AJ265" i="10" s="1"/>
  <c r="AJ264" i="10" s="1"/>
  <c r="AJ263" i="10" s="1"/>
  <c r="AJ262" i="10" s="1"/>
  <c r="AJ261" i="10" s="1"/>
  <c r="AJ260" i="10" s="1"/>
  <c r="AJ259" i="10" s="1"/>
  <c r="AJ258" i="10" s="1"/>
  <c r="AJ257" i="10" s="1"/>
  <c r="AJ256" i="10" s="1"/>
  <c r="AJ255" i="10" s="1"/>
  <c r="AJ254" i="10" s="1"/>
  <c r="AJ253" i="10" s="1"/>
  <c r="AJ252" i="10" s="1"/>
  <c r="AJ251" i="10" s="1"/>
  <c r="AJ250" i="10" s="1"/>
  <c r="AJ249" i="10" s="1"/>
  <c r="AJ248" i="10" s="1"/>
  <c r="AJ247" i="10" s="1"/>
  <c r="AJ246" i="10" s="1"/>
  <c r="AJ245" i="10" s="1"/>
  <c r="AJ244" i="10" s="1"/>
  <c r="AJ243" i="10" s="1"/>
  <c r="AJ242" i="10" s="1"/>
  <c r="AJ241" i="10" s="1"/>
  <c r="AJ240" i="10" s="1"/>
  <c r="AJ239" i="10" s="1"/>
  <c r="AJ238" i="10" s="1"/>
  <c r="AJ237" i="10" s="1"/>
  <c r="AJ236" i="10" s="1"/>
  <c r="AJ235" i="10" s="1"/>
  <c r="AJ234" i="10" s="1"/>
  <c r="AJ233" i="10" s="1"/>
  <c r="AJ232" i="10" s="1"/>
  <c r="AJ231" i="10" s="1"/>
  <c r="AJ230" i="10" s="1"/>
  <c r="AJ229" i="10" s="1"/>
  <c r="AJ228" i="10" s="1"/>
  <c r="AJ227" i="10" s="1"/>
  <c r="AJ226" i="10" s="1"/>
  <c r="AJ225" i="10" s="1"/>
  <c r="AJ224" i="10" s="1"/>
  <c r="AJ223" i="10" s="1"/>
  <c r="AJ222" i="10" s="1"/>
  <c r="AJ221" i="10" s="1"/>
  <c r="AJ220" i="10" s="1"/>
  <c r="AJ219" i="10" s="1"/>
  <c r="AJ218" i="10" s="1"/>
  <c r="AJ217" i="10" s="1"/>
  <c r="AJ216" i="10" s="1"/>
  <c r="AJ215" i="10" s="1"/>
  <c r="AJ214" i="10" s="1"/>
  <c r="AJ213" i="10" s="1"/>
  <c r="AJ212" i="10" s="1"/>
  <c r="AJ211" i="10" s="1"/>
  <c r="AJ210" i="10" s="1"/>
  <c r="AJ209" i="10" s="1"/>
  <c r="AJ208" i="10" s="1"/>
  <c r="AJ207" i="10" s="1"/>
  <c r="AJ206" i="10" s="1"/>
  <c r="AJ205" i="10" s="1"/>
  <c r="AJ204" i="10" s="1"/>
  <c r="AJ203" i="10" s="1"/>
  <c r="AJ202" i="10" s="1"/>
  <c r="AJ201" i="10" s="1"/>
  <c r="AJ200" i="10" s="1"/>
  <c r="AJ199" i="10" s="1"/>
  <c r="AJ198" i="10" s="1"/>
  <c r="AJ197" i="10" s="1"/>
  <c r="AJ196" i="10" s="1"/>
  <c r="AJ195" i="10" s="1"/>
  <c r="AJ194" i="10" s="1"/>
  <c r="AJ193" i="10" s="1"/>
  <c r="AJ192" i="10" s="1"/>
  <c r="AJ191" i="10" s="1"/>
  <c r="AJ190" i="10" s="1"/>
  <c r="AJ189" i="10" s="1"/>
  <c r="AJ188" i="10" s="1"/>
  <c r="AJ187" i="10" s="1"/>
  <c r="AJ186" i="10" s="1"/>
  <c r="AJ185" i="10" s="1"/>
  <c r="AJ184" i="10" s="1"/>
  <c r="AJ183" i="10" s="1"/>
  <c r="AJ182" i="10" s="1"/>
  <c r="AJ181" i="10" s="1"/>
  <c r="AJ180" i="10" s="1"/>
  <c r="AJ179" i="10" s="1"/>
  <c r="AJ178" i="10" s="1"/>
  <c r="AJ177" i="10" s="1"/>
  <c r="AJ176" i="10" s="1"/>
  <c r="AJ175" i="10" s="1"/>
  <c r="AJ174" i="10" s="1"/>
  <c r="AJ173" i="10" s="1"/>
  <c r="AJ172" i="10" s="1"/>
  <c r="AJ171" i="10" s="1"/>
  <c r="AJ170" i="10" s="1"/>
  <c r="AJ169" i="10" s="1"/>
  <c r="AJ168" i="10" s="1"/>
  <c r="AJ167" i="10" s="1"/>
  <c r="AJ166" i="10" s="1"/>
  <c r="AJ165" i="10" s="1"/>
  <c r="AJ164" i="10" s="1"/>
  <c r="AJ163" i="10" s="1"/>
  <c r="AJ162" i="10" s="1"/>
  <c r="AJ161" i="10" s="1"/>
  <c r="AJ160" i="10" s="1"/>
  <c r="AJ159" i="10" s="1"/>
  <c r="AJ158" i="10" s="1"/>
  <c r="AJ157" i="10" s="1"/>
  <c r="AJ156" i="10" s="1"/>
  <c r="AJ155" i="10" s="1"/>
  <c r="AJ154" i="10" s="1"/>
  <c r="AJ153" i="10" s="1"/>
  <c r="AJ152" i="10" s="1"/>
  <c r="AJ151" i="10" s="1"/>
  <c r="AJ150" i="10" s="1"/>
  <c r="AJ149" i="10" s="1"/>
  <c r="AJ148" i="10" s="1"/>
  <c r="AJ147" i="10" s="1"/>
  <c r="AJ146" i="10" s="1"/>
  <c r="AJ145" i="10" s="1"/>
  <c r="AJ144" i="10" s="1"/>
  <c r="AJ143" i="10" s="1"/>
  <c r="AJ142" i="10" s="1"/>
  <c r="AJ141" i="10" s="1"/>
  <c r="AJ140" i="10" s="1"/>
  <c r="AJ139" i="10" s="1"/>
  <c r="AJ138" i="10" s="1"/>
  <c r="AJ137" i="10" s="1"/>
  <c r="AJ136" i="10" s="1"/>
  <c r="AJ135" i="10" s="1"/>
  <c r="AJ134" i="10" s="1"/>
  <c r="AJ133" i="10" s="1"/>
  <c r="AJ132" i="10" s="1"/>
  <c r="AJ131" i="10" s="1"/>
  <c r="AJ130" i="10" s="1"/>
  <c r="AJ129" i="10" s="1"/>
  <c r="AJ128" i="10" s="1"/>
  <c r="AJ127" i="10" s="1"/>
  <c r="AJ126" i="10" s="1"/>
  <c r="AJ125" i="10" s="1"/>
  <c r="AJ124" i="10" s="1"/>
  <c r="AJ123" i="10" s="1"/>
  <c r="AJ122" i="10" s="1"/>
  <c r="AJ121" i="10" s="1"/>
  <c r="AJ120" i="10" s="1"/>
  <c r="AJ119" i="10" s="1"/>
  <c r="AJ118" i="10" s="1"/>
  <c r="AJ117" i="10" s="1"/>
  <c r="AJ116" i="10" s="1"/>
  <c r="AJ115" i="10" s="1"/>
  <c r="AJ114" i="10" s="1"/>
  <c r="AJ113" i="10" s="1"/>
  <c r="AJ112" i="10" s="1"/>
  <c r="AJ111" i="10" s="1"/>
  <c r="AJ110" i="10" s="1"/>
  <c r="AJ109" i="10" s="1"/>
  <c r="AJ108" i="10" s="1"/>
  <c r="AJ107" i="10" s="1"/>
  <c r="AJ106" i="10" s="1"/>
  <c r="AJ105" i="10" s="1"/>
  <c r="AJ104" i="10" s="1"/>
  <c r="AJ103" i="10" s="1"/>
  <c r="AJ102" i="10" s="1"/>
  <c r="AJ101" i="10" s="1"/>
  <c r="AJ100" i="10" s="1"/>
  <c r="AJ99" i="10" s="1"/>
  <c r="AJ98" i="10" s="1"/>
  <c r="AJ97" i="10" s="1"/>
  <c r="AJ96" i="10" s="1"/>
  <c r="AJ95" i="10" s="1"/>
  <c r="AJ94" i="10" s="1"/>
  <c r="AJ93" i="10" s="1"/>
  <c r="AJ92" i="10" s="1"/>
  <c r="AJ91" i="10" s="1"/>
  <c r="AJ90" i="10" s="1"/>
  <c r="AJ89" i="10" s="1"/>
  <c r="AJ88" i="10" s="1"/>
  <c r="AJ87" i="10" s="1"/>
  <c r="AJ86" i="10" s="1"/>
  <c r="AJ85" i="10" s="1"/>
  <c r="AJ84" i="10" s="1"/>
  <c r="AJ83" i="10" s="1"/>
  <c r="AJ82" i="10" s="1"/>
  <c r="AJ81" i="10" s="1"/>
  <c r="AJ80" i="10" s="1"/>
  <c r="AJ79" i="10" s="1"/>
  <c r="AJ78" i="10" s="1"/>
  <c r="AJ77" i="10" s="1"/>
  <c r="AJ76" i="10" s="1"/>
  <c r="AJ75" i="10" s="1"/>
  <c r="AJ74" i="10" s="1"/>
  <c r="AJ73" i="10" s="1"/>
  <c r="AJ72" i="10" s="1"/>
  <c r="AJ71" i="10" s="1"/>
  <c r="AJ70" i="10" s="1"/>
  <c r="AJ69" i="10" s="1"/>
  <c r="AJ68" i="10" s="1"/>
  <c r="AJ67" i="10" s="1"/>
  <c r="AJ66" i="10" s="1"/>
  <c r="AJ65" i="10" s="1"/>
  <c r="AJ64" i="10" s="1"/>
  <c r="AJ63" i="10" s="1"/>
  <c r="AJ62" i="10" s="1"/>
  <c r="AJ61" i="10" s="1"/>
  <c r="AJ60" i="10" s="1"/>
  <c r="AJ59" i="10" s="1"/>
  <c r="AJ58" i="10" s="1"/>
  <c r="AJ57" i="10" s="1"/>
  <c r="AJ56" i="10" s="1"/>
  <c r="AJ55" i="10" s="1"/>
  <c r="AJ54" i="10" s="1"/>
  <c r="AJ53" i="10" s="1"/>
  <c r="AJ52" i="10" s="1"/>
  <c r="AJ51" i="10" s="1"/>
  <c r="AJ50" i="10" s="1"/>
  <c r="AJ49" i="10" s="1"/>
  <c r="AJ48" i="10" s="1"/>
  <c r="AJ47" i="10" s="1"/>
  <c r="AJ46" i="10" s="1"/>
  <c r="AJ45" i="10" s="1"/>
  <c r="AJ44" i="10" s="1"/>
  <c r="AJ43" i="10" s="1"/>
  <c r="AJ42" i="10" s="1"/>
  <c r="AJ41" i="10" s="1"/>
  <c r="AJ40" i="10" s="1"/>
  <c r="AJ39" i="10" s="1"/>
  <c r="AJ38" i="10" s="1"/>
  <c r="AJ37" i="10" s="1"/>
  <c r="AJ36" i="10" s="1"/>
  <c r="AJ35" i="10" s="1"/>
  <c r="AJ34" i="10" s="1"/>
  <c r="AJ33" i="10" s="1"/>
  <c r="AJ32" i="10" s="1"/>
  <c r="AJ31" i="10" s="1"/>
  <c r="AJ30" i="10" s="1"/>
  <c r="AJ29" i="10" s="1"/>
  <c r="AJ28" i="10" s="1"/>
  <c r="AJ27" i="10" s="1"/>
  <c r="AJ26" i="10" s="1"/>
  <c r="AJ25" i="10" s="1"/>
  <c r="AJ24" i="10" s="1"/>
  <c r="AJ23" i="10" s="1"/>
  <c r="AJ22" i="10" s="1"/>
  <c r="AJ21" i="10" s="1"/>
  <c r="AJ20" i="10" s="1"/>
  <c r="AJ19" i="10" s="1"/>
  <c r="AJ18" i="10" s="1"/>
  <c r="AJ17" i="10" s="1"/>
  <c r="AJ16" i="10" s="1"/>
  <c r="AJ15" i="10" s="1"/>
  <c r="AJ14" i="10" s="1"/>
  <c r="AJ13" i="10" s="1"/>
  <c r="AJ12" i="10" s="1"/>
  <c r="AJ11" i="10" s="1"/>
  <c r="AJ10" i="10" s="1"/>
  <c r="AJ9" i="10" s="1"/>
  <c r="AJ8" i="10" s="1"/>
  <c r="AJ7" i="10" s="1"/>
  <c r="AJ6" i="10" s="1"/>
  <c r="AJ5" i="10" s="1"/>
  <c r="AJ4" i="10" s="1"/>
  <c r="AJ3" i="10" s="1"/>
  <c r="H99" i="14" l="1"/>
  <c r="H98" i="14" s="1"/>
  <c r="H103" i="14" s="1"/>
  <c r="I37" i="14"/>
  <c r="I42" i="14" s="1"/>
  <c r="H166" i="14"/>
  <c r="H171" i="14" s="1"/>
  <c r="H62" i="14"/>
  <c r="H66" i="14" s="1"/>
  <c r="I62" i="14"/>
  <c r="I66" i="14" s="1"/>
  <c r="H227" i="14"/>
  <c r="H232" i="14" s="1"/>
  <c r="H123" i="8"/>
  <c r="H128" i="8" s="1"/>
  <c r="I62" i="8"/>
  <c r="I66" i="8" s="1"/>
  <c r="H166" i="8"/>
  <c r="H171" i="8" s="1"/>
  <c r="N113" i="11"/>
  <c r="N114" i="11" s="1"/>
  <c r="H101" i="11" s="1"/>
  <c r="N55" i="11"/>
  <c r="N54" i="11" s="1"/>
  <c r="H41" i="11" s="1"/>
  <c r="O52" i="11"/>
  <c r="O53" i="11" s="1"/>
  <c r="I40" i="11" s="1"/>
  <c r="O54" i="11"/>
  <c r="I41" i="11" s="1"/>
  <c r="I228" i="11"/>
  <c r="I227" i="11" s="1"/>
  <c r="I232" i="11" s="1"/>
  <c r="I63" i="11"/>
  <c r="I62" i="11" s="1"/>
  <c r="I66" i="11" s="1"/>
  <c r="I99" i="11"/>
  <c r="I98" i="11" s="1"/>
  <c r="I103" i="11" s="1"/>
  <c r="I124" i="11"/>
  <c r="I123" i="11" s="1"/>
  <c r="I128" i="11" s="1"/>
  <c r="I38" i="11"/>
  <c r="I37" i="11" s="1"/>
  <c r="I42" i="11" s="1"/>
  <c r="N138" i="11"/>
  <c r="N139" i="11" s="1"/>
  <c r="H126" i="11" s="1"/>
  <c r="L40" i="8"/>
  <c r="I38" i="8" s="1"/>
  <c r="L39" i="8"/>
  <c r="H38" i="8" s="1"/>
  <c r="N115" i="14"/>
  <c r="H102" i="14" s="1"/>
  <c r="N113" i="14"/>
  <c r="N114" i="14" s="1"/>
  <c r="H101" i="14" s="1"/>
  <c r="N179" i="14"/>
  <c r="N180" i="14" s="1"/>
  <c r="H169" i="14" s="1"/>
  <c r="O55" i="14"/>
  <c r="O54" i="14" s="1"/>
  <c r="I41" i="14" s="1"/>
  <c r="O113" i="14"/>
  <c r="O114" i="14" s="1"/>
  <c r="I101" i="14" s="1"/>
  <c r="O140" i="14"/>
  <c r="I127" i="14" s="1"/>
  <c r="O138" i="14"/>
  <c r="O139" i="14" s="1"/>
  <c r="I126" i="14" s="1"/>
  <c r="H123" i="14"/>
  <c r="H128" i="14" s="1"/>
  <c r="H38" i="14"/>
  <c r="H227" i="8"/>
  <c r="H232" i="8" s="1"/>
  <c r="N52" i="8"/>
  <c r="N53" i="8" s="1"/>
  <c r="H40" i="8" s="1"/>
  <c r="I124" i="8"/>
  <c r="I99" i="8"/>
  <c r="N113" i="8"/>
  <c r="N114" i="8" s="1"/>
  <c r="H101" i="8" s="1"/>
  <c r="O52" i="8"/>
  <c r="O53" i="8" s="1"/>
  <c r="I40" i="8" s="1"/>
  <c r="O54" i="8"/>
  <c r="I41" i="8" s="1"/>
  <c r="L101" i="14"/>
  <c r="I99" i="14" s="1"/>
  <c r="L125" i="11"/>
  <c r="L126" i="14"/>
  <c r="I124" i="14" s="1"/>
  <c r="L100" i="8"/>
  <c r="L100" i="11"/>
  <c r="AK363" i="16"/>
  <c r="AK362" i="16" s="1"/>
  <c r="AK361" i="16" s="1"/>
  <c r="AK360" i="16" s="1"/>
  <c r="AK359" i="16" s="1"/>
  <c r="AK358" i="16" s="1"/>
  <c r="AK357" i="16" s="1"/>
  <c r="AK356" i="16" s="1"/>
  <c r="AK355" i="16" s="1"/>
  <c r="AK354" i="16" s="1"/>
  <c r="AK353" i="16" s="1"/>
  <c r="AK352" i="16" s="1"/>
  <c r="AK351" i="16" s="1"/>
  <c r="AK350" i="16" s="1"/>
  <c r="AK349" i="16" s="1"/>
  <c r="AK348" i="16" s="1"/>
  <c r="AK347" i="16" s="1"/>
  <c r="AK346" i="16" s="1"/>
  <c r="AK345" i="16" s="1"/>
  <c r="AK344" i="16" s="1"/>
  <c r="AK343" i="16" s="1"/>
  <c r="AK342" i="16" s="1"/>
  <c r="AK341" i="16" s="1"/>
  <c r="AK340" i="16" s="1"/>
  <c r="AK339" i="16" s="1"/>
  <c r="AK338" i="16" s="1"/>
  <c r="AK337" i="16" s="1"/>
  <c r="AK336" i="16" s="1"/>
  <c r="AK335" i="16" s="1"/>
  <c r="AK334" i="16" s="1"/>
  <c r="AK333" i="16" s="1"/>
  <c r="AK332" i="16" s="1"/>
  <c r="AK331" i="16" s="1"/>
  <c r="AK330" i="16" s="1"/>
  <c r="AK329" i="16" s="1"/>
  <c r="AK328" i="16" s="1"/>
  <c r="AK327" i="16" s="1"/>
  <c r="AK326" i="16" s="1"/>
  <c r="AK325" i="16" s="1"/>
  <c r="AK324" i="16" s="1"/>
  <c r="AK323" i="16" s="1"/>
  <c r="AK322" i="16" s="1"/>
  <c r="AK321" i="16" s="1"/>
  <c r="AK320" i="16" s="1"/>
  <c r="AK319" i="16" s="1"/>
  <c r="AK318" i="16" s="1"/>
  <c r="AK317" i="16" s="1"/>
  <c r="AK316" i="16" s="1"/>
  <c r="AK315" i="16" s="1"/>
  <c r="AK314" i="16" s="1"/>
  <c r="AK313" i="16" s="1"/>
  <c r="AK312" i="16" s="1"/>
  <c r="AK311" i="16" s="1"/>
  <c r="AK310" i="16" s="1"/>
  <c r="AK309" i="16" s="1"/>
  <c r="AK308" i="16" s="1"/>
  <c r="AK307" i="16" s="1"/>
  <c r="AK306" i="16" s="1"/>
  <c r="AK305" i="16" s="1"/>
  <c r="AK304" i="16" s="1"/>
  <c r="AK303" i="16" s="1"/>
  <c r="AK302" i="16" s="1"/>
  <c r="AK301" i="16" s="1"/>
  <c r="AK300" i="16" s="1"/>
  <c r="AK299" i="16" s="1"/>
  <c r="AK298" i="16" s="1"/>
  <c r="AK297" i="16" s="1"/>
  <c r="AK296" i="16" s="1"/>
  <c r="AK295" i="16" s="1"/>
  <c r="AK294" i="16" s="1"/>
  <c r="AK293" i="16" s="1"/>
  <c r="AK292" i="16" s="1"/>
  <c r="AK291" i="16" s="1"/>
  <c r="AK290" i="16" s="1"/>
  <c r="AK289" i="16" s="1"/>
  <c r="AK288" i="16" s="1"/>
  <c r="AK287" i="16" s="1"/>
  <c r="AK286" i="16" s="1"/>
  <c r="AK285" i="16" s="1"/>
  <c r="AK284" i="16" s="1"/>
  <c r="AK283" i="16" s="1"/>
  <c r="AK282" i="16" s="1"/>
  <c r="AK281" i="16" s="1"/>
  <c r="AK280" i="16" s="1"/>
  <c r="AK279" i="16" s="1"/>
  <c r="AK278" i="16" s="1"/>
  <c r="AK277" i="16" s="1"/>
  <c r="AK276" i="16" s="1"/>
  <c r="AK275" i="16" s="1"/>
  <c r="AK274" i="16" s="1"/>
  <c r="AK273" i="16" s="1"/>
  <c r="AK272" i="16" s="1"/>
  <c r="AK271" i="16" s="1"/>
  <c r="AK270" i="16" s="1"/>
  <c r="AK269" i="16" s="1"/>
  <c r="AK268" i="16" s="1"/>
  <c r="AK267" i="16" s="1"/>
  <c r="AK266" i="16" s="1"/>
  <c r="AK265" i="16" s="1"/>
  <c r="AK264" i="16" s="1"/>
  <c r="AK263" i="16" s="1"/>
  <c r="AK262" i="16" s="1"/>
  <c r="AK261" i="16" s="1"/>
  <c r="AK260" i="16" s="1"/>
  <c r="AK259" i="16" s="1"/>
  <c r="AK258" i="16" s="1"/>
  <c r="AK257" i="16" s="1"/>
  <c r="AK256" i="16" s="1"/>
  <c r="AK255" i="16" s="1"/>
  <c r="AK254" i="16" s="1"/>
  <c r="AK253" i="16" s="1"/>
  <c r="AK252" i="16" s="1"/>
  <c r="AK251" i="16" s="1"/>
  <c r="AK250" i="16" s="1"/>
  <c r="AK249" i="16" s="1"/>
  <c r="AK248" i="16" s="1"/>
  <c r="AK247" i="16" s="1"/>
  <c r="AK246" i="16" s="1"/>
  <c r="AK245" i="16" s="1"/>
  <c r="AK244" i="16" s="1"/>
  <c r="AK243" i="16" s="1"/>
  <c r="AK242" i="16" s="1"/>
  <c r="AK241" i="16" s="1"/>
  <c r="AK240" i="16" s="1"/>
  <c r="AK239" i="16" s="1"/>
  <c r="AK238" i="16" s="1"/>
  <c r="AK237" i="16" s="1"/>
  <c r="AK236" i="16" s="1"/>
  <c r="AK235" i="16" s="1"/>
  <c r="AK234" i="16" s="1"/>
  <c r="AK233" i="16" s="1"/>
  <c r="AK232" i="16" s="1"/>
  <c r="AK231" i="16" s="1"/>
  <c r="AK230" i="16" s="1"/>
  <c r="AK229" i="16" s="1"/>
  <c r="AK228" i="16" s="1"/>
  <c r="AK227" i="16" s="1"/>
  <c r="AK226" i="16" s="1"/>
  <c r="AK225" i="16" s="1"/>
  <c r="AK224" i="16" s="1"/>
  <c r="AK223" i="16" s="1"/>
  <c r="AK222" i="16" s="1"/>
  <c r="AK221" i="16" s="1"/>
  <c r="AK220" i="16" s="1"/>
  <c r="AK219" i="16" s="1"/>
  <c r="AK218" i="16" s="1"/>
  <c r="AK217" i="16" s="1"/>
  <c r="AK216" i="16" s="1"/>
  <c r="AK215" i="16" s="1"/>
  <c r="AK214" i="16" s="1"/>
  <c r="AK213" i="16" s="1"/>
  <c r="AK212" i="16" s="1"/>
  <c r="AK211" i="16" s="1"/>
  <c r="AK210" i="16" s="1"/>
  <c r="AK209" i="16" s="1"/>
  <c r="AK208" i="16" s="1"/>
  <c r="AK207" i="16" s="1"/>
  <c r="AK206" i="16" s="1"/>
  <c r="AK205" i="16" s="1"/>
  <c r="AK204" i="16" s="1"/>
  <c r="AK203" i="16" s="1"/>
  <c r="AK202" i="16" s="1"/>
  <c r="AK201" i="16" s="1"/>
  <c r="AK200" i="16" s="1"/>
  <c r="AK199" i="16" s="1"/>
  <c r="AK198" i="16" s="1"/>
  <c r="AK197" i="16" s="1"/>
  <c r="AK196" i="16" s="1"/>
  <c r="AK195" i="16" s="1"/>
  <c r="AK194" i="16" s="1"/>
  <c r="AK193" i="16" s="1"/>
  <c r="AK192" i="16" s="1"/>
  <c r="AK191" i="16" s="1"/>
  <c r="AK190" i="16" s="1"/>
  <c r="AK189" i="16" s="1"/>
  <c r="AK188" i="16" s="1"/>
  <c r="AK187" i="16" s="1"/>
  <c r="AK186" i="16" s="1"/>
  <c r="AK185" i="16" s="1"/>
  <c r="AK184" i="16" s="1"/>
  <c r="AK183" i="16" s="1"/>
  <c r="AK182" i="16" s="1"/>
  <c r="AK181" i="16" s="1"/>
  <c r="AK180" i="16" s="1"/>
  <c r="AK179" i="16" s="1"/>
  <c r="AK178" i="16" s="1"/>
  <c r="AK177" i="16" s="1"/>
  <c r="AK176" i="16" s="1"/>
  <c r="AK175" i="16" s="1"/>
  <c r="AK174" i="16" s="1"/>
  <c r="AK173" i="16" s="1"/>
  <c r="AK172" i="16" s="1"/>
  <c r="AK171" i="16" s="1"/>
  <c r="AK170" i="16" s="1"/>
  <c r="AK169" i="16" s="1"/>
  <c r="AK168" i="16" s="1"/>
  <c r="AK167" i="16" s="1"/>
  <c r="AK166" i="16" s="1"/>
  <c r="AK165" i="16" s="1"/>
  <c r="AK164" i="16" s="1"/>
  <c r="AK163" i="16" s="1"/>
  <c r="AK162" i="16" s="1"/>
  <c r="AK161" i="16" s="1"/>
  <c r="AK160" i="16" s="1"/>
  <c r="AK159" i="16" s="1"/>
  <c r="AK158" i="16" s="1"/>
  <c r="AK157" i="16" s="1"/>
  <c r="AK156" i="16" s="1"/>
  <c r="AK155" i="16" s="1"/>
  <c r="AK154" i="16" s="1"/>
  <c r="AK153" i="16" s="1"/>
  <c r="AK152" i="16" s="1"/>
  <c r="AK151" i="16" s="1"/>
  <c r="AK150" i="16" s="1"/>
  <c r="AK149" i="16" s="1"/>
  <c r="AK148" i="16" s="1"/>
  <c r="AK147" i="16" s="1"/>
  <c r="AK146" i="16" s="1"/>
  <c r="AK145" i="16" s="1"/>
  <c r="AK144" i="16" s="1"/>
  <c r="AK143" i="16" s="1"/>
  <c r="AK142" i="16" s="1"/>
  <c r="AK141" i="16" s="1"/>
  <c r="AK140" i="16" s="1"/>
  <c r="AK139" i="16" s="1"/>
  <c r="AK138" i="16" s="1"/>
  <c r="AK137" i="16" s="1"/>
  <c r="AK136" i="16" s="1"/>
  <c r="AK135" i="16" s="1"/>
  <c r="AK134" i="16" s="1"/>
  <c r="AK133" i="16" s="1"/>
  <c r="AK132" i="16" s="1"/>
  <c r="AK131" i="16" s="1"/>
  <c r="AK130" i="16" s="1"/>
  <c r="AK129" i="16" s="1"/>
  <c r="AK128" i="16" s="1"/>
  <c r="AK127" i="16" s="1"/>
  <c r="AK126" i="16" s="1"/>
  <c r="AK125" i="16" s="1"/>
  <c r="AK124" i="16" s="1"/>
  <c r="AK123" i="16" s="1"/>
  <c r="AK122" i="16" s="1"/>
  <c r="AK121" i="16" s="1"/>
  <c r="AK120" i="16" s="1"/>
  <c r="AK119" i="16" s="1"/>
  <c r="AK118" i="16" s="1"/>
  <c r="AK117" i="16" s="1"/>
  <c r="AK116" i="16" s="1"/>
  <c r="AK115" i="16" s="1"/>
  <c r="AK114" i="16" s="1"/>
  <c r="AK113" i="16" s="1"/>
  <c r="AK112" i="16" s="1"/>
  <c r="AK111" i="16" s="1"/>
  <c r="AK110" i="16" s="1"/>
  <c r="AK109" i="16" s="1"/>
  <c r="AK108" i="16" s="1"/>
  <c r="AK107" i="16" s="1"/>
  <c r="AK106" i="16" s="1"/>
  <c r="AK105" i="16" s="1"/>
  <c r="AK104" i="16" s="1"/>
  <c r="AK103" i="16" s="1"/>
  <c r="AK102" i="16" s="1"/>
  <c r="AK101" i="16" s="1"/>
  <c r="AK100" i="16" s="1"/>
  <c r="AK99" i="16" s="1"/>
  <c r="AK98" i="16" s="1"/>
  <c r="AK97" i="16" s="1"/>
  <c r="AK96" i="16" s="1"/>
  <c r="AK95" i="16" s="1"/>
  <c r="AK94" i="16" s="1"/>
  <c r="AK93" i="16" s="1"/>
  <c r="AK92" i="16" s="1"/>
  <c r="AK91" i="16" s="1"/>
  <c r="AK90" i="16" s="1"/>
  <c r="AK89" i="16" s="1"/>
  <c r="AK88" i="16" s="1"/>
  <c r="AK87" i="16" s="1"/>
  <c r="AK86" i="16" s="1"/>
  <c r="AK85" i="16" s="1"/>
  <c r="AK84" i="16" s="1"/>
  <c r="AK83" i="16" s="1"/>
  <c r="AK82" i="16" s="1"/>
  <c r="AK81" i="16" s="1"/>
  <c r="AK80" i="16" s="1"/>
  <c r="AK79" i="16" s="1"/>
  <c r="AK78" i="16" s="1"/>
  <c r="AK77" i="16" s="1"/>
  <c r="AK76" i="16" s="1"/>
  <c r="AK75" i="16" s="1"/>
  <c r="AK74" i="16" s="1"/>
  <c r="AK73" i="16" s="1"/>
  <c r="AK72" i="16" s="1"/>
  <c r="AK71" i="16" s="1"/>
  <c r="AK70" i="16" s="1"/>
  <c r="AK69" i="16" s="1"/>
  <c r="AK68" i="16" s="1"/>
  <c r="AK67" i="16" s="1"/>
  <c r="AK66" i="16" s="1"/>
  <c r="AK65" i="16" s="1"/>
  <c r="AK64" i="16" s="1"/>
  <c r="AK63" i="16" s="1"/>
  <c r="AK62" i="16" s="1"/>
  <c r="AK61" i="16" s="1"/>
  <c r="AK60" i="16" s="1"/>
  <c r="AK59" i="16" s="1"/>
  <c r="AK58" i="16" s="1"/>
  <c r="AK57" i="16" s="1"/>
  <c r="AK56" i="16" s="1"/>
  <c r="AK55" i="16" s="1"/>
  <c r="AK54" i="16" s="1"/>
  <c r="AK53" i="16" s="1"/>
  <c r="AK52" i="16" s="1"/>
  <c r="AK51" i="16" s="1"/>
  <c r="AK50" i="16" s="1"/>
  <c r="AK49" i="16" s="1"/>
  <c r="AK48" i="16" s="1"/>
  <c r="AK47" i="16" s="1"/>
  <c r="AK46" i="16" s="1"/>
  <c r="AK45" i="16" s="1"/>
  <c r="AK44" i="16" s="1"/>
  <c r="AK43" i="16" s="1"/>
  <c r="AK42" i="16" s="1"/>
  <c r="AK41" i="16" s="1"/>
  <c r="AK40" i="16" s="1"/>
  <c r="AK39" i="16" s="1"/>
  <c r="AK38" i="16" s="1"/>
  <c r="AK37" i="16" s="1"/>
  <c r="AK36" i="16" s="1"/>
  <c r="AK35" i="16" s="1"/>
  <c r="AK34" i="16" s="1"/>
  <c r="AK33" i="16" s="1"/>
  <c r="AK32" i="16" s="1"/>
  <c r="AK31" i="16" s="1"/>
  <c r="AK30" i="16" s="1"/>
  <c r="AK29" i="16" s="1"/>
  <c r="AK28" i="16" s="1"/>
  <c r="AK27" i="16" s="1"/>
  <c r="AK26" i="16" s="1"/>
  <c r="AK25" i="16" s="1"/>
  <c r="AK24" i="16" s="1"/>
  <c r="AK23" i="16" s="1"/>
  <c r="AK22" i="16" s="1"/>
  <c r="AK21" i="16" s="1"/>
  <c r="AK20" i="16" s="1"/>
  <c r="AK19" i="16" s="1"/>
  <c r="AK18" i="16" s="1"/>
  <c r="AK17" i="16" s="1"/>
  <c r="AK16" i="16" s="1"/>
  <c r="AK15" i="16" s="1"/>
  <c r="AK14" i="16" s="1"/>
  <c r="AK13" i="16" s="1"/>
  <c r="AK12" i="16" s="1"/>
  <c r="AK11" i="16" s="1"/>
  <c r="AK10" i="16" s="1"/>
  <c r="AK9" i="16" s="1"/>
  <c r="AK8" i="16" s="1"/>
  <c r="AK7" i="16" s="1"/>
  <c r="AK6" i="16" s="1"/>
  <c r="AK5" i="16" s="1"/>
  <c r="AK4" i="16" s="1"/>
  <c r="AK3" i="16" s="1"/>
  <c r="AH362" i="16"/>
  <c r="AH361" i="16" s="1"/>
  <c r="AH360" i="16" s="1"/>
  <c r="AH359" i="16" s="1"/>
  <c r="AH358" i="16" s="1"/>
  <c r="AH357" i="16" s="1"/>
  <c r="AH356" i="16" s="1"/>
  <c r="AH355" i="16" s="1"/>
  <c r="AH354" i="16" s="1"/>
  <c r="AH353" i="16" s="1"/>
  <c r="AH352" i="16" s="1"/>
  <c r="AH351" i="16" s="1"/>
  <c r="AH350" i="16" s="1"/>
  <c r="AH349" i="16" s="1"/>
  <c r="AH348" i="16" s="1"/>
  <c r="AH347" i="16" s="1"/>
  <c r="AH346" i="16" s="1"/>
  <c r="AH345" i="16" s="1"/>
  <c r="AH344" i="16" s="1"/>
  <c r="AH343" i="16" s="1"/>
  <c r="AH342" i="16" s="1"/>
  <c r="AH341" i="16" s="1"/>
  <c r="AH340" i="16" s="1"/>
  <c r="AH339" i="16" s="1"/>
  <c r="AH338" i="16" s="1"/>
  <c r="AH337" i="16" s="1"/>
  <c r="AH336" i="16" s="1"/>
  <c r="AH335" i="16" s="1"/>
  <c r="AH334" i="16" s="1"/>
  <c r="AH333" i="16" s="1"/>
  <c r="AH332" i="16" s="1"/>
  <c r="AH331" i="16" s="1"/>
  <c r="AH330" i="16" s="1"/>
  <c r="AH329" i="16" s="1"/>
  <c r="AH328" i="16" s="1"/>
  <c r="AH327" i="16" s="1"/>
  <c r="AH326" i="16" s="1"/>
  <c r="AH325" i="16" s="1"/>
  <c r="AH324" i="16" s="1"/>
  <c r="AH323" i="16" s="1"/>
  <c r="AH322" i="16" s="1"/>
  <c r="AH321" i="16" s="1"/>
  <c r="AH320" i="16" s="1"/>
  <c r="AH319" i="16" s="1"/>
  <c r="AH318" i="16" s="1"/>
  <c r="AH317" i="16" s="1"/>
  <c r="AH316" i="16" s="1"/>
  <c r="AH315" i="16" s="1"/>
  <c r="AH314" i="16" s="1"/>
  <c r="AH313" i="16" s="1"/>
  <c r="AH312" i="16" s="1"/>
  <c r="AH311" i="16" s="1"/>
  <c r="AH310" i="16" s="1"/>
  <c r="AH309" i="16" s="1"/>
  <c r="AH308" i="16" s="1"/>
  <c r="AH307" i="16" s="1"/>
  <c r="AH306" i="16" s="1"/>
  <c r="AH305" i="16" s="1"/>
  <c r="AH304" i="16" s="1"/>
  <c r="AH303" i="16" s="1"/>
  <c r="AH302" i="16" s="1"/>
  <c r="AH301" i="16" s="1"/>
  <c r="AH300" i="16" s="1"/>
  <c r="AH299" i="16" s="1"/>
  <c r="AH298" i="16" s="1"/>
  <c r="AH297" i="16" s="1"/>
  <c r="AH296" i="16" s="1"/>
  <c r="AH295" i="16" s="1"/>
  <c r="AH294" i="16" s="1"/>
  <c r="AH293" i="16" s="1"/>
  <c r="AH292" i="16" s="1"/>
  <c r="AH291" i="16" s="1"/>
  <c r="AH290" i="16" s="1"/>
  <c r="AH289" i="16" s="1"/>
  <c r="AH288" i="16" s="1"/>
  <c r="AH287" i="16" s="1"/>
  <c r="AH286" i="16" s="1"/>
  <c r="AH285" i="16" s="1"/>
  <c r="AH284" i="16" s="1"/>
  <c r="AH283" i="16" s="1"/>
  <c r="AH282" i="16" s="1"/>
  <c r="AH281" i="16" s="1"/>
  <c r="AH280" i="16" s="1"/>
  <c r="AH279" i="16" s="1"/>
  <c r="AH278" i="16" s="1"/>
  <c r="AH277" i="16" s="1"/>
  <c r="AH276" i="16" s="1"/>
  <c r="AH275" i="16" s="1"/>
  <c r="AH274" i="16" s="1"/>
  <c r="AH273" i="16" s="1"/>
  <c r="AH272" i="16" s="1"/>
  <c r="AH271" i="16" s="1"/>
  <c r="AH270" i="16" s="1"/>
  <c r="AH269" i="16" s="1"/>
  <c r="AH268" i="16" s="1"/>
  <c r="AH267" i="16" s="1"/>
  <c r="AH266" i="16" s="1"/>
  <c r="AH265" i="16" s="1"/>
  <c r="AH264" i="16" s="1"/>
  <c r="AH263" i="16" s="1"/>
  <c r="AH262" i="16" s="1"/>
  <c r="AH261" i="16" s="1"/>
  <c r="AH260" i="16" s="1"/>
  <c r="AH259" i="16" s="1"/>
  <c r="AH258" i="16" s="1"/>
  <c r="AH257" i="16" s="1"/>
  <c r="AH256" i="16" s="1"/>
  <c r="AH255" i="16" s="1"/>
  <c r="AH254" i="16" s="1"/>
  <c r="AH253" i="16" s="1"/>
  <c r="AH252" i="16" s="1"/>
  <c r="AH251" i="16" s="1"/>
  <c r="AH250" i="16" s="1"/>
  <c r="AH249" i="16" s="1"/>
  <c r="AH248" i="16" s="1"/>
  <c r="AH247" i="16" s="1"/>
  <c r="AH246" i="16" s="1"/>
  <c r="AH245" i="16" s="1"/>
  <c r="AH244" i="16" s="1"/>
  <c r="AH243" i="16" s="1"/>
  <c r="AH242" i="16" s="1"/>
  <c r="AH241" i="16" s="1"/>
  <c r="AH240" i="16" s="1"/>
  <c r="AH239" i="16" s="1"/>
  <c r="AH238" i="16" s="1"/>
  <c r="AH237" i="16" s="1"/>
  <c r="AH236" i="16" s="1"/>
  <c r="AH235" i="16" s="1"/>
  <c r="AH234" i="16" s="1"/>
  <c r="AH233" i="16" s="1"/>
  <c r="AH232" i="16" s="1"/>
  <c r="AH231" i="16" s="1"/>
  <c r="AH230" i="16" s="1"/>
  <c r="AH229" i="16" s="1"/>
  <c r="AH228" i="16" s="1"/>
  <c r="AH227" i="16" s="1"/>
  <c r="AH226" i="16" s="1"/>
  <c r="AH225" i="16" s="1"/>
  <c r="AH224" i="16" s="1"/>
  <c r="AH223" i="16" s="1"/>
  <c r="AH222" i="16" s="1"/>
  <c r="AH221" i="16" s="1"/>
  <c r="AH220" i="16" s="1"/>
  <c r="AH219" i="16" s="1"/>
  <c r="AH218" i="16" s="1"/>
  <c r="AH217" i="16" s="1"/>
  <c r="AH216" i="16" s="1"/>
  <c r="AH215" i="16" s="1"/>
  <c r="AH214" i="16" s="1"/>
  <c r="AH213" i="16" s="1"/>
  <c r="AH212" i="16" s="1"/>
  <c r="AH211" i="16" s="1"/>
  <c r="AH210" i="16" s="1"/>
  <c r="AH209" i="16" s="1"/>
  <c r="AH208" i="16" s="1"/>
  <c r="AH207" i="16" s="1"/>
  <c r="AH206" i="16" s="1"/>
  <c r="AH205" i="16" s="1"/>
  <c r="AH204" i="16" s="1"/>
  <c r="AH203" i="16" s="1"/>
  <c r="AH202" i="16" s="1"/>
  <c r="AH201" i="16" s="1"/>
  <c r="AH200" i="16" s="1"/>
  <c r="AH199" i="16" s="1"/>
  <c r="AH198" i="16" s="1"/>
  <c r="AH197" i="16" s="1"/>
  <c r="AH196" i="16" s="1"/>
  <c r="AH195" i="16" s="1"/>
  <c r="AH194" i="16" s="1"/>
  <c r="AH193" i="16" s="1"/>
  <c r="AH192" i="16" s="1"/>
  <c r="AH191" i="16" s="1"/>
  <c r="AH190" i="16" s="1"/>
  <c r="AH189" i="16" s="1"/>
  <c r="AH188" i="16" s="1"/>
  <c r="AH187" i="16" s="1"/>
  <c r="AH186" i="16" s="1"/>
  <c r="AH185" i="16" s="1"/>
  <c r="AH184" i="16" s="1"/>
  <c r="AH183" i="16" s="1"/>
  <c r="AH182" i="16" s="1"/>
  <c r="AH181" i="16" s="1"/>
  <c r="AH180" i="16" s="1"/>
  <c r="AH179" i="16" s="1"/>
  <c r="AH178" i="16" s="1"/>
  <c r="AH177" i="16" s="1"/>
  <c r="AH176" i="16" s="1"/>
  <c r="AH175" i="16" s="1"/>
  <c r="AH174" i="16" s="1"/>
  <c r="AH173" i="16" s="1"/>
  <c r="AH172" i="16" s="1"/>
  <c r="AH171" i="16" s="1"/>
  <c r="AH170" i="16" s="1"/>
  <c r="AH169" i="16" s="1"/>
  <c r="AH168" i="16" s="1"/>
  <c r="AH167" i="16" s="1"/>
  <c r="AH166" i="16" s="1"/>
  <c r="AH165" i="16" s="1"/>
  <c r="AH164" i="16" s="1"/>
  <c r="AH163" i="16" s="1"/>
  <c r="AH162" i="16" s="1"/>
  <c r="AH161" i="16" s="1"/>
  <c r="AH160" i="16" s="1"/>
  <c r="AH159" i="16" s="1"/>
  <c r="AH158" i="16" s="1"/>
  <c r="AH157" i="16" s="1"/>
  <c r="AH156" i="16" s="1"/>
  <c r="AH155" i="16" s="1"/>
  <c r="AH154" i="16" s="1"/>
  <c r="AH153" i="16" s="1"/>
  <c r="AH152" i="16" s="1"/>
  <c r="AH151" i="16" s="1"/>
  <c r="AH150" i="16" s="1"/>
  <c r="AH149" i="16" s="1"/>
  <c r="AH148" i="16" s="1"/>
  <c r="AH147" i="16" s="1"/>
  <c r="AH146" i="16" s="1"/>
  <c r="AH145" i="16" s="1"/>
  <c r="AH144" i="16" s="1"/>
  <c r="AH143" i="16" s="1"/>
  <c r="AH142" i="16" s="1"/>
  <c r="AH141" i="16" s="1"/>
  <c r="AH140" i="16" s="1"/>
  <c r="AH139" i="16" s="1"/>
  <c r="AH138" i="16" s="1"/>
  <c r="AH137" i="16" s="1"/>
  <c r="AH136" i="16" s="1"/>
  <c r="AH135" i="16" s="1"/>
  <c r="AH134" i="16" s="1"/>
  <c r="AH133" i="16" s="1"/>
  <c r="AH132" i="16" s="1"/>
  <c r="AH131" i="16" s="1"/>
  <c r="AH130" i="16" s="1"/>
  <c r="AH129" i="16" s="1"/>
  <c r="AH128" i="16" s="1"/>
  <c r="AH127" i="16" s="1"/>
  <c r="AH126" i="16" s="1"/>
  <c r="AH125" i="16" s="1"/>
  <c r="AH124" i="16" s="1"/>
  <c r="AH123" i="16" s="1"/>
  <c r="AH122" i="16" s="1"/>
  <c r="AH121" i="16" s="1"/>
  <c r="AH120" i="16" s="1"/>
  <c r="AH119" i="16" s="1"/>
  <c r="AH118" i="16" s="1"/>
  <c r="AH117" i="16" s="1"/>
  <c r="AH116" i="16" s="1"/>
  <c r="AH115" i="16" s="1"/>
  <c r="AH114" i="16" s="1"/>
  <c r="AH113" i="16" s="1"/>
  <c r="AH112" i="16" s="1"/>
  <c r="AH111" i="16" s="1"/>
  <c r="AH110" i="16" s="1"/>
  <c r="AH109" i="16" s="1"/>
  <c r="AH108" i="16" s="1"/>
  <c r="AH107" i="16" s="1"/>
  <c r="AH106" i="16" s="1"/>
  <c r="AH105" i="16" s="1"/>
  <c r="AH104" i="16" s="1"/>
  <c r="AH103" i="16" s="1"/>
  <c r="AH102" i="16" s="1"/>
  <c r="AH101" i="16" s="1"/>
  <c r="AH100" i="16" s="1"/>
  <c r="AH99" i="16" s="1"/>
  <c r="AH98" i="16" s="1"/>
  <c r="AH97" i="16" s="1"/>
  <c r="AH96" i="16" s="1"/>
  <c r="AH95" i="16" s="1"/>
  <c r="AH94" i="16" s="1"/>
  <c r="AH93" i="16" s="1"/>
  <c r="AH92" i="16" s="1"/>
  <c r="AH91" i="16" s="1"/>
  <c r="AH90" i="16" s="1"/>
  <c r="AH89" i="16" s="1"/>
  <c r="AH88" i="16" s="1"/>
  <c r="AH87" i="16" s="1"/>
  <c r="AH86" i="16" s="1"/>
  <c r="AH85" i="16" s="1"/>
  <c r="AH84" i="16" s="1"/>
  <c r="AH83" i="16" s="1"/>
  <c r="AH82" i="16" s="1"/>
  <c r="AH81" i="16" s="1"/>
  <c r="AH80" i="16" s="1"/>
  <c r="AH79" i="16" s="1"/>
  <c r="AH78" i="16" s="1"/>
  <c r="AH77" i="16" s="1"/>
  <c r="AH76" i="16" s="1"/>
  <c r="AH75" i="16" s="1"/>
  <c r="AH74" i="16" s="1"/>
  <c r="AH73" i="16" s="1"/>
  <c r="AH72" i="16" s="1"/>
  <c r="AH71" i="16" s="1"/>
  <c r="AH70" i="16" s="1"/>
  <c r="AH69" i="16" s="1"/>
  <c r="AH68" i="16" s="1"/>
  <c r="AH67" i="16" s="1"/>
  <c r="AH66" i="16" s="1"/>
  <c r="AH65" i="16" s="1"/>
  <c r="AH64" i="16" s="1"/>
  <c r="AH63" i="16" s="1"/>
  <c r="AH62" i="16" s="1"/>
  <c r="AH61" i="16" s="1"/>
  <c r="AH60" i="16" s="1"/>
  <c r="AH59" i="16" s="1"/>
  <c r="AH58" i="16" s="1"/>
  <c r="AH57" i="16" s="1"/>
  <c r="AH56" i="16" s="1"/>
  <c r="AH55" i="16" s="1"/>
  <c r="AH54" i="16" s="1"/>
  <c r="AH53" i="16" s="1"/>
  <c r="AH52" i="16" s="1"/>
  <c r="AH51" i="16" s="1"/>
  <c r="AH50" i="16" s="1"/>
  <c r="AH49" i="16" s="1"/>
  <c r="AH48" i="16" s="1"/>
  <c r="AH47" i="16" s="1"/>
  <c r="AH46" i="16" s="1"/>
  <c r="AH45" i="16" s="1"/>
  <c r="AH44" i="16" s="1"/>
  <c r="AH43" i="16" s="1"/>
  <c r="AH42" i="16" s="1"/>
  <c r="AH41" i="16" s="1"/>
  <c r="AH40" i="16" s="1"/>
  <c r="AH39" i="16" s="1"/>
  <c r="AH38" i="16" s="1"/>
  <c r="AH37" i="16" s="1"/>
  <c r="AH36" i="16" s="1"/>
  <c r="AH35" i="16" s="1"/>
  <c r="AH34" i="16" s="1"/>
  <c r="AH33" i="16" s="1"/>
  <c r="AH32" i="16" s="1"/>
  <c r="AH31" i="16" s="1"/>
  <c r="AH30" i="16" s="1"/>
  <c r="AH29" i="16" s="1"/>
  <c r="AH28" i="16" s="1"/>
  <c r="AH27" i="16" s="1"/>
  <c r="AH26" i="16" s="1"/>
  <c r="AH25" i="16" s="1"/>
  <c r="AH24" i="16" s="1"/>
  <c r="AH23" i="16" s="1"/>
  <c r="AH22" i="16" s="1"/>
  <c r="AH21" i="16" s="1"/>
  <c r="AH20" i="16" s="1"/>
  <c r="AH19" i="16" s="1"/>
  <c r="AH18" i="16" s="1"/>
  <c r="AH17" i="16" s="1"/>
  <c r="AH16" i="16" s="1"/>
  <c r="AH15" i="16" s="1"/>
  <c r="AH14" i="16" s="1"/>
  <c r="AH13" i="16" s="1"/>
  <c r="AH12" i="16" s="1"/>
  <c r="AH11" i="16" s="1"/>
  <c r="AH10" i="16" s="1"/>
  <c r="AH9" i="16" s="1"/>
  <c r="AH8" i="16" s="1"/>
  <c r="AH7" i="16" s="1"/>
  <c r="AH6" i="16" s="1"/>
  <c r="AH5" i="16" s="1"/>
  <c r="AH4" i="16" s="1"/>
  <c r="AH3" i="16" s="1"/>
  <c r="AK363" i="13"/>
  <c r="AK362" i="13" s="1"/>
  <c r="AK361" i="13" s="1"/>
  <c r="AK360" i="13" s="1"/>
  <c r="AK359" i="13" s="1"/>
  <c r="AK358" i="13" s="1"/>
  <c r="AK357" i="13" s="1"/>
  <c r="AK356" i="13" s="1"/>
  <c r="AK355" i="13" s="1"/>
  <c r="AK354" i="13" s="1"/>
  <c r="AK353" i="13" s="1"/>
  <c r="AK352" i="13" s="1"/>
  <c r="AK351" i="13" s="1"/>
  <c r="AK350" i="13" s="1"/>
  <c r="AK349" i="13" s="1"/>
  <c r="AK348" i="13" s="1"/>
  <c r="AK347" i="13" s="1"/>
  <c r="AK346" i="13" s="1"/>
  <c r="AK345" i="13" s="1"/>
  <c r="AK344" i="13" s="1"/>
  <c r="AK343" i="13" s="1"/>
  <c r="AK342" i="13" s="1"/>
  <c r="AK341" i="13" s="1"/>
  <c r="AK340" i="13" s="1"/>
  <c r="AK339" i="13" s="1"/>
  <c r="AK338" i="13" s="1"/>
  <c r="AK337" i="13" s="1"/>
  <c r="AK336" i="13" s="1"/>
  <c r="AK335" i="13" s="1"/>
  <c r="AK334" i="13" s="1"/>
  <c r="AK333" i="13" s="1"/>
  <c r="AK332" i="13" s="1"/>
  <c r="AK331" i="13" s="1"/>
  <c r="AK330" i="13" s="1"/>
  <c r="AK329" i="13" s="1"/>
  <c r="AK328" i="13" s="1"/>
  <c r="AK327" i="13" s="1"/>
  <c r="AK326" i="13" s="1"/>
  <c r="AK325" i="13" s="1"/>
  <c r="AK324" i="13" s="1"/>
  <c r="AK323" i="13" s="1"/>
  <c r="AK322" i="13" s="1"/>
  <c r="AK321" i="13" s="1"/>
  <c r="AK320" i="13" s="1"/>
  <c r="AK319" i="13" s="1"/>
  <c r="AK318" i="13" s="1"/>
  <c r="AK317" i="13" s="1"/>
  <c r="AK316" i="13" s="1"/>
  <c r="AK315" i="13" s="1"/>
  <c r="AK314" i="13" s="1"/>
  <c r="AK313" i="13" s="1"/>
  <c r="AK312" i="13" s="1"/>
  <c r="AK311" i="13" s="1"/>
  <c r="AK310" i="13" s="1"/>
  <c r="AK309" i="13" s="1"/>
  <c r="AK308" i="13" s="1"/>
  <c r="AK307" i="13" s="1"/>
  <c r="AK306" i="13" s="1"/>
  <c r="AK305" i="13" s="1"/>
  <c r="AK304" i="13" s="1"/>
  <c r="AK303" i="13" s="1"/>
  <c r="AK302" i="13" s="1"/>
  <c r="AK301" i="13" s="1"/>
  <c r="AK300" i="13" s="1"/>
  <c r="AK299" i="13" s="1"/>
  <c r="AK298" i="13" s="1"/>
  <c r="AK297" i="13" s="1"/>
  <c r="AK296" i="13" s="1"/>
  <c r="AK295" i="13" s="1"/>
  <c r="AK294" i="13" s="1"/>
  <c r="AK293" i="13" s="1"/>
  <c r="AK292" i="13" s="1"/>
  <c r="AK291" i="13" s="1"/>
  <c r="AK290" i="13" s="1"/>
  <c r="AK289" i="13" s="1"/>
  <c r="AK288" i="13" s="1"/>
  <c r="AK287" i="13" s="1"/>
  <c r="AK286" i="13" s="1"/>
  <c r="AK285" i="13" s="1"/>
  <c r="AK284" i="13" s="1"/>
  <c r="AK283" i="13" s="1"/>
  <c r="AK282" i="13" s="1"/>
  <c r="AK281" i="13" s="1"/>
  <c r="AK280" i="13" s="1"/>
  <c r="AK279" i="13" s="1"/>
  <c r="AK278" i="13" s="1"/>
  <c r="AK277" i="13" s="1"/>
  <c r="AK276" i="13" s="1"/>
  <c r="AK275" i="13" s="1"/>
  <c r="AK274" i="13" s="1"/>
  <c r="AK273" i="13" s="1"/>
  <c r="AK272" i="13" s="1"/>
  <c r="AK271" i="13" s="1"/>
  <c r="AK270" i="13" s="1"/>
  <c r="AK269" i="13" s="1"/>
  <c r="AK268" i="13" s="1"/>
  <c r="AK267" i="13" s="1"/>
  <c r="AK266" i="13" s="1"/>
  <c r="AK265" i="13" s="1"/>
  <c r="AK264" i="13" s="1"/>
  <c r="AK263" i="13" s="1"/>
  <c r="AK262" i="13" s="1"/>
  <c r="AK261" i="13" s="1"/>
  <c r="AK260" i="13" s="1"/>
  <c r="AK259" i="13" s="1"/>
  <c r="AK258" i="13" s="1"/>
  <c r="AK257" i="13" s="1"/>
  <c r="AK256" i="13" s="1"/>
  <c r="AK255" i="13" s="1"/>
  <c r="AK254" i="13" s="1"/>
  <c r="AK253" i="13" s="1"/>
  <c r="AK252" i="13" s="1"/>
  <c r="AK251" i="13" s="1"/>
  <c r="AK250" i="13" s="1"/>
  <c r="AK249" i="13" s="1"/>
  <c r="AK248" i="13" s="1"/>
  <c r="AK247" i="13" s="1"/>
  <c r="AK246" i="13" s="1"/>
  <c r="AK245" i="13" s="1"/>
  <c r="AK244" i="13" s="1"/>
  <c r="AK243" i="13" s="1"/>
  <c r="AK242" i="13" s="1"/>
  <c r="AK241" i="13" s="1"/>
  <c r="AK240" i="13" s="1"/>
  <c r="AK239" i="13" s="1"/>
  <c r="AK238" i="13" s="1"/>
  <c r="AK237" i="13" s="1"/>
  <c r="AK236" i="13" s="1"/>
  <c r="AK235" i="13" s="1"/>
  <c r="AK234" i="13" s="1"/>
  <c r="AK233" i="13" s="1"/>
  <c r="AK232" i="13" s="1"/>
  <c r="AK231" i="13" s="1"/>
  <c r="AK230" i="13" s="1"/>
  <c r="AK229" i="13" s="1"/>
  <c r="AK228" i="13" s="1"/>
  <c r="AK227" i="13" s="1"/>
  <c r="AK226" i="13" s="1"/>
  <c r="AK225" i="13" s="1"/>
  <c r="AK224" i="13" s="1"/>
  <c r="AK223" i="13" s="1"/>
  <c r="AK222" i="13" s="1"/>
  <c r="AK221" i="13" s="1"/>
  <c r="AK220" i="13" s="1"/>
  <c r="AK219" i="13" s="1"/>
  <c r="AK218" i="13" s="1"/>
  <c r="AK217" i="13" s="1"/>
  <c r="AK216" i="13" s="1"/>
  <c r="AK215" i="13" s="1"/>
  <c r="AK214" i="13" s="1"/>
  <c r="AK213" i="13" s="1"/>
  <c r="AK212" i="13" s="1"/>
  <c r="AK211" i="13" s="1"/>
  <c r="AK210" i="13" s="1"/>
  <c r="AK209" i="13" s="1"/>
  <c r="AK208" i="13" s="1"/>
  <c r="AK207" i="13" s="1"/>
  <c r="AK206" i="13" s="1"/>
  <c r="AK205" i="13" s="1"/>
  <c r="AK204" i="13" s="1"/>
  <c r="AK203" i="13" s="1"/>
  <c r="AK202" i="13" s="1"/>
  <c r="AK201" i="13" s="1"/>
  <c r="AK200" i="13" s="1"/>
  <c r="AK199" i="13" s="1"/>
  <c r="AK198" i="13" s="1"/>
  <c r="AK197" i="13" s="1"/>
  <c r="AK196" i="13" s="1"/>
  <c r="AK195" i="13" s="1"/>
  <c r="AK194" i="13" s="1"/>
  <c r="AK193" i="13" s="1"/>
  <c r="AK192" i="13" s="1"/>
  <c r="AK191" i="13" s="1"/>
  <c r="AK190" i="13" s="1"/>
  <c r="AK189" i="13" s="1"/>
  <c r="AK188" i="13" s="1"/>
  <c r="AK187" i="13" s="1"/>
  <c r="AK186" i="13" s="1"/>
  <c r="AK185" i="13" s="1"/>
  <c r="AK184" i="13" s="1"/>
  <c r="AK183" i="13" s="1"/>
  <c r="AK182" i="13" s="1"/>
  <c r="AK181" i="13" s="1"/>
  <c r="AK180" i="13" s="1"/>
  <c r="AK179" i="13" s="1"/>
  <c r="AK178" i="13" s="1"/>
  <c r="AK177" i="13" s="1"/>
  <c r="AK176" i="13" s="1"/>
  <c r="AK175" i="13" s="1"/>
  <c r="AK174" i="13" s="1"/>
  <c r="AK173" i="13" s="1"/>
  <c r="AK172" i="13" s="1"/>
  <c r="AK171" i="13" s="1"/>
  <c r="AK170" i="13" s="1"/>
  <c r="AK169" i="13" s="1"/>
  <c r="AK168" i="13" s="1"/>
  <c r="AK167" i="13" s="1"/>
  <c r="AK166" i="13" s="1"/>
  <c r="AK165" i="13" s="1"/>
  <c r="AK164" i="13" s="1"/>
  <c r="AK163" i="13" s="1"/>
  <c r="AK162" i="13" s="1"/>
  <c r="AK161" i="13" s="1"/>
  <c r="AK160" i="13" s="1"/>
  <c r="AK159" i="13" s="1"/>
  <c r="AK158" i="13" s="1"/>
  <c r="AK157" i="13" s="1"/>
  <c r="AK156" i="13" s="1"/>
  <c r="AK155" i="13" s="1"/>
  <c r="AK154" i="13" s="1"/>
  <c r="AK153" i="13" s="1"/>
  <c r="AK152" i="13" s="1"/>
  <c r="AK151" i="13" s="1"/>
  <c r="AK150" i="13" s="1"/>
  <c r="AK149" i="13" s="1"/>
  <c r="AK148" i="13" s="1"/>
  <c r="AK147" i="13" s="1"/>
  <c r="AK146" i="13" s="1"/>
  <c r="AK145" i="13" s="1"/>
  <c r="AK144" i="13" s="1"/>
  <c r="AK143" i="13" s="1"/>
  <c r="AK142" i="13" s="1"/>
  <c r="AK141" i="13" s="1"/>
  <c r="AK140" i="13" s="1"/>
  <c r="AK139" i="13" s="1"/>
  <c r="AK138" i="13" s="1"/>
  <c r="AK137" i="13" s="1"/>
  <c r="AK136" i="13" s="1"/>
  <c r="AK135" i="13" s="1"/>
  <c r="AK134" i="13" s="1"/>
  <c r="AK133" i="13" s="1"/>
  <c r="AK132" i="13" s="1"/>
  <c r="AK131" i="13" s="1"/>
  <c r="AK130" i="13" s="1"/>
  <c r="AK129" i="13" s="1"/>
  <c r="AK128" i="13" s="1"/>
  <c r="AK127" i="13" s="1"/>
  <c r="AK126" i="13" s="1"/>
  <c r="AK125" i="13" s="1"/>
  <c r="AK124" i="13" s="1"/>
  <c r="AK123" i="13" s="1"/>
  <c r="AK122" i="13" s="1"/>
  <c r="AK121" i="13" s="1"/>
  <c r="AK120" i="13" s="1"/>
  <c r="AK119" i="13" s="1"/>
  <c r="AK118" i="13" s="1"/>
  <c r="AK117" i="13" s="1"/>
  <c r="AK116" i="13" s="1"/>
  <c r="AK115" i="13" s="1"/>
  <c r="AK114" i="13" s="1"/>
  <c r="AK113" i="13" s="1"/>
  <c r="AK112" i="13" s="1"/>
  <c r="AK111" i="13" s="1"/>
  <c r="AK110" i="13" s="1"/>
  <c r="AK109" i="13" s="1"/>
  <c r="AK108" i="13" s="1"/>
  <c r="AK107" i="13" s="1"/>
  <c r="AK106" i="13" s="1"/>
  <c r="AK105" i="13" s="1"/>
  <c r="AK104" i="13" s="1"/>
  <c r="AK103" i="13" s="1"/>
  <c r="AK102" i="13" s="1"/>
  <c r="AK101" i="13" s="1"/>
  <c r="AK100" i="13" s="1"/>
  <c r="AK99" i="13" s="1"/>
  <c r="AK98" i="13" s="1"/>
  <c r="AK97" i="13" s="1"/>
  <c r="AK96" i="13" s="1"/>
  <c r="AK95" i="13" s="1"/>
  <c r="AK94" i="13" s="1"/>
  <c r="AK93" i="13" s="1"/>
  <c r="AK92" i="13" s="1"/>
  <c r="AK91" i="13" s="1"/>
  <c r="AK90" i="13" s="1"/>
  <c r="AK89" i="13" s="1"/>
  <c r="AK88" i="13" s="1"/>
  <c r="AK87" i="13" s="1"/>
  <c r="AK86" i="13" s="1"/>
  <c r="AK85" i="13" s="1"/>
  <c r="AK84" i="13" s="1"/>
  <c r="AK83" i="13" s="1"/>
  <c r="AK82" i="13" s="1"/>
  <c r="AK81" i="13" s="1"/>
  <c r="AK80" i="13" s="1"/>
  <c r="AK79" i="13" s="1"/>
  <c r="AK78" i="13" s="1"/>
  <c r="AK77" i="13" s="1"/>
  <c r="AK76" i="13" s="1"/>
  <c r="AK75" i="13" s="1"/>
  <c r="AK74" i="13" s="1"/>
  <c r="AK73" i="13" s="1"/>
  <c r="AK72" i="13" s="1"/>
  <c r="AK71" i="13" s="1"/>
  <c r="AK70" i="13" s="1"/>
  <c r="AK69" i="13" s="1"/>
  <c r="AK68" i="13" s="1"/>
  <c r="AK67" i="13" s="1"/>
  <c r="AK66" i="13" s="1"/>
  <c r="AK65" i="13" s="1"/>
  <c r="AK64" i="13" s="1"/>
  <c r="AK63" i="13" s="1"/>
  <c r="AK62" i="13" s="1"/>
  <c r="AK61" i="13" s="1"/>
  <c r="AK60" i="13" s="1"/>
  <c r="AK59" i="13" s="1"/>
  <c r="AK58" i="13" s="1"/>
  <c r="AK57" i="13" s="1"/>
  <c r="AK56" i="13" s="1"/>
  <c r="AK55" i="13" s="1"/>
  <c r="AK54" i="13" s="1"/>
  <c r="AK53" i="13" s="1"/>
  <c r="AK52" i="13" s="1"/>
  <c r="AK51" i="13" s="1"/>
  <c r="AK50" i="13" s="1"/>
  <c r="AK49" i="13" s="1"/>
  <c r="AK48" i="13" s="1"/>
  <c r="AK47" i="13" s="1"/>
  <c r="AK46" i="13" s="1"/>
  <c r="AK45" i="13" s="1"/>
  <c r="AK44" i="13" s="1"/>
  <c r="AK43" i="13" s="1"/>
  <c r="AK42" i="13" s="1"/>
  <c r="AK41" i="13" s="1"/>
  <c r="AK40" i="13" s="1"/>
  <c r="AK39" i="13" s="1"/>
  <c r="AK38" i="13" s="1"/>
  <c r="AK37" i="13" s="1"/>
  <c r="AK36" i="13" s="1"/>
  <c r="AK35" i="13" s="1"/>
  <c r="AK34" i="13" s="1"/>
  <c r="AK33" i="13" s="1"/>
  <c r="AK32" i="13" s="1"/>
  <c r="AK31" i="13" s="1"/>
  <c r="AK30" i="13" s="1"/>
  <c r="AK29" i="13" s="1"/>
  <c r="AK28" i="13" s="1"/>
  <c r="AK27" i="13" s="1"/>
  <c r="AK26" i="13" s="1"/>
  <c r="AK25" i="13" s="1"/>
  <c r="AK24" i="13" s="1"/>
  <c r="AK23" i="13" s="1"/>
  <c r="AK22" i="13" s="1"/>
  <c r="AK21" i="13" s="1"/>
  <c r="AK20" i="13" s="1"/>
  <c r="AK19" i="13" s="1"/>
  <c r="AK18" i="13" s="1"/>
  <c r="AK17" i="13" s="1"/>
  <c r="AK16" i="13" s="1"/>
  <c r="AK15" i="13" s="1"/>
  <c r="AK14" i="13" s="1"/>
  <c r="AK13" i="13" s="1"/>
  <c r="AK12" i="13" s="1"/>
  <c r="AK11" i="13" s="1"/>
  <c r="AK10" i="13" s="1"/>
  <c r="AK9" i="13" s="1"/>
  <c r="AK8" i="13" s="1"/>
  <c r="AK7" i="13" s="1"/>
  <c r="AK6" i="13" s="1"/>
  <c r="AK5" i="13" s="1"/>
  <c r="AK4" i="13" s="1"/>
  <c r="AK3" i="13" s="1"/>
  <c r="AH362" i="13"/>
  <c r="AH361" i="13" s="1"/>
  <c r="AH360" i="13" s="1"/>
  <c r="AH359" i="13" s="1"/>
  <c r="AH358" i="13" s="1"/>
  <c r="AH357" i="13" s="1"/>
  <c r="AH356" i="13" s="1"/>
  <c r="AH355" i="13" s="1"/>
  <c r="AH354" i="13" s="1"/>
  <c r="AH353" i="13" s="1"/>
  <c r="AH352" i="13" s="1"/>
  <c r="AH351" i="13" s="1"/>
  <c r="AH350" i="13" s="1"/>
  <c r="AH349" i="13" s="1"/>
  <c r="AH348" i="13" s="1"/>
  <c r="AH347" i="13" s="1"/>
  <c r="AH346" i="13" s="1"/>
  <c r="AH345" i="13" s="1"/>
  <c r="AH344" i="13" s="1"/>
  <c r="AH343" i="13" s="1"/>
  <c r="AH342" i="13" s="1"/>
  <c r="AH341" i="13" s="1"/>
  <c r="AH340" i="13" s="1"/>
  <c r="AH339" i="13" s="1"/>
  <c r="AH338" i="13" s="1"/>
  <c r="AH337" i="13" s="1"/>
  <c r="AH336" i="13" s="1"/>
  <c r="AH335" i="13" s="1"/>
  <c r="AH334" i="13" s="1"/>
  <c r="AH333" i="13" s="1"/>
  <c r="AH332" i="13" s="1"/>
  <c r="AH331" i="13" s="1"/>
  <c r="AH330" i="13" s="1"/>
  <c r="AH329" i="13" s="1"/>
  <c r="AH328" i="13" s="1"/>
  <c r="AH327" i="13" s="1"/>
  <c r="AH326" i="13" s="1"/>
  <c r="AH325" i="13" s="1"/>
  <c r="AH324" i="13" s="1"/>
  <c r="AH323" i="13" s="1"/>
  <c r="AH322" i="13" s="1"/>
  <c r="AH321" i="13" s="1"/>
  <c r="AH320" i="13" s="1"/>
  <c r="AH319" i="13" s="1"/>
  <c r="AH318" i="13" s="1"/>
  <c r="AH317" i="13" s="1"/>
  <c r="AH316" i="13" s="1"/>
  <c r="AH315" i="13" s="1"/>
  <c r="AH314" i="13" s="1"/>
  <c r="AH313" i="13" s="1"/>
  <c r="AH312" i="13" s="1"/>
  <c r="AH311" i="13" s="1"/>
  <c r="AH310" i="13" s="1"/>
  <c r="AH309" i="13" s="1"/>
  <c r="AH308" i="13" s="1"/>
  <c r="AH307" i="13" s="1"/>
  <c r="AH306" i="13" s="1"/>
  <c r="AH305" i="13" s="1"/>
  <c r="AH304" i="13" s="1"/>
  <c r="AH303" i="13" s="1"/>
  <c r="AH302" i="13" s="1"/>
  <c r="AH301" i="13" s="1"/>
  <c r="AH300" i="13" s="1"/>
  <c r="AH299" i="13" s="1"/>
  <c r="AH298" i="13" s="1"/>
  <c r="AH297" i="13" s="1"/>
  <c r="AH296" i="13" s="1"/>
  <c r="AH295" i="13" s="1"/>
  <c r="AH294" i="13" s="1"/>
  <c r="AH293" i="13" s="1"/>
  <c r="AH292" i="13" s="1"/>
  <c r="AH291" i="13" s="1"/>
  <c r="AH290" i="13" s="1"/>
  <c r="AH289" i="13" s="1"/>
  <c r="AH288" i="13" s="1"/>
  <c r="AH287" i="13" s="1"/>
  <c r="AH286" i="13" s="1"/>
  <c r="AH285" i="13" s="1"/>
  <c r="AH284" i="13" s="1"/>
  <c r="AH283" i="13" s="1"/>
  <c r="AH282" i="13" s="1"/>
  <c r="AH281" i="13" s="1"/>
  <c r="AH280" i="13" s="1"/>
  <c r="AH279" i="13" s="1"/>
  <c r="AH278" i="13" s="1"/>
  <c r="AH277" i="13" s="1"/>
  <c r="AH276" i="13" s="1"/>
  <c r="AH275" i="13" s="1"/>
  <c r="AH274" i="13" s="1"/>
  <c r="AH273" i="13" s="1"/>
  <c r="AH272" i="13" s="1"/>
  <c r="AH271" i="13" s="1"/>
  <c r="AH270" i="13" s="1"/>
  <c r="AH269" i="13" s="1"/>
  <c r="AH268" i="13" s="1"/>
  <c r="AH267" i="13" s="1"/>
  <c r="AH266" i="13" s="1"/>
  <c r="AH265" i="13" s="1"/>
  <c r="AH264" i="13" s="1"/>
  <c r="AH263" i="13" s="1"/>
  <c r="AH262" i="13" s="1"/>
  <c r="AH261" i="13" s="1"/>
  <c r="AH260" i="13" s="1"/>
  <c r="AH259" i="13" s="1"/>
  <c r="AH258" i="13" s="1"/>
  <c r="AH257" i="13" s="1"/>
  <c r="AH256" i="13" s="1"/>
  <c r="AH255" i="13" s="1"/>
  <c r="AH254" i="13" s="1"/>
  <c r="AH253" i="13" s="1"/>
  <c r="AH252" i="13" s="1"/>
  <c r="AH251" i="13" s="1"/>
  <c r="AH250" i="13" s="1"/>
  <c r="AH249" i="13" s="1"/>
  <c r="AH248" i="13" s="1"/>
  <c r="AH247" i="13" s="1"/>
  <c r="AH246" i="13" s="1"/>
  <c r="AH245" i="13" s="1"/>
  <c r="AH244" i="13" s="1"/>
  <c r="AH243" i="13" s="1"/>
  <c r="AH242" i="13" s="1"/>
  <c r="AH241" i="13" s="1"/>
  <c r="AH240" i="13" s="1"/>
  <c r="AH239" i="13" s="1"/>
  <c r="AH238" i="13" s="1"/>
  <c r="AH237" i="13" s="1"/>
  <c r="AH236" i="13" s="1"/>
  <c r="AH235" i="13" s="1"/>
  <c r="AH234" i="13" s="1"/>
  <c r="AH233" i="13" s="1"/>
  <c r="AH232" i="13" s="1"/>
  <c r="AH231" i="13" s="1"/>
  <c r="AH230" i="13" s="1"/>
  <c r="AH229" i="13" s="1"/>
  <c r="AH228" i="13" s="1"/>
  <c r="AH227" i="13" s="1"/>
  <c r="AH226" i="13" s="1"/>
  <c r="AH225" i="13" s="1"/>
  <c r="AH224" i="13" s="1"/>
  <c r="AH223" i="13" s="1"/>
  <c r="AH222" i="13" s="1"/>
  <c r="AH221" i="13" s="1"/>
  <c r="AH220" i="13" s="1"/>
  <c r="AH219" i="13" s="1"/>
  <c r="AH218" i="13" s="1"/>
  <c r="AH217" i="13" s="1"/>
  <c r="AH216" i="13" s="1"/>
  <c r="AH215" i="13" s="1"/>
  <c r="AH214" i="13" s="1"/>
  <c r="AH213" i="13" s="1"/>
  <c r="AH212" i="13" s="1"/>
  <c r="AH211" i="13" s="1"/>
  <c r="AH210" i="13" s="1"/>
  <c r="AH209" i="13" s="1"/>
  <c r="AH208" i="13" s="1"/>
  <c r="AH207" i="13" s="1"/>
  <c r="AH206" i="13" s="1"/>
  <c r="AH205" i="13" s="1"/>
  <c r="AH204" i="13" s="1"/>
  <c r="AH203" i="13" s="1"/>
  <c r="AH202" i="13" s="1"/>
  <c r="AH201" i="13" s="1"/>
  <c r="AH200" i="13" s="1"/>
  <c r="AH199" i="13" s="1"/>
  <c r="AH198" i="13" s="1"/>
  <c r="AH197" i="13" s="1"/>
  <c r="AH196" i="13" s="1"/>
  <c r="AH195" i="13" s="1"/>
  <c r="AH194" i="13" s="1"/>
  <c r="AH193" i="13" s="1"/>
  <c r="AH192" i="13" s="1"/>
  <c r="AH191" i="13" s="1"/>
  <c r="AH190" i="13" s="1"/>
  <c r="AH189" i="13" s="1"/>
  <c r="AH188" i="13" s="1"/>
  <c r="AH187" i="13" s="1"/>
  <c r="AH186" i="13" s="1"/>
  <c r="AH185" i="13" s="1"/>
  <c r="AH184" i="13" s="1"/>
  <c r="AH183" i="13" s="1"/>
  <c r="AH182" i="13" s="1"/>
  <c r="AH181" i="13" s="1"/>
  <c r="AH180" i="13" s="1"/>
  <c r="AH179" i="13" s="1"/>
  <c r="AH178" i="13" s="1"/>
  <c r="AH177" i="13" s="1"/>
  <c r="AH176" i="13" s="1"/>
  <c r="AH175" i="13" s="1"/>
  <c r="AH174" i="13" s="1"/>
  <c r="AH173" i="13" s="1"/>
  <c r="AH172" i="13" s="1"/>
  <c r="AH171" i="13" s="1"/>
  <c r="AH170" i="13" s="1"/>
  <c r="AH169" i="13" s="1"/>
  <c r="AH168" i="13" s="1"/>
  <c r="AH167" i="13" s="1"/>
  <c r="AH166" i="13" s="1"/>
  <c r="AH165" i="13" s="1"/>
  <c r="AH164" i="13" s="1"/>
  <c r="AH163" i="13" s="1"/>
  <c r="AH162" i="13" s="1"/>
  <c r="AH161" i="13" s="1"/>
  <c r="AH160" i="13" s="1"/>
  <c r="AH159" i="13" s="1"/>
  <c r="AH158" i="13" s="1"/>
  <c r="AH157" i="13" s="1"/>
  <c r="AH156" i="13" s="1"/>
  <c r="AH155" i="13" s="1"/>
  <c r="AH154" i="13" s="1"/>
  <c r="AH153" i="13" s="1"/>
  <c r="AH152" i="13" s="1"/>
  <c r="AH151" i="13" s="1"/>
  <c r="AH150" i="13" s="1"/>
  <c r="AH149" i="13" s="1"/>
  <c r="AH148" i="13" s="1"/>
  <c r="AH147" i="13" s="1"/>
  <c r="AH146" i="13" s="1"/>
  <c r="AH145" i="13" s="1"/>
  <c r="AH144" i="13" s="1"/>
  <c r="AH143" i="13" s="1"/>
  <c r="AH142" i="13" s="1"/>
  <c r="AH141" i="13" s="1"/>
  <c r="AH140" i="13" s="1"/>
  <c r="AH139" i="13" s="1"/>
  <c r="AH138" i="13" s="1"/>
  <c r="AH137" i="13" s="1"/>
  <c r="AH136" i="13" s="1"/>
  <c r="AH135" i="13" s="1"/>
  <c r="AH134" i="13" s="1"/>
  <c r="AH133" i="13" s="1"/>
  <c r="AH132" i="13" s="1"/>
  <c r="AH131" i="13" s="1"/>
  <c r="AH130" i="13" s="1"/>
  <c r="AH129" i="13" s="1"/>
  <c r="AH128" i="13" s="1"/>
  <c r="AH127" i="13" s="1"/>
  <c r="AH126" i="13" s="1"/>
  <c r="AH125" i="13" s="1"/>
  <c r="AH124" i="13" s="1"/>
  <c r="AH123" i="13" s="1"/>
  <c r="AH122" i="13" s="1"/>
  <c r="AH121" i="13" s="1"/>
  <c r="AH120" i="13" s="1"/>
  <c r="AH119" i="13" s="1"/>
  <c r="AH118" i="13" s="1"/>
  <c r="AH117" i="13" s="1"/>
  <c r="AH116" i="13" s="1"/>
  <c r="AH115" i="13" s="1"/>
  <c r="AH114" i="13" s="1"/>
  <c r="AH113" i="13" s="1"/>
  <c r="AH112" i="13" s="1"/>
  <c r="AH111" i="13" s="1"/>
  <c r="AH110" i="13" s="1"/>
  <c r="AH109" i="13" s="1"/>
  <c r="AH108" i="13" s="1"/>
  <c r="AH107" i="13" s="1"/>
  <c r="AH106" i="13" s="1"/>
  <c r="AH105" i="13" s="1"/>
  <c r="AH104" i="13" s="1"/>
  <c r="AH103" i="13" s="1"/>
  <c r="AH102" i="13" s="1"/>
  <c r="AH101" i="13" s="1"/>
  <c r="AH100" i="13" s="1"/>
  <c r="AH99" i="13" s="1"/>
  <c r="AH98" i="13" s="1"/>
  <c r="AH97" i="13" s="1"/>
  <c r="AH96" i="13" s="1"/>
  <c r="AH95" i="13" s="1"/>
  <c r="AH94" i="13" s="1"/>
  <c r="AH93" i="13" s="1"/>
  <c r="AH92" i="13" s="1"/>
  <c r="AH91" i="13" s="1"/>
  <c r="AH90" i="13" s="1"/>
  <c r="AH89" i="13" s="1"/>
  <c r="AH88" i="13" s="1"/>
  <c r="AH87" i="13" s="1"/>
  <c r="AH86" i="13" s="1"/>
  <c r="AH85" i="13" s="1"/>
  <c r="AH84" i="13" s="1"/>
  <c r="AH83" i="13" s="1"/>
  <c r="AH82" i="13" s="1"/>
  <c r="AH81" i="13" s="1"/>
  <c r="AH80" i="13" s="1"/>
  <c r="AH79" i="13" s="1"/>
  <c r="AH78" i="13" s="1"/>
  <c r="AH77" i="13" s="1"/>
  <c r="AH76" i="13" s="1"/>
  <c r="AH75" i="13" s="1"/>
  <c r="AH74" i="13" s="1"/>
  <c r="AH73" i="13" s="1"/>
  <c r="AH72" i="13" s="1"/>
  <c r="AH71" i="13" s="1"/>
  <c r="AH70" i="13" s="1"/>
  <c r="AH69" i="13" s="1"/>
  <c r="AH68" i="13" s="1"/>
  <c r="AH67" i="13" s="1"/>
  <c r="AH66" i="13" s="1"/>
  <c r="AH65" i="13" s="1"/>
  <c r="AH64" i="13" s="1"/>
  <c r="AH63" i="13" s="1"/>
  <c r="AH62" i="13" s="1"/>
  <c r="AH61" i="13" s="1"/>
  <c r="AH60" i="13" s="1"/>
  <c r="AH59" i="13" s="1"/>
  <c r="AH58" i="13" s="1"/>
  <c r="AH57" i="13" s="1"/>
  <c r="AH56" i="13" s="1"/>
  <c r="AH55" i="13" s="1"/>
  <c r="AH54" i="13" s="1"/>
  <c r="AH53" i="13" s="1"/>
  <c r="AH52" i="13" s="1"/>
  <c r="AH51" i="13" s="1"/>
  <c r="AH50" i="13" s="1"/>
  <c r="AH49" i="13" s="1"/>
  <c r="AH48" i="13" s="1"/>
  <c r="AH47" i="13" s="1"/>
  <c r="AH46" i="13" s="1"/>
  <c r="AH45" i="13" s="1"/>
  <c r="AH44" i="13" s="1"/>
  <c r="AH43" i="13" s="1"/>
  <c r="AH42" i="13" s="1"/>
  <c r="AH41" i="13" s="1"/>
  <c r="AH40" i="13" s="1"/>
  <c r="AH39" i="13" s="1"/>
  <c r="AH38" i="13" s="1"/>
  <c r="AH37" i="13" s="1"/>
  <c r="AH36" i="13" s="1"/>
  <c r="AH35" i="13" s="1"/>
  <c r="AH34" i="13" s="1"/>
  <c r="AH33" i="13" s="1"/>
  <c r="AH32" i="13" s="1"/>
  <c r="AH31" i="13" s="1"/>
  <c r="AH30" i="13" s="1"/>
  <c r="AH29" i="13" s="1"/>
  <c r="AH28" i="13" s="1"/>
  <c r="AH27" i="13" s="1"/>
  <c r="AH26" i="13" s="1"/>
  <c r="AH25" i="13" s="1"/>
  <c r="AH24" i="13" s="1"/>
  <c r="AH23" i="13" s="1"/>
  <c r="AH22" i="13" s="1"/>
  <c r="AH21" i="13" s="1"/>
  <c r="AH20" i="13" s="1"/>
  <c r="AH19" i="13" s="1"/>
  <c r="AH18" i="13" s="1"/>
  <c r="AH17" i="13" s="1"/>
  <c r="AH16" i="13" s="1"/>
  <c r="AH15" i="13" s="1"/>
  <c r="AH14" i="13" s="1"/>
  <c r="AH13" i="13" s="1"/>
  <c r="AH12" i="13" s="1"/>
  <c r="AH11" i="13" s="1"/>
  <c r="AH10" i="13" s="1"/>
  <c r="AH9" i="13" s="1"/>
  <c r="AH8" i="13" s="1"/>
  <c r="AH7" i="13" s="1"/>
  <c r="AH6" i="13" s="1"/>
  <c r="AH5" i="13" s="1"/>
  <c r="AH4" i="13" s="1"/>
  <c r="AH3" i="13" s="1"/>
  <c r="AK363" i="10"/>
  <c r="AK362" i="10" s="1"/>
  <c r="AK361" i="10" s="1"/>
  <c r="AK360" i="10" s="1"/>
  <c r="AK359" i="10" s="1"/>
  <c r="AK358" i="10" s="1"/>
  <c r="AK357" i="10" s="1"/>
  <c r="AK356" i="10" s="1"/>
  <c r="AK355" i="10" s="1"/>
  <c r="AK354" i="10" s="1"/>
  <c r="AK353" i="10" s="1"/>
  <c r="AK352" i="10" s="1"/>
  <c r="AK351" i="10" s="1"/>
  <c r="AK350" i="10" s="1"/>
  <c r="AK349" i="10" s="1"/>
  <c r="AK348" i="10" s="1"/>
  <c r="AK347" i="10" s="1"/>
  <c r="AK346" i="10" s="1"/>
  <c r="AK345" i="10" s="1"/>
  <c r="AK344" i="10" s="1"/>
  <c r="AK343" i="10" s="1"/>
  <c r="AK342" i="10" s="1"/>
  <c r="AK341" i="10" s="1"/>
  <c r="AK340" i="10" s="1"/>
  <c r="AK339" i="10" s="1"/>
  <c r="AK338" i="10" s="1"/>
  <c r="AK337" i="10" s="1"/>
  <c r="AK336" i="10" s="1"/>
  <c r="AK335" i="10" s="1"/>
  <c r="AK334" i="10" s="1"/>
  <c r="AK333" i="10" s="1"/>
  <c r="AK332" i="10" s="1"/>
  <c r="AK331" i="10" s="1"/>
  <c r="AK330" i="10" s="1"/>
  <c r="AK329" i="10" s="1"/>
  <c r="AK328" i="10" s="1"/>
  <c r="AK327" i="10" s="1"/>
  <c r="AK326" i="10" s="1"/>
  <c r="AK325" i="10" s="1"/>
  <c r="AK324" i="10" s="1"/>
  <c r="AK323" i="10" s="1"/>
  <c r="AK322" i="10" s="1"/>
  <c r="AK321" i="10" s="1"/>
  <c r="AK320" i="10" s="1"/>
  <c r="AK319" i="10" s="1"/>
  <c r="AK318" i="10" s="1"/>
  <c r="AK317" i="10" s="1"/>
  <c r="AK316" i="10" s="1"/>
  <c r="AK315" i="10" s="1"/>
  <c r="AK314" i="10" s="1"/>
  <c r="AK313" i="10" s="1"/>
  <c r="AK312" i="10" s="1"/>
  <c r="AK311" i="10" s="1"/>
  <c r="AK310" i="10" s="1"/>
  <c r="AK309" i="10" s="1"/>
  <c r="AK308" i="10" s="1"/>
  <c r="AK307" i="10" s="1"/>
  <c r="AK306" i="10" s="1"/>
  <c r="AK305" i="10" s="1"/>
  <c r="AK304" i="10" s="1"/>
  <c r="AK303" i="10" s="1"/>
  <c r="AK302" i="10" s="1"/>
  <c r="AK301" i="10" s="1"/>
  <c r="AK300" i="10" s="1"/>
  <c r="AK299" i="10" s="1"/>
  <c r="AK298" i="10" s="1"/>
  <c r="AK297" i="10" s="1"/>
  <c r="AK296" i="10" s="1"/>
  <c r="AK295" i="10" s="1"/>
  <c r="AK294" i="10" s="1"/>
  <c r="AK293" i="10" s="1"/>
  <c r="AK292" i="10" s="1"/>
  <c r="AK291" i="10" s="1"/>
  <c r="AK290" i="10" s="1"/>
  <c r="AK289" i="10" s="1"/>
  <c r="AK288" i="10" s="1"/>
  <c r="AK287" i="10" s="1"/>
  <c r="AK286" i="10" s="1"/>
  <c r="AK285" i="10" s="1"/>
  <c r="AK284" i="10" s="1"/>
  <c r="AK283" i="10" s="1"/>
  <c r="AK282" i="10" s="1"/>
  <c r="AK281" i="10" s="1"/>
  <c r="AK280" i="10" s="1"/>
  <c r="AK279" i="10" s="1"/>
  <c r="AK278" i="10" s="1"/>
  <c r="AK277" i="10" s="1"/>
  <c r="AK276" i="10" s="1"/>
  <c r="AK275" i="10" s="1"/>
  <c r="AK274" i="10" s="1"/>
  <c r="AK273" i="10" s="1"/>
  <c r="AK272" i="10" s="1"/>
  <c r="AK271" i="10" s="1"/>
  <c r="AK270" i="10" s="1"/>
  <c r="AK269" i="10" s="1"/>
  <c r="AK268" i="10" s="1"/>
  <c r="AK267" i="10" s="1"/>
  <c r="AK266" i="10" s="1"/>
  <c r="AK265" i="10" s="1"/>
  <c r="AK264" i="10" s="1"/>
  <c r="AK263" i="10" s="1"/>
  <c r="AK262" i="10" s="1"/>
  <c r="AK261" i="10" s="1"/>
  <c r="AK260" i="10" s="1"/>
  <c r="AK259" i="10" s="1"/>
  <c r="AK258" i="10" s="1"/>
  <c r="AK257" i="10" s="1"/>
  <c r="AK256" i="10" s="1"/>
  <c r="AK255" i="10" s="1"/>
  <c r="AK254" i="10" s="1"/>
  <c r="AK253" i="10" s="1"/>
  <c r="AK252" i="10" s="1"/>
  <c r="AK251" i="10" s="1"/>
  <c r="AK250" i="10" s="1"/>
  <c r="AK249" i="10" s="1"/>
  <c r="AK248" i="10" s="1"/>
  <c r="AK247" i="10" s="1"/>
  <c r="AK246" i="10" s="1"/>
  <c r="AK245" i="10" s="1"/>
  <c r="AK244" i="10" s="1"/>
  <c r="AK243" i="10" s="1"/>
  <c r="AK242" i="10" s="1"/>
  <c r="AK241" i="10" s="1"/>
  <c r="AK240" i="10" s="1"/>
  <c r="AK239" i="10" s="1"/>
  <c r="AK238" i="10" s="1"/>
  <c r="AK237" i="10" s="1"/>
  <c r="AK236" i="10" s="1"/>
  <c r="AK235" i="10" s="1"/>
  <c r="AK234" i="10" s="1"/>
  <c r="AK233" i="10" s="1"/>
  <c r="AK232" i="10" s="1"/>
  <c r="AK231" i="10" s="1"/>
  <c r="AK230" i="10" s="1"/>
  <c r="AK229" i="10" s="1"/>
  <c r="AK228" i="10" s="1"/>
  <c r="AK227" i="10" s="1"/>
  <c r="AK226" i="10" s="1"/>
  <c r="AK225" i="10" s="1"/>
  <c r="AK224" i="10" s="1"/>
  <c r="AK223" i="10" s="1"/>
  <c r="AK222" i="10" s="1"/>
  <c r="AK221" i="10" s="1"/>
  <c r="AK220" i="10" s="1"/>
  <c r="AK219" i="10" s="1"/>
  <c r="AK218" i="10" s="1"/>
  <c r="AK217" i="10" s="1"/>
  <c r="AK216" i="10" s="1"/>
  <c r="AK215" i="10" s="1"/>
  <c r="AK214" i="10" s="1"/>
  <c r="AK213" i="10" s="1"/>
  <c r="AK212" i="10" s="1"/>
  <c r="AK211" i="10" s="1"/>
  <c r="AK210" i="10" s="1"/>
  <c r="AK209" i="10" s="1"/>
  <c r="AK208" i="10" s="1"/>
  <c r="AK207" i="10" s="1"/>
  <c r="AK206" i="10" s="1"/>
  <c r="AK205" i="10" s="1"/>
  <c r="AK204" i="10" s="1"/>
  <c r="AK203" i="10" s="1"/>
  <c r="AK202" i="10" s="1"/>
  <c r="AK201" i="10" s="1"/>
  <c r="AK200" i="10" s="1"/>
  <c r="AK199" i="10" s="1"/>
  <c r="AK198" i="10" s="1"/>
  <c r="AK197" i="10" s="1"/>
  <c r="AK196" i="10" s="1"/>
  <c r="AK195" i="10" s="1"/>
  <c r="AK194" i="10" s="1"/>
  <c r="AK193" i="10" s="1"/>
  <c r="AK192" i="10" s="1"/>
  <c r="AK191" i="10" s="1"/>
  <c r="AK190" i="10" s="1"/>
  <c r="AK189" i="10" s="1"/>
  <c r="AK188" i="10" s="1"/>
  <c r="AK187" i="10" s="1"/>
  <c r="AK186" i="10" s="1"/>
  <c r="AK185" i="10" s="1"/>
  <c r="AK184" i="10" s="1"/>
  <c r="AK183" i="10" s="1"/>
  <c r="AK182" i="10" s="1"/>
  <c r="AK181" i="10" s="1"/>
  <c r="AK180" i="10" s="1"/>
  <c r="AK179" i="10" s="1"/>
  <c r="AK178" i="10" s="1"/>
  <c r="AK177" i="10" s="1"/>
  <c r="AK176" i="10" s="1"/>
  <c r="AK175" i="10" s="1"/>
  <c r="AK174" i="10" s="1"/>
  <c r="AK173" i="10" s="1"/>
  <c r="AK172" i="10" s="1"/>
  <c r="AK171" i="10" s="1"/>
  <c r="AK170" i="10" s="1"/>
  <c r="AK169" i="10" s="1"/>
  <c r="AK168" i="10" s="1"/>
  <c r="AK167" i="10" s="1"/>
  <c r="AK166" i="10" s="1"/>
  <c r="AK165" i="10" s="1"/>
  <c r="AK164" i="10" s="1"/>
  <c r="AK163" i="10" s="1"/>
  <c r="AK162" i="10" s="1"/>
  <c r="AK161" i="10" s="1"/>
  <c r="AK160" i="10" s="1"/>
  <c r="AK159" i="10" s="1"/>
  <c r="AK158" i="10" s="1"/>
  <c r="AK157" i="10" s="1"/>
  <c r="AK156" i="10" s="1"/>
  <c r="AK155" i="10" s="1"/>
  <c r="AK154" i="10" s="1"/>
  <c r="AK153" i="10" s="1"/>
  <c r="AK152" i="10" s="1"/>
  <c r="AK151" i="10" s="1"/>
  <c r="AK150" i="10" s="1"/>
  <c r="AK149" i="10" s="1"/>
  <c r="AK148" i="10" s="1"/>
  <c r="AK147" i="10" s="1"/>
  <c r="AK146" i="10" s="1"/>
  <c r="AK145" i="10" s="1"/>
  <c r="AK144" i="10" s="1"/>
  <c r="AK143" i="10" s="1"/>
  <c r="AK142" i="10" s="1"/>
  <c r="AK141" i="10" s="1"/>
  <c r="AK140" i="10" s="1"/>
  <c r="AK139" i="10" s="1"/>
  <c r="AK138" i="10" s="1"/>
  <c r="AK137" i="10" s="1"/>
  <c r="AK136" i="10" s="1"/>
  <c r="AK135" i="10" s="1"/>
  <c r="AK134" i="10" s="1"/>
  <c r="AK133" i="10" s="1"/>
  <c r="AK132" i="10" s="1"/>
  <c r="AK131" i="10" s="1"/>
  <c r="AK130" i="10" s="1"/>
  <c r="AK129" i="10" s="1"/>
  <c r="AK128" i="10" s="1"/>
  <c r="AK127" i="10" s="1"/>
  <c r="AK126" i="10" s="1"/>
  <c r="AK125" i="10" s="1"/>
  <c r="AK124" i="10" s="1"/>
  <c r="AK123" i="10" s="1"/>
  <c r="AK122" i="10" s="1"/>
  <c r="AK121" i="10" s="1"/>
  <c r="AK120" i="10" s="1"/>
  <c r="AK119" i="10" s="1"/>
  <c r="AK118" i="10" s="1"/>
  <c r="AK117" i="10" s="1"/>
  <c r="AK116" i="10" s="1"/>
  <c r="AK115" i="10" s="1"/>
  <c r="AK114" i="10" s="1"/>
  <c r="AK113" i="10" s="1"/>
  <c r="AK112" i="10" s="1"/>
  <c r="AK111" i="10" s="1"/>
  <c r="AK110" i="10" s="1"/>
  <c r="AK109" i="10" s="1"/>
  <c r="AK108" i="10" s="1"/>
  <c r="AK107" i="10" s="1"/>
  <c r="AK106" i="10" s="1"/>
  <c r="AK105" i="10" s="1"/>
  <c r="AK104" i="10" s="1"/>
  <c r="AK103" i="10" s="1"/>
  <c r="AK102" i="10" s="1"/>
  <c r="AK101" i="10" s="1"/>
  <c r="AK100" i="10" s="1"/>
  <c r="AK99" i="10" s="1"/>
  <c r="AK98" i="10" s="1"/>
  <c r="AK97" i="10" s="1"/>
  <c r="AK96" i="10" s="1"/>
  <c r="AK95" i="10" s="1"/>
  <c r="AK94" i="10" s="1"/>
  <c r="AK93" i="10" s="1"/>
  <c r="AK92" i="10" s="1"/>
  <c r="AK91" i="10" s="1"/>
  <c r="AK90" i="10" s="1"/>
  <c r="AK89" i="10" s="1"/>
  <c r="AK88" i="10" s="1"/>
  <c r="AK87" i="10" s="1"/>
  <c r="AK86" i="10" s="1"/>
  <c r="AK85" i="10" s="1"/>
  <c r="AK84" i="10" s="1"/>
  <c r="AK83" i="10" s="1"/>
  <c r="AK82" i="10" s="1"/>
  <c r="AK81" i="10" s="1"/>
  <c r="AK80" i="10" s="1"/>
  <c r="AK79" i="10" s="1"/>
  <c r="AK78" i="10" s="1"/>
  <c r="AK77" i="10" s="1"/>
  <c r="AK76" i="10" s="1"/>
  <c r="AK75" i="10" s="1"/>
  <c r="AK74" i="10" s="1"/>
  <c r="AK73" i="10" s="1"/>
  <c r="AK72" i="10" s="1"/>
  <c r="AK71" i="10" s="1"/>
  <c r="AK70" i="10" s="1"/>
  <c r="AK69" i="10" s="1"/>
  <c r="AK68" i="10" s="1"/>
  <c r="AK67" i="10" s="1"/>
  <c r="AK66" i="10" s="1"/>
  <c r="AK65" i="10" s="1"/>
  <c r="AK64" i="10" s="1"/>
  <c r="AK63" i="10" s="1"/>
  <c r="AK62" i="10" s="1"/>
  <c r="AK61" i="10" s="1"/>
  <c r="AK60" i="10" s="1"/>
  <c r="AK59" i="10" s="1"/>
  <c r="AK58" i="10" s="1"/>
  <c r="AK57" i="10" s="1"/>
  <c r="AK56" i="10" s="1"/>
  <c r="AK55" i="10" s="1"/>
  <c r="AK54" i="10" s="1"/>
  <c r="AK53" i="10" s="1"/>
  <c r="AK52" i="10" s="1"/>
  <c r="AK51" i="10" s="1"/>
  <c r="AK50" i="10" s="1"/>
  <c r="AK49" i="10" s="1"/>
  <c r="AK48" i="10" s="1"/>
  <c r="AK47" i="10" s="1"/>
  <c r="AK46" i="10" s="1"/>
  <c r="AK45" i="10" s="1"/>
  <c r="AK44" i="10" s="1"/>
  <c r="AK43" i="10" s="1"/>
  <c r="AK42" i="10" s="1"/>
  <c r="AK41" i="10" s="1"/>
  <c r="AK40" i="10" s="1"/>
  <c r="AK39" i="10" s="1"/>
  <c r="AK38" i="10" s="1"/>
  <c r="AK37" i="10" s="1"/>
  <c r="AK36" i="10" s="1"/>
  <c r="AK35" i="10" s="1"/>
  <c r="AK34" i="10" s="1"/>
  <c r="AK33" i="10" s="1"/>
  <c r="AK32" i="10" s="1"/>
  <c r="AK31" i="10" s="1"/>
  <c r="AK30" i="10" s="1"/>
  <c r="AK29" i="10" s="1"/>
  <c r="AK28" i="10" s="1"/>
  <c r="AK27" i="10" s="1"/>
  <c r="AK26" i="10" s="1"/>
  <c r="AK25" i="10" s="1"/>
  <c r="AK24" i="10" s="1"/>
  <c r="AK23" i="10" s="1"/>
  <c r="AK22" i="10" s="1"/>
  <c r="AK21" i="10" s="1"/>
  <c r="AK20" i="10" s="1"/>
  <c r="AK19" i="10" s="1"/>
  <c r="AK18" i="10" s="1"/>
  <c r="AK17" i="10" s="1"/>
  <c r="AK16" i="10" s="1"/>
  <c r="AK15" i="10" s="1"/>
  <c r="AK14" i="10" s="1"/>
  <c r="AK13" i="10" s="1"/>
  <c r="AK12" i="10" s="1"/>
  <c r="AK11" i="10" s="1"/>
  <c r="AK10" i="10" s="1"/>
  <c r="AK9" i="10" s="1"/>
  <c r="AK8" i="10" s="1"/>
  <c r="AK7" i="10" s="1"/>
  <c r="AK6" i="10" s="1"/>
  <c r="AK5" i="10" s="1"/>
  <c r="AK4" i="10" s="1"/>
  <c r="AK3" i="10" s="1"/>
  <c r="AH362" i="10"/>
  <c r="AH361" i="10" s="1"/>
  <c r="AH360" i="10" s="1"/>
  <c r="AH359" i="10" s="1"/>
  <c r="AH358" i="10" s="1"/>
  <c r="AH357" i="10" s="1"/>
  <c r="AH356" i="10" s="1"/>
  <c r="AH355" i="10" s="1"/>
  <c r="AH354" i="10" s="1"/>
  <c r="AH353" i="10" s="1"/>
  <c r="AH352" i="10" s="1"/>
  <c r="AH351" i="10" s="1"/>
  <c r="AH350" i="10" s="1"/>
  <c r="AH349" i="10" s="1"/>
  <c r="AH348" i="10" s="1"/>
  <c r="AH347" i="10" s="1"/>
  <c r="AH346" i="10" s="1"/>
  <c r="AH345" i="10" s="1"/>
  <c r="AH344" i="10" s="1"/>
  <c r="AH343" i="10" s="1"/>
  <c r="AH342" i="10" s="1"/>
  <c r="AH341" i="10" s="1"/>
  <c r="AH340" i="10" s="1"/>
  <c r="AH339" i="10" s="1"/>
  <c r="AH338" i="10" s="1"/>
  <c r="AH337" i="10" s="1"/>
  <c r="AH336" i="10" s="1"/>
  <c r="AH335" i="10" s="1"/>
  <c r="AH334" i="10" s="1"/>
  <c r="AH333" i="10" s="1"/>
  <c r="AH332" i="10" s="1"/>
  <c r="AH331" i="10" s="1"/>
  <c r="AH330" i="10" s="1"/>
  <c r="AH329" i="10" s="1"/>
  <c r="AH328" i="10" s="1"/>
  <c r="AH327" i="10" s="1"/>
  <c r="AH326" i="10" s="1"/>
  <c r="AH325" i="10" s="1"/>
  <c r="AH324" i="10" s="1"/>
  <c r="AH323" i="10" s="1"/>
  <c r="AH322" i="10" s="1"/>
  <c r="AH321" i="10" s="1"/>
  <c r="AH320" i="10" s="1"/>
  <c r="AH319" i="10" s="1"/>
  <c r="AH318" i="10" s="1"/>
  <c r="AH317" i="10" s="1"/>
  <c r="AH316" i="10" s="1"/>
  <c r="AH315" i="10" s="1"/>
  <c r="AH314" i="10" s="1"/>
  <c r="AH313" i="10" s="1"/>
  <c r="AH312" i="10" s="1"/>
  <c r="AH311" i="10" s="1"/>
  <c r="AH310" i="10" s="1"/>
  <c r="AH309" i="10" s="1"/>
  <c r="AH308" i="10" s="1"/>
  <c r="AH307" i="10" s="1"/>
  <c r="AH306" i="10" s="1"/>
  <c r="AH305" i="10" s="1"/>
  <c r="AH304" i="10" s="1"/>
  <c r="AH303" i="10" s="1"/>
  <c r="AH302" i="10" s="1"/>
  <c r="AH301" i="10" s="1"/>
  <c r="AH300" i="10" s="1"/>
  <c r="AH299" i="10" s="1"/>
  <c r="AH298" i="10" s="1"/>
  <c r="AH297" i="10" s="1"/>
  <c r="AH296" i="10" s="1"/>
  <c r="AH295" i="10" s="1"/>
  <c r="AH294" i="10" s="1"/>
  <c r="AH293" i="10" s="1"/>
  <c r="AH292" i="10" s="1"/>
  <c r="AH291" i="10" s="1"/>
  <c r="AH290" i="10" s="1"/>
  <c r="AH289" i="10" s="1"/>
  <c r="AH288" i="10" s="1"/>
  <c r="AH287" i="10" s="1"/>
  <c r="AH286" i="10" s="1"/>
  <c r="AH285" i="10" s="1"/>
  <c r="AH284" i="10" s="1"/>
  <c r="AH283" i="10" s="1"/>
  <c r="AH282" i="10" s="1"/>
  <c r="AH281" i="10" s="1"/>
  <c r="AH280" i="10" s="1"/>
  <c r="AH279" i="10" s="1"/>
  <c r="AH278" i="10" s="1"/>
  <c r="AH277" i="10" s="1"/>
  <c r="AH276" i="10" s="1"/>
  <c r="AH275" i="10" s="1"/>
  <c r="AH274" i="10" s="1"/>
  <c r="AH273" i="10" s="1"/>
  <c r="AH272" i="10" s="1"/>
  <c r="AH271" i="10" s="1"/>
  <c r="AH270" i="10" s="1"/>
  <c r="AH269" i="10" s="1"/>
  <c r="AH268" i="10" s="1"/>
  <c r="AH267" i="10" s="1"/>
  <c r="AH266" i="10" s="1"/>
  <c r="AH265" i="10" s="1"/>
  <c r="AH264" i="10" s="1"/>
  <c r="AH263" i="10" s="1"/>
  <c r="AH262" i="10" s="1"/>
  <c r="AH261" i="10" s="1"/>
  <c r="AH260" i="10" s="1"/>
  <c r="AH259" i="10" s="1"/>
  <c r="AH258" i="10" s="1"/>
  <c r="AH257" i="10" s="1"/>
  <c r="AH256" i="10" s="1"/>
  <c r="AH255" i="10" s="1"/>
  <c r="AH254" i="10" s="1"/>
  <c r="AH253" i="10" s="1"/>
  <c r="AH252" i="10" s="1"/>
  <c r="AH251" i="10" s="1"/>
  <c r="AH250" i="10" s="1"/>
  <c r="AH249" i="10" s="1"/>
  <c r="AH248" i="10" s="1"/>
  <c r="AH247" i="10" s="1"/>
  <c r="AH246" i="10" s="1"/>
  <c r="AH245" i="10" s="1"/>
  <c r="AH244" i="10" s="1"/>
  <c r="AH243" i="10" s="1"/>
  <c r="AH242" i="10" s="1"/>
  <c r="AH241" i="10" s="1"/>
  <c r="AH240" i="10" s="1"/>
  <c r="AH239" i="10" s="1"/>
  <c r="AH238" i="10" s="1"/>
  <c r="AH237" i="10" s="1"/>
  <c r="AH236" i="10" s="1"/>
  <c r="AH235" i="10" s="1"/>
  <c r="AH234" i="10" s="1"/>
  <c r="AH233" i="10" s="1"/>
  <c r="AH232" i="10" s="1"/>
  <c r="AH231" i="10" s="1"/>
  <c r="AH230" i="10" s="1"/>
  <c r="AH229" i="10" s="1"/>
  <c r="AH228" i="10" s="1"/>
  <c r="AH227" i="10" s="1"/>
  <c r="AH226" i="10" s="1"/>
  <c r="AH225" i="10" s="1"/>
  <c r="AH224" i="10" s="1"/>
  <c r="AH223" i="10" s="1"/>
  <c r="AH222" i="10" s="1"/>
  <c r="AH221" i="10" s="1"/>
  <c r="AH220" i="10" s="1"/>
  <c r="AH219" i="10" s="1"/>
  <c r="AH218" i="10" s="1"/>
  <c r="AH217" i="10" s="1"/>
  <c r="AH216" i="10" s="1"/>
  <c r="AH215" i="10" s="1"/>
  <c r="AH214" i="10" s="1"/>
  <c r="AH213" i="10" s="1"/>
  <c r="AH212" i="10" s="1"/>
  <c r="AH211" i="10" s="1"/>
  <c r="AH210" i="10" s="1"/>
  <c r="AH209" i="10" s="1"/>
  <c r="AH208" i="10" s="1"/>
  <c r="AH207" i="10" s="1"/>
  <c r="AH206" i="10" s="1"/>
  <c r="AH205" i="10" s="1"/>
  <c r="AH204" i="10" s="1"/>
  <c r="AH203" i="10" s="1"/>
  <c r="AH202" i="10" s="1"/>
  <c r="AH201" i="10" s="1"/>
  <c r="AH200" i="10" s="1"/>
  <c r="AH199" i="10" s="1"/>
  <c r="AH198" i="10" s="1"/>
  <c r="AH197" i="10" s="1"/>
  <c r="AH196" i="10" s="1"/>
  <c r="AH195" i="10" s="1"/>
  <c r="AH194" i="10" s="1"/>
  <c r="AH193" i="10" s="1"/>
  <c r="AH192" i="10" s="1"/>
  <c r="AH191" i="10" s="1"/>
  <c r="AH190" i="10" s="1"/>
  <c r="AH189" i="10" s="1"/>
  <c r="AH188" i="10" s="1"/>
  <c r="AH187" i="10" s="1"/>
  <c r="AH186" i="10" s="1"/>
  <c r="AH185" i="10" s="1"/>
  <c r="AH184" i="10" s="1"/>
  <c r="AH183" i="10" s="1"/>
  <c r="AH182" i="10" s="1"/>
  <c r="AH181" i="10" s="1"/>
  <c r="AH180" i="10" s="1"/>
  <c r="AH179" i="10" s="1"/>
  <c r="AH178" i="10" s="1"/>
  <c r="AH177" i="10" s="1"/>
  <c r="AH176" i="10" s="1"/>
  <c r="AH175" i="10" s="1"/>
  <c r="AH174" i="10" s="1"/>
  <c r="AH173" i="10" s="1"/>
  <c r="AH172" i="10" s="1"/>
  <c r="AH171" i="10" s="1"/>
  <c r="AH170" i="10" s="1"/>
  <c r="AH169" i="10" s="1"/>
  <c r="AH168" i="10" s="1"/>
  <c r="AH167" i="10" s="1"/>
  <c r="AH166" i="10" s="1"/>
  <c r="AH165" i="10" s="1"/>
  <c r="AH164" i="10" s="1"/>
  <c r="AH163" i="10" s="1"/>
  <c r="AH162" i="10" s="1"/>
  <c r="AH161" i="10" s="1"/>
  <c r="AH160" i="10" s="1"/>
  <c r="AH159" i="10" s="1"/>
  <c r="AH158" i="10" s="1"/>
  <c r="AH157" i="10" s="1"/>
  <c r="AH156" i="10" s="1"/>
  <c r="AH155" i="10" s="1"/>
  <c r="AH154" i="10" s="1"/>
  <c r="AH153" i="10" s="1"/>
  <c r="AH152" i="10" s="1"/>
  <c r="AH151" i="10" s="1"/>
  <c r="AH150" i="10" s="1"/>
  <c r="AH149" i="10" s="1"/>
  <c r="AH148" i="10" s="1"/>
  <c r="AH147" i="10" s="1"/>
  <c r="AH146" i="10" s="1"/>
  <c r="AH145" i="10" s="1"/>
  <c r="AH144" i="10" s="1"/>
  <c r="AH143" i="10" s="1"/>
  <c r="AH142" i="10" s="1"/>
  <c r="AH141" i="10" s="1"/>
  <c r="AH140" i="10" s="1"/>
  <c r="AH139" i="10" s="1"/>
  <c r="AH138" i="10" s="1"/>
  <c r="AH137" i="10" s="1"/>
  <c r="AH136" i="10" s="1"/>
  <c r="AH135" i="10" s="1"/>
  <c r="AH134" i="10" s="1"/>
  <c r="AH133" i="10" s="1"/>
  <c r="AH132" i="10" s="1"/>
  <c r="AH131" i="10" s="1"/>
  <c r="AH130" i="10" s="1"/>
  <c r="AH129" i="10" s="1"/>
  <c r="AH128" i="10" s="1"/>
  <c r="AH127" i="10" s="1"/>
  <c r="AH126" i="10" s="1"/>
  <c r="AH125" i="10" s="1"/>
  <c r="AH124" i="10" s="1"/>
  <c r="AH123" i="10" s="1"/>
  <c r="AH122" i="10" s="1"/>
  <c r="AH121" i="10" s="1"/>
  <c r="AH120" i="10" s="1"/>
  <c r="AH119" i="10" s="1"/>
  <c r="AH118" i="10" s="1"/>
  <c r="AH117" i="10" s="1"/>
  <c r="AH116" i="10" s="1"/>
  <c r="AH115" i="10" s="1"/>
  <c r="AH114" i="10" s="1"/>
  <c r="AH113" i="10" s="1"/>
  <c r="AH112" i="10" s="1"/>
  <c r="AH111" i="10" s="1"/>
  <c r="AH110" i="10" s="1"/>
  <c r="AH109" i="10" s="1"/>
  <c r="AH108" i="10" s="1"/>
  <c r="AH107" i="10" s="1"/>
  <c r="AH106" i="10" s="1"/>
  <c r="AH105" i="10" s="1"/>
  <c r="AH104" i="10" s="1"/>
  <c r="AH103" i="10" s="1"/>
  <c r="AH102" i="10" s="1"/>
  <c r="AH101" i="10" s="1"/>
  <c r="AH100" i="10" s="1"/>
  <c r="AH99" i="10" s="1"/>
  <c r="AH98" i="10" s="1"/>
  <c r="AH97" i="10" s="1"/>
  <c r="AH96" i="10" s="1"/>
  <c r="AH95" i="10" s="1"/>
  <c r="AH94" i="10" s="1"/>
  <c r="AH93" i="10" s="1"/>
  <c r="AH92" i="10" s="1"/>
  <c r="AH91" i="10" s="1"/>
  <c r="AH90" i="10" s="1"/>
  <c r="AH89" i="10" s="1"/>
  <c r="AH88" i="10" s="1"/>
  <c r="AH87" i="10" s="1"/>
  <c r="AH86" i="10" s="1"/>
  <c r="AH85" i="10" s="1"/>
  <c r="AH84" i="10" s="1"/>
  <c r="AH83" i="10" s="1"/>
  <c r="AH82" i="10" s="1"/>
  <c r="AH81" i="10" s="1"/>
  <c r="AH80" i="10" s="1"/>
  <c r="AH79" i="10" s="1"/>
  <c r="AH78" i="10" s="1"/>
  <c r="AH77" i="10" s="1"/>
  <c r="AH76" i="10" s="1"/>
  <c r="AH75" i="10" s="1"/>
  <c r="AH74" i="10" s="1"/>
  <c r="AH73" i="10" s="1"/>
  <c r="AH72" i="10" s="1"/>
  <c r="AH71" i="10" s="1"/>
  <c r="AH70" i="10" s="1"/>
  <c r="AH69" i="10" s="1"/>
  <c r="AH68" i="10" s="1"/>
  <c r="AH67" i="10" s="1"/>
  <c r="AH66" i="10" s="1"/>
  <c r="AH65" i="10" s="1"/>
  <c r="AH64" i="10" s="1"/>
  <c r="AH63" i="10" s="1"/>
  <c r="AH62" i="10" s="1"/>
  <c r="AH61" i="10" s="1"/>
  <c r="AH60" i="10" s="1"/>
  <c r="AH59" i="10" s="1"/>
  <c r="AH58" i="10" s="1"/>
  <c r="AH57" i="10" s="1"/>
  <c r="AH56" i="10" s="1"/>
  <c r="AH55" i="10" s="1"/>
  <c r="AH54" i="10" s="1"/>
  <c r="AH53" i="10" s="1"/>
  <c r="AH52" i="10" s="1"/>
  <c r="AH51" i="10" s="1"/>
  <c r="AH50" i="10" s="1"/>
  <c r="AH49" i="10" s="1"/>
  <c r="AH48" i="10" s="1"/>
  <c r="AH47" i="10" s="1"/>
  <c r="AH46" i="10" s="1"/>
  <c r="AH45" i="10" s="1"/>
  <c r="AH44" i="10" s="1"/>
  <c r="AH43" i="10" s="1"/>
  <c r="AH42" i="10" s="1"/>
  <c r="AH41" i="10" s="1"/>
  <c r="AH40" i="10" s="1"/>
  <c r="AH39" i="10" s="1"/>
  <c r="AH38" i="10" s="1"/>
  <c r="AH37" i="10" s="1"/>
  <c r="AH36" i="10" s="1"/>
  <c r="AH35" i="10" s="1"/>
  <c r="AH34" i="10" s="1"/>
  <c r="AH33" i="10" s="1"/>
  <c r="AH32" i="10" s="1"/>
  <c r="AH31" i="10" s="1"/>
  <c r="AH30" i="10" s="1"/>
  <c r="AH29" i="10" s="1"/>
  <c r="AH28" i="10" s="1"/>
  <c r="AH27" i="10" s="1"/>
  <c r="AH26" i="10" s="1"/>
  <c r="AH25" i="10" s="1"/>
  <c r="AH24" i="10" s="1"/>
  <c r="AH23" i="10" s="1"/>
  <c r="AH22" i="10" s="1"/>
  <c r="AH21" i="10" s="1"/>
  <c r="AH20" i="10" s="1"/>
  <c r="AH19" i="10" s="1"/>
  <c r="AH18" i="10" s="1"/>
  <c r="AH17" i="10" s="1"/>
  <c r="AH16" i="10" s="1"/>
  <c r="AH15" i="10" s="1"/>
  <c r="AH14" i="10" s="1"/>
  <c r="AH13" i="10" s="1"/>
  <c r="AH12" i="10" s="1"/>
  <c r="AH11" i="10" s="1"/>
  <c r="AH10" i="10" s="1"/>
  <c r="AH9" i="10" s="1"/>
  <c r="AH8" i="10" s="1"/>
  <c r="AH7" i="10" s="1"/>
  <c r="AH6" i="10" s="1"/>
  <c r="AH5" i="10" s="1"/>
  <c r="AH4" i="10" s="1"/>
  <c r="AH3" i="10" s="1"/>
  <c r="H37" i="14" l="1"/>
  <c r="H42" i="14" s="1"/>
  <c r="I98" i="8"/>
  <c r="I103" i="8" s="1"/>
  <c r="I123" i="8"/>
  <c r="I128" i="8" s="1"/>
  <c r="I37" i="8"/>
  <c r="I42" i="8" s="1"/>
  <c r="H99" i="11"/>
  <c r="H98" i="11" s="1"/>
  <c r="H103" i="11" s="1"/>
  <c r="H124" i="11"/>
  <c r="H123" i="11" s="1"/>
  <c r="H128" i="11" s="1"/>
  <c r="I123" i="14"/>
  <c r="I128" i="14" s="1"/>
  <c r="I98" i="14"/>
  <c r="I103" i="14" s="1"/>
  <c r="H99" i="8"/>
  <c r="H37" i="8"/>
  <c r="H42" i="8" s="1"/>
  <c r="H98" i="8" l="1"/>
  <c r="H103" i="8" s="1"/>
  <c r="B35" i="3" l="1"/>
  <c r="F35" i="3"/>
  <c r="J35" i="3"/>
  <c r="B36" i="3"/>
  <c r="F36" i="3"/>
  <c r="J36" i="3"/>
  <c r="B29" i="3"/>
  <c r="F29" i="3"/>
  <c r="J29" i="3"/>
  <c r="B30" i="3"/>
  <c r="F30" i="3"/>
  <c r="J30" i="3"/>
  <c r="B23" i="3"/>
  <c r="F23" i="3"/>
  <c r="J23" i="3"/>
  <c r="B24" i="3"/>
  <c r="F24" i="3"/>
  <c r="J24" i="3"/>
  <c r="N25" i="3"/>
  <c r="N26" i="3"/>
  <c r="N19" i="3"/>
  <c r="N20" i="3"/>
  <c r="N13" i="3"/>
  <c r="N14" i="3"/>
  <c r="N4" i="3"/>
  <c r="N5" i="3"/>
  <c r="N6" i="3"/>
  <c r="N7" i="3"/>
  <c r="N8" i="3"/>
  <c r="J4" i="3"/>
  <c r="J5" i="3"/>
  <c r="J6" i="3"/>
  <c r="J7" i="3"/>
  <c r="J8" i="3"/>
  <c r="J9" i="3"/>
  <c r="J10" i="3"/>
  <c r="J15" i="3"/>
  <c r="J16" i="3"/>
  <c r="J17" i="3"/>
  <c r="J18" i="3"/>
  <c r="F15" i="3"/>
  <c r="F16" i="3"/>
  <c r="F17" i="3"/>
  <c r="F18" i="3"/>
  <c r="F4" i="3"/>
  <c r="F5" i="3"/>
  <c r="F6" i="3"/>
  <c r="F7" i="3"/>
  <c r="F8" i="3"/>
  <c r="F9" i="3"/>
  <c r="F10" i="3"/>
  <c r="N18" i="3"/>
  <c r="N12" i="3"/>
  <c r="N24" i="3"/>
  <c r="J34" i="3"/>
  <c r="J28" i="3"/>
  <c r="F34" i="3"/>
  <c r="F28" i="3"/>
  <c r="B34" i="3"/>
  <c r="B28" i="3"/>
  <c r="N3" i="3"/>
  <c r="J14" i="3"/>
  <c r="J3" i="3"/>
  <c r="F14" i="3"/>
  <c r="F3" i="3"/>
  <c r="J22" i="3"/>
  <c r="F22" i="3"/>
  <c r="B22" i="3"/>
  <c r="B15" i="3"/>
  <c r="B16" i="3"/>
  <c r="B17" i="3"/>
  <c r="B18" i="3"/>
  <c r="B14" i="3"/>
  <c r="B9" i="3"/>
  <c r="B4" i="3"/>
  <c r="B5" i="3"/>
  <c r="B6" i="3"/>
  <c r="B7" i="3"/>
  <c r="B8" i="3"/>
  <c r="B10" i="3"/>
  <c r="B3" i="3"/>
  <c r="Q360" i="2"/>
  <c r="S360" i="2" s="1"/>
  <c r="Q351" i="2"/>
  <c r="R351" i="2" s="1"/>
  <c r="H356" i="2" s="1"/>
  <c r="Q340" i="2"/>
  <c r="S340" i="2" s="1"/>
  <c r="E350" i="2"/>
  <c r="E349" i="2"/>
  <c r="E348" i="2"/>
  <c r="Q331" i="2"/>
  <c r="R331" i="2" s="1"/>
  <c r="H336" i="2" s="1"/>
  <c r="Q320" i="2"/>
  <c r="S320" i="2" s="1"/>
  <c r="E330" i="2"/>
  <c r="E329" i="2"/>
  <c r="E328" i="2"/>
  <c r="Q311" i="2"/>
  <c r="R311" i="2" s="1"/>
  <c r="H316" i="2" s="1"/>
  <c r="Q300" i="2"/>
  <c r="E310" i="2"/>
  <c r="E309" i="2"/>
  <c r="E308" i="2"/>
  <c r="Q291" i="2"/>
  <c r="Q280" i="2"/>
  <c r="E290" i="2"/>
  <c r="E289" i="2"/>
  <c r="E288" i="2"/>
  <c r="Q271" i="2"/>
  <c r="Q260" i="2"/>
  <c r="R260" i="2" s="1"/>
  <c r="E270" i="2"/>
  <c r="E269" i="2"/>
  <c r="E268" i="2"/>
  <c r="Q251" i="2"/>
  <c r="R251" i="2" s="1"/>
  <c r="Q240" i="2"/>
  <c r="R240" i="2" s="1"/>
  <c r="E250" i="2"/>
  <c r="E249" i="2"/>
  <c r="E248" i="2"/>
  <c r="Q231" i="2"/>
  <c r="R231" i="2" s="1"/>
  <c r="Q220" i="2"/>
  <c r="R220" i="2" s="1"/>
  <c r="R271" i="2" l="1"/>
  <c r="H276" i="2" s="1"/>
  <c r="R291" i="2"/>
  <c r="H296" i="2" s="1"/>
  <c r="S260" i="2"/>
  <c r="I256" i="2"/>
  <c r="S280" i="2"/>
  <c r="R280" i="2"/>
  <c r="I276" i="2" s="1"/>
  <c r="H256" i="2"/>
  <c r="R300" i="2"/>
  <c r="I296" i="2" s="1"/>
  <c r="S300" i="2"/>
  <c r="S331" i="2"/>
  <c r="S351" i="2"/>
  <c r="R360" i="2"/>
  <c r="I356" i="2" s="1"/>
  <c r="R340" i="2"/>
  <c r="I336" i="2" s="1"/>
  <c r="S311" i="2"/>
  <c r="R320" i="2"/>
  <c r="I316" i="2" s="1"/>
  <c r="S291" i="2"/>
  <c r="S271" i="2"/>
  <c r="S251" i="2"/>
  <c r="I236" i="2"/>
  <c r="S240" i="2"/>
  <c r="H236" i="2"/>
  <c r="E230" i="2"/>
  <c r="E229" i="2"/>
  <c r="E228" i="2"/>
  <c r="Q211" i="2"/>
  <c r="Q200" i="2"/>
  <c r="R200" i="2" s="1"/>
  <c r="I216" i="2"/>
  <c r="S220" i="2"/>
  <c r="E210" i="2"/>
  <c r="E209" i="2"/>
  <c r="E208" i="2"/>
  <c r="Q143" i="2"/>
  <c r="R143" i="2" s="1"/>
  <c r="Q135" i="2"/>
  <c r="Q127" i="2"/>
  <c r="R127" i="2" s="1"/>
  <c r="Q118" i="2"/>
  <c r="R118" i="2" s="1"/>
  <c r="S141" i="2"/>
  <c r="S142" i="2" s="1"/>
  <c r="E138" i="2"/>
  <c r="E137" i="2"/>
  <c r="E136" i="2"/>
  <c r="E134" i="2"/>
  <c r="E133" i="2"/>
  <c r="E132" i="2"/>
  <c r="E131" i="2"/>
  <c r="E130" i="2"/>
  <c r="E129" i="2"/>
  <c r="E128" i="2"/>
  <c r="E127" i="2"/>
  <c r="E126" i="2"/>
  <c r="E125" i="2"/>
  <c r="B125" i="2"/>
  <c r="B126" i="2" s="1"/>
  <c r="B127" i="2" s="1"/>
  <c r="B128" i="2" s="1"/>
  <c r="B129" i="2" s="1"/>
  <c r="B130" i="2" s="1"/>
  <c r="B131" i="2" s="1"/>
  <c r="B132" i="2" s="1"/>
  <c r="B133" i="2" s="1"/>
  <c r="B134" i="2" s="1"/>
  <c r="E124" i="2"/>
  <c r="Q110" i="2"/>
  <c r="R110" i="2" s="1"/>
  <c r="Q102" i="2"/>
  <c r="R102" i="2" s="1"/>
  <c r="Q93" i="2"/>
  <c r="S116" i="2"/>
  <c r="S117" i="2" s="1"/>
  <c r="E113" i="2"/>
  <c r="E112" i="2"/>
  <c r="E111" i="2"/>
  <c r="E109" i="2"/>
  <c r="E108" i="2"/>
  <c r="E107" i="2"/>
  <c r="E106" i="2"/>
  <c r="E105" i="2"/>
  <c r="E104" i="2"/>
  <c r="E103" i="2"/>
  <c r="E102" i="2"/>
  <c r="E101" i="2"/>
  <c r="E100" i="2"/>
  <c r="B100" i="2"/>
  <c r="B101" i="2" s="1"/>
  <c r="B102" i="2" s="1"/>
  <c r="B103" i="2" s="1"/>
  <c r="B104" i="2" s="1"/>
  <c r="B105" i="2" s="1"/>
  <c r="B106" i="2" s="1"/>
  <c r="B107" i="2" s="1"/>
  <c r="B108" i="2" s="1"/>
  <c r="B109" i="2" s="1"/>
  <c r="E99" i="2"/>
  <c r="Q84" i="2"/>
  <c r="R84" i="2" s="1"/>
  <c r="Q75" i="2"/>
  <c r="R75" i="2" s="1"/>
  <c r="E83" i="2"/>
  <c r="E82" i="2"/>
  <c r="E81" i="2"/>
  <c r="Q191" i="2"/>
  <c r="R191" i="2" s="1"/>
  <c r="H196" i="2" s="1"/>
  <c r="Q161" i="2"/>
  <c r="Q152" i="2"/>
  <c r="Q179" i="2"/>
  <c r="Q170" i="2"/>
  <c r="R170" i="2" s="1"/>
  <c r="Q66" i="2"/>
  <c r="R66" i="2" s="1"/>
  <c r="Q57" i="2"/>
  <c r="R57" i="2" s="1"/>
  <c r="Q49" i="2"/>
  <c r="Q41" i="2"/>
  <c r="R41" i="2" s="1"/>
  <c r="Q32" i="2"/>
  <c r="Q23" i="2"/>
  <c r="R23" i="2" s="1"/>
  <c r="O5" i="2"/>
  <c r="O3" i="2"/>
  <c r="O2" i="2"/>
  <c r="O104" i="2"/>
  <c r="O25" i="2"/>
  <c r="N363" i="4"/>
  <c r="E363" i="4"/>
  <c r="F363" i="4" s="1"/>
  <c r="F362" i="4" s="1"/>
  <c r="F361" i="4" s="1"/>
  <c r="F360" i="4" s="1"/>
  <c r="F359" i="4" s="1"/>
  <c r="F358" i="4" s="1"/>
  <c r="F357" i="4" s="1"/>
  <c r="F356" i="4" s="1"/>
  <c r="F355" i="4" s="1"/>
  <c r="F354" i="4" s="1"/>
  <c r="F353" i="4" s="1"/>
  <c r="F352" i="4" s="1"/>
  <c r="F351" i="4" s="1"/>
  <c r="F350" i="4" s="1"/>
  <c r="F349" i="4" s="1"/>
  <c r="F348" i="4" s="1"/>
  <c r="F347" i="4" s="1"/>
  <c r="F346" i="4" s="1"/>
  <c r="F345" i="4" s="1"/>
  <c r="F344" i="4" s="1"/>
  <c r="F343" i="4" s="1"/>
  <c r="F342" i="4" s="1"/>
  <c r="F341" i="4" s="1"/>
  <c r="F340" i="4" s="1"/>
  <c r="F339" i="4" s="1"/>
  <c r="F338" i="4" s="1"/>
  <c r="F337" i="4" s="1"/>
  <c r="F336" i="4" s="1"/>
  <c r="F335" i="4" s="1"/>
  <c r="F334" i="4" s="1"/>
  <c r="F333" i="4" s="1"/>
  <c r="F332" i="4" s="1"/>
  <c r="F331" i="4" s="1"/>
  <c r="F330" i="4" s="1"/>
  <c r="F329" i="4" s="1"/>
  <c r="F328" i="4" s="1"/>
  <c r="F327" i="4" s="1"/>
  <c r="F326" i="4" s="1"/>
  <c r="F325" i="4" s="1"/>
  <c r="F324" i="4" s="1"/>
  <c r="F323" i="4" s="1"/>
  <c r="F322" i="4" s="1"/>
  <c r="F321" i="4" s="1"/>
  <c r="F320" i="4" s="1"/>
  <c r="F319" i="4" s="1"/>
  <c r="F318" i="4" s="1"/>
  <c r="F317" i="4" s="1"/>
  <c r="F316" i="4" s="1"/>
  <c r="F315" i="4" s="1"/>
  <c r="F314" i="4" s="1"/>
  <c r="F313" i="4" s="1"/>
  <c r="F312" i="4" s="1"/>
  <c r="F311" i="4" s="1"/>
  <c r="F310" i="4" s="1"/>
  <c r="F309" i="4" s="1"/>
  <c r="F308" i="4" s="1"/>
  <c r="F307" i="4" s="1"/>
  <c r="F306" i="4" s="1"/>
  <c r="F305" i="4" s="1"/>
  <c r="F304" i="4" s="1"/>
  <c r="F303" i="4" s="1"/>
  <c r="F302" i="4" s="1"/>
  <c r="F301" i="4" s="1"/>
  <c r="F300" i="4" s="1"/>
  <c r="F299" i="4" s="1"/>
  <c r="F298" i="4" s="1"/>
  <c r="F297" i="4" s="1"/>
  <c r="F296" i="4" s="1"/>
  <c r="F295" i="4" s="1"/>
  <c r="F294" i="4" s="1"/>
  <c r="F293" i="4" s="1"/>
  <c r="F292" i="4" s="1"/>
  <c r="F291" i="4" s="1"/>
  <c r="F290" i="4" s="1"/>
  <c r="F289" i="4" s="1"/>
  <c r="F288" i="4" s="1"/>
  <c r="F287" i="4" s="1"/>
  <c r="F286" i="4" s="1"/>
  <c r="F285" i="4" s="1"/>
  <c r="F284" i="4" s="1"/>
  <c r="F283" i="4" s="1"/>
  <c r="F282" i="4" s="1"/>
  <c r="F281" i="4" s="1"/>
  <c r="F280" i="4" s="1"/>
  <c r="F279" i="4" s="1"/>
  <c r="F278" i="4" s="1"/>
  <c r="F277" i="4" s="1"/>
  <c r="F276" i="4" s="1"/>
  <c r="F275" i="4" s="1"/>
  <c r="F274" i="4" s="1"/>
  <c r="F273" i="4" s="1"/>
  <c r="F272" i="4" s="1"/>
  <c r="F271" i="4" s="1"/>
  <c r="F270" i="4" s="1"/>
  <c r="F269" i="4" s="1"/>
  <c r="F268" i="4" s="1"/>
  <c r="F267" i="4" s="1"/>
  <c r="F266" i="4" s="1"/>
  <c r="F265" i="4" s="1"/>
  <c r="F264" i="4" s="1"/>
  <c r="F263" i="4" s="1"/>
  <c r="F262" i="4" s="1"/>
  <c r="F261" i="4" s="1"/>
  <c r="F260" i="4" s="1"/>
  <c r="F259" i="4" s="1"/>
  <c r="F258" i="4" s="1"/>
  <c r="F257" i="4" s="1"/>
  <c r="F256" i="4" s="1"/>
  <c r="F255" i="4" s="1"/>
  <c r="F254" i="4" s="1"/>
  <c r="F253" i="4" s="1"/>
  <c r="F252" i="4" s="1"/>
  <c r="F251" i="4" s="1"/>
  <c r="F250" i="4" s="1"/>
  <c r="F249" i="4" s="1"/>
  <c r="F248" i="4" s="1"/>
  <c r="F247" i="4" s="1"/>
  <c r="F246" i="4" s="1"/>
  <c r="F245" i="4" s="1"/>
  <c r="F244" i="4" s="1"/>
  <c r="F243" i="4" s="1"/>
  <c r="F242" i="4" s="1"/>
  <c r="F241" i="4" s="1"/>
  <c r="F240" i="4" s="1"/>
  <c r="F239" i="4" s="1"/>
  <c r="F238" i="4" s="1"/>
  <c r="F237" i="4" s="1"/>
  <c r="F236" i="4" s="1"/>
  <c r="F235" i="4" s="1"/>
  <c r="F234" i="4" s="1"/>
  <c r="F233" i="4" s="1"/>
  <c r="F232" i="4" s="1"/>
  <c r="F231" i="4" s="1"/>
  <c r="F230" i="4" s="1"/>
  <c r="F229" i="4" s="1"/>
  <c r="F228" i="4" s="1"/>
  <c r="F227" i="4" s="1"/>
  <c r="F226" i="4" s="1"/>
  <c r="F225" i="4" s="1"/>
  <c r="F224" i="4" s="1"/>
  <c r="F223" i="4" s="1"/>
  <c r="F222" i="4" s="1"/>
  <c r="F221" i="4" s="1"/>
  <c r="F220" i="4" s="1"/>
  <c r="F219" i="4" s="1"/>
  <c r="F218" i="4" s="1"/>
  <c r="F217" i="4" s="1"/>
  <c r="F216" i="4" s="1"/>
  <c r="F215" i="4" s="1"/>
  <c r="F214" i="4" s="1"/>
  <c r="F213" i="4" s="1"/>
  <c r="F212" i="4" s="1"/>
  <c r="F211" i="4" s="1"/>
  <c r="F210" i="4" s="1"/>
  <c r="F209" i="4" s="1"/>
  <c r="F208" i="4" s="1"/>
  <c r="F207" i="4" s="1"/>
  <c r="F206" i="4" s="1"/>
  <c r="F205" i="4" s="1"/>
  <c r="F204" i="4" s="1"/>
  <c r="F203" i="4" s="1"/>
  <c r="F202" i="4" s="1"/>
  <c r="F201" i="4" s="1"/>
  <c r="F200" i="4" s="1"/>
  <c r="F199" i="4" s="1"/>
  <c r="F198" i="4" s="1"/>
  <c r="F197" i="4" s="1"/>
  <c r="F196" i="4" s="1"/>
  <c r="F195" i="4" s="1"/>
  <c r="F194" i="4" s="1"/>
  <c r="F193" i="4" s="1"/>
  <c r="F192" i="4" s="1"/>
  <c r="F191" i="4" s="1"/>
  <c r="F190" i="4" s="1"/>
  <c r="F189" i="4" s="1"/>
  <c r="F188" i="4" s="1"/>
  <c r="F187" i="4" s="1"/>
  <c r="F186" i="4" s="1"/>
  <c r="F185" i="4" s="1"/>
  <c r="F184" i="4" s="1"/>
  <c r="F183" i="4" s="1"/>
  <c r="F182" i="4" s="1"/>
  <c r="F181" i="4" s="1"/>
  <c r="F180" i="4" s="1"/>
  <c r="F179" i="4" s="1"/>
  <c r="F178" i="4" s="1"/>
  <c r="F177" i="4" s="1"/>
  <c r="F176" i="4" s="1"/>
  <c r="F175" i="4" s="1"/>
  <c r="F174" i="4" s="1"/>
  <c r="F173" i="4" s="1"/>
  <c r="F172" i="4" s="1"/>
  <c r="F171" i="4" s="1"/>
  <c r="F170" i="4" s="1"/>
  <c r="F169" i="4" s="1"/>
  <c r="F168" i="4" s="1"/>
  <c r="F167" i="4" s="1"/>
  <c r="F166" i="4" s="1"/>
  <c r="F165" i="4" s="1"/>
  <c r="F164" i="4" s="1"/>
  <c r="F163" i="4" s="1"/>
  <c r="F162" i="4" s="1"/>
  <c r="F161" i="4" s="1"/>
  <c r="F160" i="4" s="1"/>
  <c r="F159" i="4" s="1"/>
  <c r="F158" i="4" s="1"/>
  <c r="F157" i="4" s="1"/>
  <c r="F156" i="4" s="1"/>
  <c r="F155" i="4" s="1"/>
  <c r="F154" i="4" s="1"/>
  <c r="F153" i="4" s="1"/>
  <c r="F152" i="4" s="1"/>
  <c r="F151" i="4" s="1"/>
  <c r="F150" i="4" s="1"/>
  <c r="F149" i="4" s="1"/>
  <c r="F148" i="4" s="1"/>
  <c r="F147" i="4" s="1"/>
  <c r="F146" i="4" s="1"/>
  <c r="F145" i="4" s="1"/>
  <c r="F144" i="4" s="1"/>
  <c r="F143" i="4" s="1"/>
  <c r="F142" i="4" s="1"/>
  <c r="F141" i="4" s="1"/>
  <c r="F140" i="4" s="1"/>
  <c r="F139" i="4" s="1"/>
  <c r="F138" i="4" s="1"/>
  <c r="F137" i="4" s="1"/>
  <c r="F136" i="4" s="1"/>
  <c r="F135" i="4" s="1"/>
  <c r="F134" i="4" s="1"/>
  <c r="F133" i="4" s="1"/>
  <c r="F132" i="4" s="1"/>
  <c r="F131" i="4" s="1"/>
  <c r="F130" i="4" s="1"/>
  <c r="F129" i="4" s="1"/>
  <c r="F128" i="4" s="1"/>
  <c r="F127" i="4" s="1"/>
  <c r="F126" i="4" s="1"/>
  <c r="F125" i="4" s="1"/>
  <c r="F124" i="4" s="1"/>
  <c r="F123" i="4" s="1"/>
  <c r="F122" i="4" s="1"/>
  <c r="F121" i="4" s="1"/>
  <c r="F120" i="4" s="1"/>
  <c r="F119" i="4" s="1"/>
  <c r="F118" i="4" s="1"/>
  <c r="F117" i="4" s="1"/>
  <c r="F116" i="4" s="1"/>
  <c r="F115" i="4" s="1"/>
  <c r="F114" i="4" s="1"/>
  <c r="F113" i="4" s="1"/>
  <c r="F112" i="4" s="1"/>
  <c r="F111" i="4" s="1"/>
  <c r="F110" i="4" s="1"/>
  <c r="F109" i="4" s="1"/>
  <c r="F108" i="4" s="1"/>
  <c r="F107" i="4" s="1"/>
  <c r="F106" i="4" s="1"/>
  <c r="F105" i="4" s="1"/>
  <c r="F104" i="4" s="1"/>
  <c r="F103" i="4" s="1"/>
  <c r="F102" i="4" s="1"/>
  <c r="F101" i="4" s="1"/>
  <c r="F100" i="4" s="1"/>
  <c r="F99" i="4" s="1"/>
  <c r="F98" i="4" s="1"/>
  <c r="F97" i="4" s="1"/>
  <c r="F96" i="4" s="1"/>
  <c r="F95" i="4" s="1"/>
  <c r="F94" i="4" s="1"/>
  <c r="F93" i="4" s="1"/>
  <c r="F92" i="4" s="1"/>
  <c r="F91" i="4" s="1"/>
  <c r="F90" i="4" s="1"/>
  <c r="F89" i="4" s="1"/>
  <c r="F88" i="4" s="1"/>
  <c r="F87" i="4" s="1"/>
  <c r="F86" i="4" s="1"/>
  <c r="F85" i="4" s="1"/>
  <c r="F84" i="4" s="1"/>
  <c r="F83" i="4" s="1"/>
  <c r="F82" i="4" s="1"/>
  <c r="F81" i="4" s="1"/>
  <c r="F80" i="4" s="1"/>
  <c r="F79" i="4" s="1"/>
  <c r="F78" i="4" s="1"/>
  <c r="F77" i="4" s="1"/>
  <c r="F76" i="4" s="1"/>
  <c r="F75" i="4" s="1"/>
  <c r="F74" i="4" s="1"/>
  <c r="F73" i="4" s="1"/>
  <c r="F72" i="4" s="1"/>
  <c r="F71" i="4" s="1"/>
  <c r="F70" i="4" s="1"/>
  <c r="F69" i="4" s="1"/>
  <c r="F68" i="4" s="1"/>
  <c r="F67" i="4" s="1"/>
  <c r="F66" i="4" s="1"/>
  <c r="F65" i="4" s="1"/>
  <c r="F64" i="4" s="1"/>
  <c r="F63" i="4" s="1"/>
  <c r="F62" i="4" s="1"/>
  <c r="F61" i="4" s="1"/>
  <c r="F60" i="4" s="1"/>
  <c r="F59" i="4" s="1"/>
  <c r="F58" i="4" s="1"/>
  <c r="F57" i="4" s="1"/>
  <c r="F56" i="4" s="1"/>
  <c r="F55" i="4" s="1"/>
  <c r="F54" i="4" s="1"/>
  <c r="F53" i="4" s="1"/>
  <c r="F52" i="4" s="1"/>
  <c r="F51" i="4" s="1"/>
  <c r="F50" i="4" s="1"/>
  <c r="F49" i="4" s="1"/>
  <c r="F48" i="4" s="1"/>
  <c r="F47" i="4" s="1"/>
  <c r="F46" i="4" s="1"/>
  <c r="F45" i="4" s="1"/>
  <c r="F44" i="4" s="1"/>
  <c r="F43" i="4" s="1"/>
  <c r="F42" i="4" s="1"/>
  <c r="F41" i="4" s="1"/>
  <c r="F40" i="4" s="1"/>
  <c r="F39" i="4" s="1"/>
  <c r="F38" i="4" s="1"/>
  <c r="F37" i="4" s="1"/>
  <c r="F36" i="4" s="1"/>
  <c r="F35" i="4" s="1"/>
  <c r="F34" i="4" s="1"/>
  <c r="F33" i="4" s="1"/>
  <c r="F32" i="4" s="1"/>
  <c r="F31" i="4" s="1"/>
  <c r="F30" i="4" s="1"/>
  <c r="F29" i="4" s="1"/>
  <c r="F28" i="4" s="1"/>
  <c r="F27" i="4" s="1"/>
  <c r="F26" i="4" s="1"/>
  <c r="F25" i="4" s="1"/>
  <c r="F24" i="4" s="1"/>
  <c r="F23" i="4" s="1"/>
  <c r="F22" i="4" s="1"/>
  <c r="F21" i="4" s="1"/>
  <c r="F20" i="4" s="1"/>
  <c r="F19" i="4" s="1"/>
  <c r="F18" i="4" s="1"/>
  <c r="F17" i="4" s="1"/>
  <c r="F16" i="4" s="1"/>
  <c r="F15" i="4" s="1"/>
  <c r="F14" i="4" s="1"/>
  <c r="F13" i="4" s="1"/>
  <c r="F12" i="4" s="1"/>
  <c r="F11" i="4" s="1"/>
  <c r="F10" i="4" s="1"/>
  <c r="F9" i="4" s="1"/>
  <c r="F8" i="4" s="1"/>
  <c r="F7" i="4" s="1"/>
  <c r="F6" i="4" s="1"/>
  <c r="F5" i="4" s="1"/>
  <c r="F4" i="4" s="1"/>
  <c r="F3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E65" i="2"/>
  <c r="E64" i="2"/>
  <c r="E63" i="2"/>
  <c r="E190" i="2"/>
  <c r="E189" i="2"/>
  <c r="E188" i="2"/>
  <c r="E151" i="2"/>
  <c r="E150" i="2"/>
  <c r="E149" i="2"/>
  <c r="E176" i="2"/>
  <c r="E175" i="2"/>
  <c r="E174" i="2"/>
  <c r="E172" i="2"/>
  <c r="E171" i="2"/>
  <c r="E170" i="2"/>
  <c r="E169" i="2"/>
  <c r="E168" i="2"/>
  <c r="E167" i="2"/>
  <c r="S55" i="2"/>
  <c r="S56" i="2" s="1"/>
  <c r="E48" i="2"/>
  <c r="B39" i="2"/>
  <c r="B40" i="2" s="1"/>
  <c r="B41" i="2" s="1"/>
  <c r="B42" i="2" s="1"/>
  <c r="B43" i="2" s="1"/>
  <c r="B44" i="2" s="1"/>
  <c r="B45" i="2" s="1"/>
  <c r="B46" i="2" s="1"/>
  <c r="B47" i="2" s="1"/>
  <c r="B48" i="2" s="1"/>
  <c r="I107" i="2" l="1"/>
  <c r="S170" i="2"/>
  <c r="H363" i="4"/>
  <c r="E362" i="4"/>
  <c r="E361" i="4" s="1"/>
  <c r="E360" i="4" s="1"/>
  <c r="E359" i="4" s="1"/>
  <c r="E358" i="4" s="1"/>
  <c r="E357" i="4" s="1"/>
  <c r="E356" i="4" s="1"/>
  <c r="E355" i="4" s="1"/>
  <c r="E354" i="4" s="1"/>
  <c r="E353" i="4" s="1"/>
  <c r="E352" i="4" s="1"/>
  <c r="E351" i="4" s="1"/>
  <c r="E350" i="4" s="1"/>
  <c r="E349" i="4" s="1"/>
  <c r="E348" i="4" s="1"/>
  <c r="E347" i="4" s="1"/>
  <c r="E346" i="4" s="1"/>
  <c r="E345" i="4" s="1"/>
  <c r="E344" i="4" s="1"/>
  <c r="E343" i="4" s="1"/>
  <c r="E342" i="4" s="1"/>
  <c r="E341" i="4" s="1"/>
  <c r="E340" i="4" s="1"/>
  <c r="E339" i="4" s="1"/>
  <c r="E338" i="4" s="1"/>
  <c r="E337" i="4" s="1"/>
  <c r="E336" i="4" s="1"/>
  <c r="E335" i="4" s="1"/>
  <c r="E334" i="4" s="1"/>
  <c r="E333" i="4" s="1"/>
  <c r="E332" i="4" s="1"/>
  <c r="E331" i="4" s="1"/>
  <c r="E330" i="4" s="1"/>
  <c r="E329" i="4" s="1"/>
  <c r="E328" i="4" s="1"/>
  <c r="E327" i="4" s="1"/>
  <c r="E326" i="4" s="1"/>
  <c r="E325" i="4" s="1"/>
  <c r="E324" i="4" s="1"/>
  <c r="E323" i="4" s="1"/>
  <c r="E322" i="4" s="1"/>
  <c r="E321" i="4" s="1"/>
  <c r="E320" i="4" s="1"/>
  <c r="E319" i="4" s="1"/>
  <c r="E318" i="4" s="1"/>
  <c r="E317" i="4" s="1"/>
  <c r="E316" i="4" s="1"/>
  <c r="E315" i="4" s="1"/>
  <c r="E314" i="4" s="1"/>
  <c r="E313" i="4" s="1"/>
  <c r="E312" i="4" s="1"/>
  <c r="E311" i="4" s="1"/>
  <c r="E310" i="4" s="1"/>
  <c r="E309" i="4" s="1"/>
  <c r="E308" i="4" s="1"/>
  <c r="E307" i="4" s="1"/>
  <c r="E306" i="4" s="1"/>
  <c r="E305" i="4" s="1"/>
  <c r="E304" i="4" s="1"/>
  <c r="E303" i="4" s="1"/>
  <c r="E302" i="4" s="1"/>
  <c r="E301" i="4" s="1"/>
  <c r="E300" i="4" s="1"/>
  <c r="E299" i="4" s="1"/>
  <c r="E298" i="4" s="1"/>
  <c r="E297" i="4" s="1"/>
  <c r="E296" i="4" s="1"/>
  <c r="E295" i="4" s="1"/>
  <c r="E294" i="4" s="1"/>
  <c r="E293" i="4" s="1"/>
  <c r="E292" i="4" s="1"/>
  <c r="E291" i="4" s="1"/>
  <c r="E290" i="4" s="1"/>
  <c r="E289" i="4" s="1"/>
  <c r="E288" i="4" s="1"/>
  <c r="E287" i="4" s="1"/>
  <c r="E286" i="4" s="1"/>
  <c r="E285" i="4" s="1"/>
  <c r="E284" i="4" s="1"/>
  <c r="E283" i="4" s="1"/>
  <c r="E282" i="4" s="1"/>
  <c r="E281" i="4" s="1"/>
  <c r="E280" i="4" s="1"/>
  <c r="E279" i="4" s="1"/>
  <c r="E278" i="4" s="1"/>
  <c r="E277" i="4" s="1"/>
  <c r="E276" i="4" s="1"/>
  <c r="E275" i="4" s="1"/>
  <c r="E274" i="4" s="1"/>
  <c r="E273" i="4" s="1"/>
  <c r="E272" i="4" s="1"/>
  <c r="E271" i="4" s="1"/>
  <c r="E270" i="4" s="1"/>
  <c r="E269" i="4" s="1"/>
  <c r="E268" i="4" s="1"/>
  <c r="E267" i="4" s="1"/>
  <c r="E266" i="4" s="1"/>
  <c r="E265" i="4" s="1"/>
  <c r="E264" i="4" s="1"/>
  <c r="E263" i="4" s="1"/>
  <c r="E262" i="4" s="1"/>
  <c r="E261" i="4" s="1"/>
  <c r="E260" i="4" s="1"/>
  <c r="E259" i="4" s="1"/>
  <c r="E258" i="4" s="1"/>
  <c r="E257" i="4" s="1"/>
  <c r="E256" i="4" s="1"/>
  <c r="E255" i="4" s="1"/>
  <c r="E254" i="4" s="1"/>
  <c r="E253" i="4" s="1"/>
  <c r="E252" i="4" s="1"/>
  <c r="E251" i="4" s="1"/>
  <c r="E250" i="4" s="1"/>
  <c r="E249" i="4" s="1"/>
  <c r="E248" i="4" s="1"/>
  <c r="E247" i="4" s="1"/>
  <c r="E246" i="4" s="1"/>
  <c r="E245" i="4" s="1"/>
  <c r="E244" i="4" s="1"/>
  <c r="E243" i="4" s="1"/>
  <c r="E242" i="4" s="1"/>
  <c r="E241" i="4" s="1"/>
  <c r="E240" i="4" s="1"/>
  <c r="E239" i="4" s="1"/>
  <c r="E238" i="4" s="1"/>
  <c r="E237" i="4" s="1"/>
  <c r="E236" i="4" s="1"/>
  <c r="E235" i="4" s="1"/>
  <c r="E234" i="4" s="1"/>
  <c r="E233" i="4" s="1"/>
  <c r="E232" i="4" s="1"/>
  <c r="E231" i="4" s="1"/>
  <c r="E230" i="4" s="1"/>
  <c r="E229" i="4" s="1"/>
  <c r="E228" i="4" s="1"/>
  <c r="E227" i="4" s="1"/>
  <c r="E226" i="4" s="1"/>
  <c r="E225" i="4" s="1"/>
  <c r="E224" i="4" s="1"/>
  <c r="E223" i="4" s="1"/>
  <c r="E222" i="4" s="1"/>
  <c r="E221" i="4" s="1"/>
  <c r="E220" i="4" s="1"/>
  <c r="E219" i="4" s="1"/>
  <c r="E218" i="4" s="1"/>
  <c r="E217" i="4" s="1"/>
  <c r="E216" i="4" s="1"/>
  <c r="E215" i="4" s="1"/>
  <c r="E214" i="4" s="1"/>
  <c r="E213" i="4" s="1"/>
  <c r="E212" i="4" s="1"/>
  <c r="E211" i="4" s="1"/>
  <c r="E210" i="4" s="1"/>
  <c r="E209" i="4" s="1"/>
  <c r="E208" i="4" s="1"/>
  <c r="E207" i="4" s="1"/>
  <c r="E206" i="4" s="1"/>
  <c r="E205" i="4" s="1"/>
  <c r="E204" i="4" s="1"/>
  <c r="E203" i="4" s="1"/>
  <c r="E202" i="4" s="1"/>
  <c r="E201" i="4" s="1"/>
  <c r="E200" i="4" s="1"/>
  <c r="E199" i="4" s="1"/>
  <c r="E198" i="4" s="1"/>
  <c r="E197" i="4" s="1"/>
  <c r="E196" i="4" s="1"/>
  <c r="E195" i="4" s="1"/>
  <c r="E194" i="4" s="1"/>
  <c r="E193" i="4" s="1"/>
  <c r="E192" i="4" s="1"/>
  <c r="E191" i="4" s="1"/>
  <c r="E190" i="4" s="1"/>
  <c r="E189" i="4" s="1"/>
  <c r="E188" i="4" s="1"/>
  <c r="E187" i="4" s="1"/>
  <c r="E186" i="4" s="1"/>
  <c r="E185" i="4" s="1"/>
  <c r="E184" i="4" s="1"/>
  <c r="E183" i="4" s="1"/>
  <c r="E182" i="4" s="1"/>
  <c r="E181" i="4" s="1"/>
  <c r="E180" i="4" s="1"/>
  <c r="E179" i="4" s="1"/>
  <c r="E178" i="4" s="1"/>
  <c r="E177" i="4" s="1"/>
  <c r="E176" i="4" s="1"/>
  <c r="E175" i="4" s="1"/>
  <c r="E174" i="4" s="1"/>
  <c r="E173" i="4" s="1"/>
  <c r="E172" i="4" s="1"/>
  <c r="E171" i="4" s="1"/>
  <c r="E170" i="4" s="1"/>
  <c r="E169" i="4" s="1"/>
  <c r="E168" i="4" s="1"/>
  <c r="E167" i="4" s="1"/>
  <c r="E166" i="4" s="1"/>
  <c r="E165" i="4" s="1"/>
  <c r="E164" i="4" s="1"/>
  <c r="E163" i="4" s="1"/>
  <c r="E162" i="4" s="1"/>
  <c r="E161" i="4" s="1"/>
  <c r="E160" i="4" s="1"/>
  <c r="E159" i="4" s="1"/>
  <c r="E158" i="4" s="1"/>
  <c r="E157" i="4" s="1"/>
  <c r="E156" i="4" s="1"/>
  <c r="E155" i="4" s="1"/>
  <c r="E154" i="4" s="1"/>
  <c r="E153" i="4" s="1"/>
  <c r="E152" i="4" s="1"/>
  <c r="E151" i="4" s="1"/>
  <c r="E150" i="4" s="1"/>
  <c r="E149" i="4" s="1"/>
  <c r="E148" i="4" s="1"/>
  <c r="E147" i="4" s="1"/>
  <c r="E146" i="4" s="1"/>
  <c r="E145" i="4" s="1"/>
  <c r="E144" i="4" s="1"/>
  <c r="E143" i="4" s="1"/>
  <c r="E142" i="4" s="1"/>
  <c r="E141" i="4" s="1"/>
  <c r="E140" i="4" s="1"/>
  <c r="E139" i="4" s="1"/>
  <c r="E138" i="4" s="1"/>
  <c r="E137" i="4" s="1"/>
  <c r="E136" i="4" s="1"/>
  <c r="E135" i="4" s="1"/>
  <c r="E134" i="4" s="1"/>
  <c r="E133" i="4" s="1"/>
  <c r="E132" i="4" s="1"/>
  <c r="E131" i="4" s="1"/>
  <c r="E130" i="4" s="1"/>
  <c r="E129" i="4" s="1"/>
  <c r="E128" i="4" s="1"/>
  <c r="E127" i="4" s="1"/>
  <c r="E126" i="4" s="1"/>
  <c r="E125" i="4" s="1"/>
  <c r="E124" i="4" s="1"/>
  <c r="E123" i="4" s="1"/>
  <c r="E122" i="4" s="1"/>
  <c r="E121" i="4" s="1"/>
  <c r="E120" i="4" s="1"/>
  <c r="E119" i="4" s="1"/>
  <c r="E118" i="4" s="1"/>
  <c r="E117" i="4" s="1"/>
  <c r="E116" i="4" s="1"/>
  <c r="E115" i="4" s="1"/>
  <c r="E114" i="4" s="1"/>
  <c r="E113" i="4" s="1"/>
  <c r="E112" i="4" s="1"/>
  <c r="E111" i="4" s="1"/>
  <c r="E110" i="4" s="1"/>
  <c r="E109" i="4" s="1"/>
  <c r="E108" i="4" s="1"/>
  <c r="E107" i="4" s="1"/>
  <c r="E106" i="4" s="1"/>
  <c r="E105" i="4" s="1"/>
  <c r="E104" i="4" s="1"/>
  <c r="E103" i="4" s="1"/>
  <c r="E102" i="4" s="1"/>
  <c r="E101" i="4" s="1"/>
  <c r="E100" i="4" s="1"/>
  <c r="E99" i="4" s="1"/>
  <c r="E98" i="4" s="1"/>
  <c r="E97" i="4" s="1"/>
  <c r="E96" i="4" s="1"/>
  <c r="E95" i="4" s="1"/>
  <c r="E94" i="4" s="1"/>
  <c r="E93" i="4" s="1"/>
  <c r="E92" i="4" s="1"/>
  <c r="E91" i="4" s="1"/>
  <c r="E90" i="4" s="1"/>
  <c r="E89" i="4" s="1"/>
  <c r="E88" i="4" s="1"/>
  <c r="E87" i="4" s="1"/>
  <c r="E86" i="4" s="1"/>
  <c r="E85" i="4" s="1"/>
  <c r="E84" i="4" s="1"/>
  <c r="E83" i="4" s="1"/>
  <c r="E82" i="4" s="1"/>
  <c r="E81" i="4" s="1"/>
  <c r="E80" i="4" s="1"/>
  <c r="E79" i="4" s="1"/>
  <c r="E78" i="4" s="1"/>
  <c r="E77" i="4" s="1"/>
  <c r="E76" i="4" s="1"/>
  <c r="E75" i="4" s="1"/>
  <c r="E74" i="4" s="1"/>
  <c r="E73" i="4" s="1"/>
  <c r="E72" i="4" s="1"/>
  <c r="E71" i="4" s="1"/>
  <c r="E70" i="4" s="1"/>
  <c r="E69" i="4" s="1"/>
  <c r="E68" i="4" s="1"/>
  <c r="E67" i="4" s="1"/>
  <c r="E66" i="4" s="1"/>
  <c r="E65" i="4" s="1"/>
  <c r="E64" i="4" s="1"/>
  <c r="E63" i="4" s="1"/>
  <c r="E62" i="4" s="1"/>
  <c r="E61" i="4" s="1"/>
  <c r="E60" i="4" s="1"/>
  <c r="E59" i="4" s="1"/>
  <c r="E58" i="4" s="1"/>
  <c r="E57" i="4" s="1"/>
  <c r="E56" i="4" s="1"/>
  <c r="E55" i="4" s="1"/>
  <c r="E54" i="4" s="1"/>
  <c r="E53" i="4" s="1"/>
  <c r="E52" i="4" s="1"/>
  <c r="E51" i="4" s="1"/>
  <c r="E50" i="4" s="1"/>
  <c r="E49" i="4" s="1"/>
  <c r="E48" i="4" s="1"/>
  <c r="E47" i="4" s="1"/>
  <c r="E46" i="4" s="1"/>
  <c r="E45" i="4" s="1"/>
  <c r="E44" i="4" s="1"/>
  <c r="E43" i="4" s="1"/>
  <c r="E42" i="4" s="1"/>
  <c r="E41" i="4" s="1"/>
  <c r="E40" i="4" s="1"/>
  <c r="E39" i="4" s="1"/>
  <c r="E38" i="4" s="1"/>
  <c r="E37" i="4" s="1"/>
  <c r="E36" i="4" s="1"/>
  <c r="E35" i="4" s="1"/>
  <c r="E34" i="4" s="1"/>
  <c r="E33" i="4" s="1"/>
  <c r="E32" i="4" s="1"/>
  <c r="E31" i="4" s="1"/>
  <c r="E30" i="4" s="1"/>
  <c r="E29" i="4" s="1"/>
  <c r="E28" i="4" s="1"/>
  <c r="E27" i="4" s="1"/>
  <c r="E26" i="4" s="1"/>
  <c r="E25" i="4" s="1"/>
  <c r="E24" i="4" s="1"/>
  <c r="E23" i="4" s="1"/>
  <c r="E22" i="4" s="1"/>
  <c r="E21" i="4" s="1"/>
  <c r="E20" i="4" s="1"/>
  <c r="E19" i="4" s="1"/>
  <c r="E18" i="4" s="1"/>
  <c r="E17" i="4" s="1"/>
  <c r="E16" i="4" s="1"/>
  <c r="E15" i="4" s="1"/>
  <c r="E14" i="4" s="1"/>
  <c r="E13" i="4" s="1"/>
  <c r="E12" i="4" s="1"/>
  <c r="E11" i="4" s="1"/>
  <c r="E10" i="4" s="1"/>
  <c r="E9" i="4" s="1"/>
  <c r="E8" i="4" s="1"/>
  <c r="E7" i="4" s="1"/>
  <c r="E6" i="4" s="1"/>
  <c r="E5" i="4" s="1"/>
  <c r="E4" i="4" s="1"/>
  <c r="E3" i="4" s="1"/>
  <c r="R179" i="2"/>
  <c r="I175" i="2" s="1"/>
  <c r="R211" i="2"/>
  <c r="H216" i="2" s="1"/>
  <c r="S23" i="2"/>
  <c r="S41" i="2"/>
  <c r="O43" i="2"/>
  <c r="L55" i="2" s="1"/>
  <c r="O68" i="2"/>
  <c r="H71" i="2" s="1"/>
  <c r="S32" i="2"/>
  <c r="R32" i="2"/>
  <c r="I27" i="2" s="1"/>
  <c r="R49" i="2"/>
  <c r="I46" i="2" s="1"/>
  <c r="H70" i="2"/>
  <c r="S161" i="2"/>
  <c r="R161" i="2"/>
  <c r="H88" i="2"/>
  <c r="R93" i="2"/>
  <c r="I88" i="2" s="1"/>
  <c r="H132" i="2"/>
  <c r="S152" i="2"/>
  <c r="R152" i="2"/>
  <c r="O149" i="2" s="1"/>
  <c r="S75" i="2"/>
  <c r="I70" i="2"/>
  <c r="S102" i="2"/>
  <c r="H107" i="2"/>
  <c r="R135" i="2"/>
  <c r="I132" i="2" s="1"/>
  <c r="S200" i="2"/>
  <c r="O108" i="2"/>
  <c r="O148" i="2"/>
  <c r="L155" i="2" s="1"/>
  <c r="S93" i="2"/>
  <c r="O86" i="2"/>
  <c r="O80" i="2" s="1"/>
  <c r="O85" i="2" s="1"/>
  <c r="L116" i="2"/>
  <c r="S49" i="2"/>
  <c r="S127" i="2"/>
  <c r="O109" i="2"/>
  <c r="H115" i="2"/>
  <c r="L115" i="2"/>
  <c r="K116" i="2"/>
  <c r="O333" i="2"/>
  <c r="O293" i="2"/>
  <c r="O273" i="2"/>
  <c r="O253" i="2"/>
  <c r="H257" i="2" s="1"/>
  <c r="O233" i="2"/>
  <c r="I237" i="2" s="1"/>
  <c r="I235" i="2" s="1"/>
  <c r="O229" i="2" s="1"/>
  <c r="O353" i="2"/>
  <c r="O313" i="2"/>
  <c r="O172" i="2"/>
  <c r="O193" i="2"/>
  <c r="I197" i="2" s="1"/>
  <c r="J115" i="2"/>
  <c r="I116" i="2"/>
  <c r="O129" i="2"/>
  <c r="O213" i="2"/>
  <c r="I217" i="2" s="1"/>
  <c r="I215" i="2" s="1"/>
  <c r="O209" i="2" s="1"/>
  <c r="S231" i="2"/>
  <c r="S211" i="2"/>
  <c r="S143" i="2"/>
  <c r="S135" i="2"/>
  <c r="S118" i="2"/>
  <c r="O106" i="2"/>
  <c r="O107" i="2"/>
  <c r="S110" i="2"/>
  <c r="I115" i="2"/>
  <c r="K115" i="2"/>
  <c r="H116" i="2"/>
  <c r="J116" i="2"/>
  <c r="S84" i="2"/>
  <c r="Q363" i="4"/>
  <c r="O363" i="4"/>
  <c r="N362" i="4"/>
  <c r="N361" i="4" s="1"/>
  <c r="N360" i="4" s="1"/>
  <c r="N359" i="4" s="1"/>
  <c r="N358" i="4" s="1"/>
  <c r="N357" i="4" s="1"/>
  <c r="N356" i="4" s="1"/>
  <c r="N355" i="4" s="1"/>
  <c r="N354" i="4" s="1"/>
  <c r="N353" i="4" s="1"/>
  <c r="N352" i="4" s="1"/>
  <c r="N351" i="4" s="1"/>
  <c r="N350" i="4" s="1"/>
  <c r="N349" i="4" s="1"/>
  <c r="N348" i="4" s="1"/>
  <c r="N347" i="4" s="1"/>
  <c r="N346" i="4" s="1"/>
  <c r="N345" i="4" s="1"/>
  <c r="N344" i="4" s="1"/>
  <c r="N343" i="4" s="1"/>
  <c r="N342" i="4" s="1"/>
  <c r="N341" i="4" s="1"/>
  <c r="N340" i="4" s="1"/>
  <c r="N339" i="4" s="1"/>
  <c r="N338" i="4" s="1"/>
  <c r="N337" i="4" s="1"/>
  <c r="N336" i="4" s="1"/>
  <c r="N335" i="4" s="1"/>
  <c r="N334" i="4" s="1"/>
  <c r="N333" i="4" s="1"/>
  <c r="N332" i="4" s="1"/>
  <c r="N331" i="4" s="1"/>
  <c r="N330" i="4" s="1"/>
  <c r="N329" i="4" s="1"/>
  <c r="N328" i="4" s="1"/>
  <c r="N327" i="4" s="1"/>
  <c r="N326" i="4" s="1"/>
  <c r="N325" i="4" s="1"/>
  <c r="N324" i="4" s="1"/>
  <c r="N323" i="4" s="1"/>
  <c r="N322" i="4" s="1"/>
  <c r="N321" i="4" s="1"/>
  <c r="N320" i="4" s="1"/>
  <c r="N319" i="4" s="1"/>
  <c r="N318" i="4" s="1"/>
  <c r="N317" i="4" s="1"/>
  <c r="N316" i="4" s="1"/>
  <c r="N315" i="4" s="1"/>
  <c r="N314" i="4" s="1"/>
  <c r="N313" i="4" s="1"/>
  <c r="N312" i="4" s="1"/>
  <c r="N311" i="4" s="1"/>
  <c r="N310" i="4" s="1"/>
  <c r="N309" i="4" s="1"/>
  <c r="N308" i="4" s="1"/>
  <c r="N307" i="4" s="1"/>
  <c r="N306" i="4" s="1"/>
  <c r="N305" i="4" s="1"/>
  <c r="N304" i="4" s="1"/>
  <c r="N303" i="4" s="1"/>
  <c r="N302" i="4" s="1"/>
  <c r="N301" i="4" s="1"/>
  <c r="N300" i="4" s="1"/>
  <c r="N299" i="4" s="1"/>
  <c r="N298" i="4" s="1"/>
  <c r="N297" i="4" s="1"/>
  <c r="N296" i="4" s="1"/>
  <c r="N295" i="4" s="1"/>
  <c r="N294" i="4" s="1"/>
  <c r="N293" i="4" s="1"/>
  <c r="N292" i="4" s="1"/>
  <c r="N291" i="4" s="1"/>
  <c r="N290" i="4" s="1"/>
  <c r="N289" i="4" s="1"/>
  <c r="N288" i="4" s="1"/>
  <c r="N287" i="4" s="1"/>
  <c r="N286" i="4" s="1"/>
  <c r="N285" i="4" s="1"/>
  <c r="N284" i="4" s="1"/>
  <c r="N283" i="4" s="1"/>
  <c r="N282" i="4" s="1"/>
  <c r="N281" i="4" s="1"/>
  <c r="N280" i="4" s="1"/>
  <c r="N279" i="4" s="1"/>
  <c r="N278" i="4" s="1"/>
  <c r="N277" i="4" s="1"/>
  <c r="N276" i="4" s="1"/>
  <c r="N275" i="4" s="1"/>
  <c r="N274" i="4" s="1"/>
  <c r="N273" i="4" s="1"/>
  <c r="N272" i="4" s="1"/>
  <c r="N271" i="4" s="1"/>
  <c r="N270" i="4" s="1"/>
  <c r="N269" i="4" s="1"/>
  <c r="N268" i="4" s="1"/>
  <c r="N267" i="4" s="1"/>
  <c r="N266" i="4" s="1"/>
  <c r="N265" i="4" s="1"/>
  <c r="N264" i="4" s="1"/>
  <c r="N263" i="4" s="1"/>
  <c r="N262" i="4" s="1"/>
  <c r="N261" i="4" s="1"/>
  <c r="N260" i="4" s="1"/>
  <c r="N259" i="4" s="1"/>
  <c r="N258" i="4" s="1"/>
  <c r="N257" i="4" s="1"/>
  <c r="N256" i="4" s="1"/>
  <c r="N255" i="4" s="1"/>
  <c r="N254" i="4" s="1"/>
  <c r="N253" i="4" s="1"/>
  <c r="N252" i="4" s="1"/>
  <c r="N251" i="4" s="1"/>
  <c r="N250" i="4" s="1"/>
  <c r="N249" i="4" s="1"/>
  <c r="N248" i="4" s="1"/>
  <c r="N247" i="4" s="1"/>
  <c r="N246" i="4" s="1"/>
  <c r="N245" i="4" s="1"/>
  <c r="N244" i="4" s="1"/>
  <c r="N243" i="4" s="1"/>
  <c r="N242" i="4" s="1"/>
  <c r="N241" i="4" s="1"/>
  <c r="N240" i="4" s="1"/>
  <c r="N239" i="4" s="1"/>
  <c r="N238" i="4" s="1"/>
  <c r="N237" i="4" s="1"/>
  <c r="N236" i="4" s="1"/>
  <c r="N235" i="4" s="1"/>
  <c r="N234" i="4" s="1"/>
  <c r="N233" i="4" s="1"/>
  <c r="N232" i="4" s="1"/>
  <c r="N231" i="4" s="1"/>
  <c r="N230" i="4" s="1"/>
  <c r="N229" i="4" s="1"/>
  <c r="N228" i="4" s="1"/>
  <c r="N227" i="4" s="1"/>
  <c r="N226" i="4" s="1"/>
  <c r="N225" i="4" s="1"/>
  <c r="N224" i="4" s="1"/>
  <c r="N223" i="4" s="1"/>
  <c r="N222" i="4" s="1"/>
  <c r="N221" i="4" s="1"/>
  <c r="N220" i="4" s="1"/>
  <c r="N219" i="4" s="1"/>
  <c r="N218" i="4" s="1"/>
  <c r="N217" i="4" s="1"/>
  <c r="N216" i="4" s="1"/>
  <c r="N215" i="4" s="1"/>
  <c r="N214" i="4" s="1"/>
  <c r="N213" i="4" s="1"/>
  <c r="N212" i="4" s="1"/>
  <c r="N211" i="4" s="1"/>
  <c r="N210" i="4" s="1"/>
  <c r="N209" i="4" s="1"/>
  <c r="N208" i="4" s="1"/>
  <c r="N207" i="4" s="1"/>
  <c r="N206" i="4" s="1"/>
  <c r="N205" i="4" s="1"/>
  <c r="N204" i="4" s="1"/>
  <c r="N203" i="4" s="1"/>
  <c r="N202" i="4" s="1"/>
  <c r="N201" i="4" s="1"/>
  <c r="N200" i="4" s="1"/>
  <c r="N199" i="4" s="1"/>
  <c r="N198" i="4" s="1"/>
  <c r="N197" i="4" s="1"/>
  <c r="N196" i="4" s="1"/>
  <c r="N195" i="4" s="1"/>
  <c r="N194" i="4" s="1"/>
  <c r="N193" i="4" s="1"/>
  <c r="N192" i="4" s="1"/>
  <c r="N191" i="4" s="1"/>
  <c r="N190" i="4" s="1"/>
  <c r="N189" i="4" s="1"/>
  <c r="N188" i="4" s="1"/>
  <c r="N187" i="4" s="1"/>
  <c r="N186" i="4" s="1"/>
  <c r="N185" i="4" s="1"/>
  <c r="N184" i="4" s="1"/>
  <c r="N183" i="4" s="1"/>
  <c r="N182" i="4" s="1"/>
  <c r="N181" i="4" s="1"/>
  <c r="N180" i="4" s="1"/>
  <c r="N179" i="4" s="1"/>
  <c r="N178" i="4" s="1"/>
  <c r="N177" i="4" s="1"/>
  <c r="N176" i="4" s="1"/>
  <c r="N175" i="4" s="1"/>
  <c r="N174" i="4" s="1"/>
  <c r="N173" i="4" s="1"/>
  <c r="N172" i="4" s="1"/>
  <c r="N171" i="4" s="1"/>
  <c r="N170" i="4" s="1"/>
  <c r="N169" i="4" s="1"/>
  <c r="N168" i="4" s="1"/>
  <c r="N167" i="4" s="1"/>
  <c r="N166" i="4" s="1"/>
  <c r="N165" i="4" s="1"/>
  <c r="N164" i="4" s="1"/>
  <c r="N163" i="4" s="1"/>
  <c r="N162" i="4" s="1"/>
  <c r="N161" i="4" s="1"/>
  <c r="N160" i="4" s="1"/>
  <c r="N159" i="4" s="1"/>
  <c r="N158" i="4" s="1"/>
  <c r="N157" i="4" s="1"/>
  <c r="N156" i="4" s="1"/>
  <c r="N155" i="4" s="1"/>
  <c r="N154" i="4" s="1"/>
  <c r="N153" i="4" s="1"/>
  <c r="N152" i="4" s="1"/>
  <c r="N151" i="4" s="1"/>
  <c r="N150" i="4" s="1"/>
  <c r="N149" i="4" s="1"/>
  <c r="N148" i="4" s="1"/>
  <c r="N147" i="4" s="1"/>
  <c r="N146" i="4" s="1"/>
  <c r="N145" i="4" s="1"/>
  <c r="N144" i="4" s="1"/>
  <c r="N143" i="4" s="1"/>
  <c r="N142" i="4" s="1"/>
  <c r="N141" i="4" s="1"/>
  <c r="N140" i="4" s="1"/>
  <c r="N139" i="4" s="1"/>
  <c r="N138" i="4" s="1"/>
  <c r="N137" i="4" s="1"/>
  <c r="N136" i="4" s="1"/>
  <c r="N135" i="4" s="1"/>
  <c r="N134" i="4" s="1"/>
  <c r="N133" i="4" s="1"/>
  <c r="N132" i="4" s="1"/>
  <c r="N131" i="4" s="1"/>
  <c r="N130" i="4" s="1"/>
  <c r="N129" i="4" s="1"/>
  <c r="N128" i="4" s="1"/>
  <c r="N127" i="4" s="1"/>
  <c r="N126" i="4" s="1"/>
  <c r="N125" i="4" s="1"/>
  <c r="N124" i="4" s="1"/>
  <c r="N123" i="4" s="1"/>
  <c r="N122" i="4" s="1"/>
  <c r="N121" i="4" s="1"/>
  <c r="N120" i="4" s="1"/>
  <c r="N119" i="4" s="1"/>
  <c r="N118" i="4" s="1"/>
  <c r="N117" i="4" s="1"/>
  <c r="N116" i="4" s="1"/>
  <c r="N115" i="4" s="1"/>
  <c r="N114" i="4" s="1"/>
  <c r="N113" i="4" s="1"/>
  <c r="N112" i="4" s="1"/>
  <c r="N111" i="4" s="1"/>
  <c r="N110" i="4" s="1"/>
  <c r="N109" i="4" s="1"/>
  <c r="N108" i="4" s="1"/>
  <c r="N107" i="4" s="1"/>
  <c r="N106" i="4" s="1"/>
  <c r="N105" i="4" s="1"/>
  <c r="N104" i="4" s="1"/>
  <c r="N103" i="4" s="1"/>
  <c r="N102" i="4" s="1"/>
  <c r="N101" i="4" s="1"/>
  <c r="N100" i="4" s="1"/>
  <c r="N99" i="4" s="1"/>
  <c r="N98" i="4" s="1"/>
  <c r="N97" i="4" s="1"/>
  <c r="N96" i="4" s="1"/>
  <c r="N95" i="4" s="1"/>
  <c r="N94" i="4" s="1"/>
  <c r="N93" i="4" s="1"/>
  <c r="N92" i="4" s="1"/>
  <c r="N91" i="4" s="1"/>
  <c r="N90" i="4" s="1"/>
  <c r="N89" i="4" s="1"/>
  <c r="N88" i="4" s="1"/>
  <c r="N87" i="4" s="1"/>
  <c r="N86" i="4" s="1"/>
  <c r="N85" i="4" s="1"/>
  <c r="N84" i="4" s="1"/>
  <c r="N83" i="4" s="1"/>
  <c r="N82" i="4" s="1"/>
  <c r="N81" i="4" s="1"/>
  <c r="N80" i="4" s="1"/>
  <c r="N79" i="4" s="1"/>
  <c r="N78" i="4" s="1"/>
  <c r="N77" i="4" s="1"/>
  <c r="N76" i="4" s="1"/>
  <c r="N75" i="4" s="1"/>
  <c r="N74" i="4" s="1"/>
  <c r="N73" i="4" s="1"/>
  <c r="N72" i="4" s="1"/>
  <c r="N71" i="4" s="1"/>
  <c r="N70" i="4" s="1"/>
  <c r="N69" i="4" s="1"/>
  <c r="N68" i="4" s="1"/>
  <c r="N67" i="4" s="1"/>
  <c r="N66" i="4" s="1"/>
  <c r="N65" i="4" s="1"/>
  <c r="N64" i="4" s="1"/>
  <c r="N63" i="4" s="1"/>
  <c r="N62" i="4" s="1"/>
  <c r="N61" i="4" s="1"/>
  <c r="N60" i="4" s="1"/>
  <c r="N59" i="4" s="1"/>
  <c r="N58" i="4" s="1"/>
  <c r="N57" i="4" s="1"/>
  <c r="N56" i="4" s="1"/>
  <c r="N55" i="4" s="1"/>
  <c r="N54" i="4" s="1"/>
  <c r="N53" i="4" s="1"/>
  <c r="N52" i="4" s="1"/>
  <c r="N51" i="4" s="1"/>
  <c r="N50" i="4" s="1"/>
  <c r="N49" i="4" s="1"/>
  <c r="N48" i="4" s="1"/>
  <c r="N47" i="4" s="1"/>
  <c r="N46" i="4" s="1"/>
  <c r="N45" i="4" s="1"/>
  <c r="N44" i="4" s="1"/>
  <c r="N43" i="4" s="1"/>
  <c r="N42" i="4" s="1"/>
  <c r="N41" i="4" s="1"/>
  <c r="N40" i="4" s="1"/>
  <c r="N39" i="4" s="1"/>
  <c r="N38" i="4" s="1"/>
  <c r="N37" i="4" s="1"/>
  <c r="N36" i="4" s="1"/>
  <c r="N35" i="4" s="1"/>
  <c r="N34" i="4" s="1"/>
  <c r="N33" i="4" s="1"/>
  <c r="N32" i="4" s="1"/>
  <c r="N31" i="4" s="1"/>
  <c r="N30" i="4" s="1"/>
  <c r="N29" i="4" s="1"/>
  <c r="N28" i="4" s="1"/>
  <c r="N27" i="4" s="1"/>
  <c r="N26" i="4" s="1"/>
  <c r="N25" i="4" s="1"/>
  <c r="N24" i="4" s="1"/>
  <c r="N23" i="4" s="1"/>
  <c r="N22" i="4" s="1"/>
  <c r="N21" i="4" s="1"/>
  <c r="N20" i="4" s="1"/>
  <c r="N19" i="4" s="1"/>
  <c r="N18" i="4" s="1"/>
  <c r="N17" i="4" s="1"/>
  <c r="N16" i="4" s="1"/>
  <c r="N15" i="4" s="1"/>
  <c r="N14" i="4" s="1"/>
  <c r="N13" i="4" s="1"/>
  <c r="N12" i="4" s="1"/>
  <c r="N11" i="4" s="1"/>
  <c r="N10" i="4" s="1"/>
  <c r="N9" i="4" s="1"/>
  <c r="N8" i="4" s="1"/>
  <c r="N7" i="4" s="1"/>
  <c r="N6" i="4" s="1"/>
  <c r="N5" i="4" s="1"/>
  <c r="N4" i="4" s="1"/>
  <c r="N3" i="4" s="1"/>
  <c r="I363" i="4"/>
  <c r="G363" i="4"/>
  <c r="S66" i="2"/>
  <c r="S191" i="2"/>
  <c r="H27" i="2"/>
  <c r="H46" i="2"/>
  <c r="H175" i="2"/>
  <c r="S179" i="2"/>
  <c r="I196" i="2"/>
  <c r="S57" i="2"/>
  <c r="O118" i="2" l="1"/>
  <c r="O143" i="2"/>
  <c r="K363" i="4"/>
  <c r="K362" i="4" s="1"/>
  <c r="K361" i="4" s="1"/>
  <c r="K360" i="4" s="1"/>
  <c r="K359" i="4" s="1"/>
  <c r="K358" i="4" s="1"/>
  <c r="K357" i="4" s="1"/>
  <c r="K356" i="4" s="1"/>
  <c r="K355" i="4" s="1"/>
  <c r="K354" i="4" s="1"/>
  <c r="K353" i="4" s="1"/>
  <c r="K352" i="4" s="1"/>
  <c r="K351" i="4" s="1"/>
  <c r="K350" i="4" s="1"/>
  <c r="K349" i="4" s="1"/>
  <c r="K348" i="4" s="1"/>
  <c r="K347" i="4" s="1"/>
  <c r="K346" i="4" s="1"/>
  <c r="K345" i="4" s="1"/>
  <c r="K344" i="4" s="1"/>
  <c r="K343" i="4" s="1"/>
  <c r="K342" i="4" s="1"/>
  <c r="K341" i="4" s="1"/>
  <c r="K340" i="4" s="1"/>
  <c r="K339" i="4" s="1"/>
  <c r="K338" i="4" s="1"/>
  <c r="K337" i="4" s="1"/>
  <c r="K336" i="4" s="1"/>
  <c r="K335" i="4" s="1"/>
  <c r="K334" i="4" s="1"/>
  <c r="K333" i="4" s="1"/>
  <c r="K332" i="4" s="1"/>
  <c r="K331" i="4" s="1"/>
  <c r="K330" i="4" s="1"/>
  <c r="K329" i="4" s="1"/>
  <c r="K328" i="4" s="1"/>
  <c r="K327" i="4" s="1"/>
  <c r="K326" i="4" s="1"/>
  <c r="K325" i="4" s="1"/>
  <c r="K324" i="4" s="1"/>
  <c r="K323" i="4" s="1"/>
  <c r="K322" i="4" s="1"/>
  <c r="K321" i="4" s="1"/>
  <c r="K320" i="4" s="1"/>
  <c r="K319" i="4" s="1"/>
  <c r="K318" i="4" s="1"/>
  <c r="K317" i="4" s="1"/>
  <c r="K316" i="4" s="1"/>
  <c r="K315" i="4" s="1"/>
  <c r="K314" i="4" s="1"/>
  <c r="K313" i="4" s="1"/>
  <c r="K312" i="4" s="1"/>
  <c r="K311" i="4" s="1"/>
  <c r="K310" i="4" s="1"/>
  <c r="K309" i="4" s="1"/>
  <c r="K308" i="4" s="1"/>
  <c r="K307" i="4" s="1"/>
  <c r="K306" i="4" s="1"/>
  <c r="K305" i="4" s="1"/>
  <c r="K304" i="4" s="1"/>
  <c r="K303" i="4" s="1"/>
  <c r="K302" i="4" s="1"/>
  <c r="K301" i="4" s="1"/>
  <c r="K300" i="4" s="1"/>
  <c r="K299" i="4" s="1"/>
  <c r="K298" i="4" s="1"/>
  <c r="K297" i="4" s="1"/>
  <c r="K296" i="4" s="1"/>
  <c r="K295" i="4" s="1"/>
  <c r="K294" i="4" s="1"/>
  <c r="K293" i="4" s="1"/>
  <c r="K292" i="4" s="1"/>
  <c r="K291" i="4" s="1"/>
  <c r="K290" i="4" s="1"/>
  <c r="K289" i="4" s="1"/>
  <c r="K288" i="4" s="1"/>
  <c r="K287" i="4" s="1"/>
  <c r="K286" i="4" s="1"/>
  <c r="K285" i="4" s="1"/>
  <c r="K284" i="4" s="1"/>
  <c r="K283" i="4" s="1"/>
  <c r="K282" i="4" s="1"/>
  <c r="K281" i="4" s="1"/>
  <c r="K280" i="4" s="1"/>
  <c r="K279" i="4" s="1"/>
  <c r="K278" i="4" s="1"/>
  <c r="K277" i="4" s="1"/>
  <c r="K276" i="4" s="1"/>
  <c r="K275" i="4" s="1"/>
  <c r="K274" i="4" s="1"/>
  <c r="K273" i="4" s="1"/>
  <c r="K272" i="4" s="1"/>
  <c r="K271" i="4" s="1"/>
  <c r="K270" i="4" s="1"/>
  <c r="K269" i="4" s="1"/>
  <c r="K268" i="4" s="1"/>
  <c r="K267" i="4" s="1"/>
  <c r="K266" i="4" s="1"/>
  <c r="K265" i="4" s="1"/>
  <c r="K264" i="4" s="1"/>
  <c r="K263" i="4" s="1"/>
  <c r="K262" i="4" s="1"/>
  <c r="K261" i="4" s="1"/>
  <c r="K260" i="4" s="1"/>
  <c r="K259" i="4" s="1"/>
  <c r="K258" i="4" s="1"/>
  <c r="K257" i="4" s="1"/>
  <c r="K256" i="4" s="1"/>
  <c r="K255" i="4" s="1"/>
  <c r="K254" i="4" s="1"/>
  <c r="K253" i="4" s="1"/>
  <c r="K252" i="4" s="1"/>
  <c r="K251" i="4" s="1"/>
  <c r="K250" i="4" s="1"/>
  <c r="K249" i="4" s="1"/>
  <c r="K248" i="4" s="1"/>
  <c r="K247" i="4" s="1"/>
  <c r="K246" i="4" s="1"/>
  <c r="K245" i="4" s="1"/>
  <c r="K244" i="4" s="1"/>
  <c r="K243" i="4" s="1"/>
  <c r="K242" i="4" s="1"/>
  <c r="K241" i="4" s="1"/>
  <c r="K240" i="4" s="1"/>
  <c r="K239" i="4" s="1"/>
  <c r="K238" i="4" s="1"/>
  <c r="K237" i="4" s="1"/>
  <c r="K236" i="4" s="1"/>
  <c r="K235" i="4" s="1"/>
  <c r="K234" i="4" s="1"/>
  <c r="K233" i="4" s="1"/>
  <c r="K232" i="4" s="1"/>
  <c r="K231" i="4" s="1"/>
  <c r="K230" i="4" s="1"/>
  <c r="K229" i="4" s="1"/>
  <c r="K228" i="4" s="1"/>
  <c r="K227" i="4" s="1"/>
  <c r="K226" i="4" s="1"/>
  <c r="K225" i="4" s="1"/>
  <c r="K224" i="4" s="1"/>
  <c r="K223" i="4" s="1"/>
  <c r="K222" i="4" s="1"/>
  <c r="K221" i="4" s="1"/>
  <c r="K220" i="4" s="1"/>
  <c r="K219" i="4" s="1"/>
  <c r="K218" i="4" s="1"/>
  <c r="K217" i="4" s="1"/>
  <c r="K216" i="4" s="1"/>
  <c r="K215" i="4" s="1"/>
  <c r="K214" i="4" s="1"/>
  <c r="K213" i="4" s="1"/>
  <c r="K212" i="4" s="1"/>
  <c r="K211" i="4" s="1"/>
  <c r="K210" i="4" s="1"/>
  <c r="K209" i="4" s="1"/>
  <c r="K208" i="4" s="1"/>
  <c r="K207" i="4" s="1"/>
  <c r="K206" i="4" s="1"/>
  <c r="K205" i="4" s="1"/>
  <c r="K204" i="4" s="1"/>
  <c r="K203" i="4" s="1"/>
  <c r="K202" i="4" s="1"/>
  <c r="K201" i="4" s="1"/>
  <c r="K200" i="4" s="1"/>
  <c r="K199" i="4" s="1"/>
  <c r="K198" i="4" s="1"/>
  <c r="K197" i="4" s="1"/>
  <c r="K196" i="4" s="1"/>
  <c r="K195" i="4" s="1"/>
  <c r="K194" i="4" s="1"/>
  <c r="K193" i="4" s="1"/>
  <c r="K192" i="4" s="1"/>
  <c r="K191" i="4" s="1"/>
  <c r="K190" i="4" s="1"/>
  <c r="K189" i="4" s="1"/>
  <c r="K188" i="4" s="1"/>
  <c r="K187" i="4" s="1"/>
  <c r="K186" i="4" s="1"/>
  <c r="K185" i="4" s="1"/>
  <c r="K184" i="4" s="1"/>
  <c r="K183" i="4" s="1"/>
  <c r="K182" i="4" s="1"/>
  <c r="K181" i="4" s="1"/>
  <c r="K180" i="4" s="1"/>
  <c r="K179" i="4" s="1"/>
  <c r="K178" i="4" s="1"/>
  <c r="K177" i="4" s="1"/>
  <c r="K176" i="4" s="1"/>
  <c r="K175" i="4" s="1"/>
  <c r="K174" i="4" s="1"/>
  <c r="K173" i="4" s="1"/>
  <c r="K172" i="4" s="1"/>
  <c r="K171" i="4" s="1"/>
  <c r="K170" i="4" s="1"/>
  <c r="K169" i="4" s="1"/>
  <c r="K168" i="4" s="1"/>
  <c r="K167" i="4" s="1"/>
  <c r="K166" i="4" s="1"/>
  <c r="K165" i="4" s="1"/>
  <c r="K164" i="4" s="1"/>
  <c r="K163" i="4" s="1"/>
  <c r="K162" i="4" s="1"/>
  <c r="K161" i="4" s="1"/>
  <c r="K160" i="4" s="1"/>
  <c r="K159" i="4" s="1"/>
  <c r="K158" i="4" s="1"/>
  <c r="K157" i="4" s="1"/>
  <c r="K156" i="4" s="1"/>
  <c r="K155" i="4" s="1"/>
  <c r="K154" i="4" s="1"/>
  <c r="K153" i="4" s="1"/>
  <c r="K152" i="4" s="1"/>
  <c r="K151" i="4" s="1"/>
  <c r="K150" i="4" s="1"/>
  <c r="K149" i="4" s="1"/>
  <c r="K148" i="4" s="1"/>
  <c r="K147" i="4" s="1"/>
  <c r="K146" i="4" s="1"/>
  <c r="K145" i="4" s="1"/>
  <c r="K144" i="4" s="1"/>
  <c r="K143" i="4" s="1"/>
  <c r="K142" i="4" s="1"/>
  <c r="K141" i="4" s="1"/>
  <c r="K140" i="4" s="1"/>
  <c r="K139" i="4" s="1"/>
  <c r="K138" i="4" s="1"/>
  <c r="K137" i="4" s="1"/>
  <c r="K136" i="4" s="1"/>
  <c r="K135" i="4" s="1"/>
  <c r="K134" i="4" s="1"/>
  <c r="K133" i="4" s="1"/>
  <c r="K132" i="4" s="1"/>
  <c r="K131" i="4" s="1"/>
  <c r="K130" i="4" s="1"/>
  <c r="K129" i="4" s="1"/>
  <c r="K128" i="4" s="1"/>
  <c r="K127" i="4" s="1"/>
  <c r="K126" i="4" s="1"/>
  <c r="K125" i="4" s="1"/>
  <c r="K124" i="4" s="1"/>
  <c r="K123" i="4" s="1"/>
  <c r="K122" i="4" s="1"/>
  <c r="K121" i="4" s="1"/>
  <c r="K120" i="4" s="1"/>
  <c r="K119" i="4" s="1"/>
  <c r="K118" i="4" s="1"/>
  <c r="K117" i="4" s="1"/>
  <c r="K116" i="4" s="1"/>
  <c r="K115" i="4" s="1"/>
  <c r="K114" i="4" s="1"/>
  <c r="K113" i="4" s="1"/>
  <c r="K112" i="4" s="1"/>
  <c r="K111" i="4" s="1"/>
  <c r="K110" i="4" s="1"/>
  <c r="K109" i="4" s="1"/>
  <c r="K108" i="4" s="1"/>
  <c r="K107" i="4" s="1"/>
  <c r="K106" i="4" s="1"/>
  <c r="K105" i="4" s="1"/>
  <c r="K104" i="4" s="1"/>
  <c r="K103" i="4" s="1"/>
  <c r="K102" i="4" s="1"/>
  <c r="K101" i="4" s="1"/>
  <c r="K100" i="4" s="1"/>
  <c r="K99" i="4" s="1"/>
  <c r="K98" i="4" s="1"/>
  <c r="K97" i="4" s="1"/>
  <c r="K96" i="4" s="1"/>
  <c r="K95" i="4" s="1"/>
  <c r="K94" i="4" s="1"/>
  <c r="K93" i="4" s="1"/>
  <c r="K92" i="4" s="1"/>
  <c r="K91" i="4" s="1"/>
  <c r="K90" i="4" s="1"/>
  <c r="K89" i="4" s="1"/>
  <c r="K88" i="4" s="1"/>
  <c r="K87" i="4" s="1"/>
  <c r="K86" i="4" s="1"/>
  <c r="K85" i="4" s="1"/>
  <c r="K84" i="4" s="1"/>
  <c r="K83" i="4" s="1"/>
  <c r="K82" i="4" s="1"/>
  <c r="K81" i="4" s="1"/>
  <c r="K80" i="4" s="1"/>
  <c r="K79" i="4" s="1"/>
  <c r="K78" i="4" s="1"/>
  <c r="K77" i="4" s="1"/>
  <c r="K76" i="4" s="1"/>
  <c r="K75" i="4" s="1"/>
  <c r="K74" i="4" s="1"/>
  <c r="K73" i="4" s="1"/>
  <c r="K72" i="4" s="1"/>
  <c r="K71" i="4" s="1"/>
  <c r="K70" i="4" s="1"/>
  <c r="K69" i="4" s="1"/>
  <c r="K68" i="4" s="1"/>
  <c r="K67" i="4" s="1"/>
  <c r="K66" i="4" s="1"/>
  <c r="K65" i="4" s="1"/>
  <c r="K64" i="4" s="1"/>
  <c r="K63" i="4" s="1"/>
  <c r="K62" i="4" s="1"/>
  <c r="K61" i="4" s="1"/>
  <c r="K60" i="4" s="1"/>
  <c r="K59" i="4" s="1"/>
  <c r="K58" i="4" s="1"/>
  <c r="K57" i="4" s="1"/>
  <c r="K56" i="4" s="1"/>
  <c r="K55" i="4" s="1"/>
  <c r="K54" i="4" s="1"/>
  <c r="K53" i="4" s="1"/>
  <c r="K52" i="4" s="1"/>
  <c r="K51" i="4" s="1"/>
  <c r="K50" i="4" s="1"/>
  <c r="K49" i="4" s="1"/>
  <c r="K48" i="4" s="1"/>
  <c r="K47" i="4" s="1"/>
  <c r="K46" i="4" s="1"/>
  <c r="K45" i="4" s="1"/>
  <c r="K44" i="4" s="1"/>
  <c r="K43" i="4" s="1"/>
  <c r="K42" i="4" s="1"/>
  <c r="K41" i="4" s="1"/>
  <c r="K40" i="4" s="1"/>
  <c r="K39" i="4" s="1"/>
  <c r="K38" i="4" s="1"/>
  <c r="K37" i="4" s="1"/>
  <c r="K36" i="4" s="1"/>
  <c r="K35" i="4" s="1"/>
  <c r="K34" i="4" s="1"/>
  <c r="K33" i="4" s="1"/>
  <c r="K32" i="4" s="1"/>
  <c r="K31" i="4" s="1"/>
  <c r="K30" i="4" s="1"/>
  <c r="K29" i="4" s="1"/>
  <c r="K28" i="4" s="1"/>
  <c r="K27" i="4" s="1"/>
  <c r="K26" i="4" s="1"/>
  <c r="K25" i="4" s="1"/>
  <c r="K24" i="4" s="1"/>
  <c r="K23" i="4" s="1"/>
  <c r="K22" i="4" s="1"/>
  <c r="K21" i="4" s="1"/>
  <c r="K20" i="4" s="1"/>
  <c r="K19" i="4" s="1"/>
  <c r="K18" i="4" s="1"/>
  <c r="K17" i="4" s="1"/>
  <c r="K16" i="4" s="1"/>
  <c r="K15" i="4" s="1"/>
  <c r="K14" i="4" s="1"/>
  <c r="K13" i="4" s="1"/>
  <c r="K12" i="4" s="1"/>
  <c r="K11" i="4" s="1"/>
  <c r="K10" i="4" s="1"/>
  <c r="K9" i="4" s="1"/>
  <c r="K8" i="4" s="1"/>
  <c r="K7" i="4" s="1"/>
  <c r="K6" i="4" s="1"/>
  <c r="K5" i="4" s="1"/>
  <c r="K4" i="4" s="1"/>
  <c r="K3" i="4" s="1"/>
  <c r="H362" i="4"/>
  <c r="H361" i="4" s="1"/>
  <c r="H360" i="4" s="1"/>
  <c r="H359" i="4" s="1"/>
  <c r="H358" i="4" s="1"/>
  <c r="H357" i="4" s="1"/>
  <c r="H356" i="4" s="1"/>
  <c r="H355" i="4" s="1"/>
  <c r="H354" i="4" s="1"/>
  <c r="H353" i="4" s="1"/>
  <c r="H352" i="4" s="1"/>
  <c r="H351" i="4" s="1"/>
  <c r="H350" i="4" s="1"/>
  <c r="H349" i="4" s="1"/>
  <c r="H348" i="4" s="1"/>
  <c r="H347" i="4" s="1"/>
  <c r="H346" i="4" s="1"/>
  <c r="H345" i="4" s="1"/>
  <c r="H344" i="4" s="1"/>
  <c r="H343" i="4" s="1"/>
  <c r="H342" i="4" s="1"/>
  <c r="H341" i="4" s="1"/>
  <c r="H340" i="4" s="1"/>
  <c r="H339" i="4" s="1"/>
  <c r="H338" i="4" s="1"/>
  <c r="H337" i="4" s="1"/>
  <c r="H336" i="4" s="1"/>
  <c r="H335" i="4" s="1"/>
  <c r="H334" i="4" s="1"/>
  <c r="H333" i="4" s="1"/>
  <c r="H332" i="4" s="1"/>
  <c r="H331" i="4" s="1"/>
  <c r="H330" i="4" s="1"/>
  <c r="H329" i="4" s="1"/>
  <c r="H328" i="4" s="1"/>
  <c r="H327" i="4" s="1"/>
  <c r="H326" i="4" s="1"/>
  <c r="H325" i="4" s="1"/>
  <c r="H324" i="4" s="1"/>
  <c r="H323" i="4" s="1"/>
  <c r="H322" i="4" s="1"/>
  <c r="H321" i="4" s="1"/>
  <c r="H320" i="4" s="1"/>
  <c r="H319" i="4" s="1"/>
  <c r="H318" i="4" s="1"/>
  <c r="H317" i="4" s="1"/>
  <c r="H316" i="4" s="1"/>
  <c r="H315" i="4" s="1"/>
  <c r="H314" i="4" s="1"/>
  <c r="H313" i="4" s="1"/>
  <c r="H312" i="4" s="1"/>
  <c r="H311" i="4" s="1"/>
  <c r="H310" i="4" s="1"/>
  <c r="H309" i="4" s="1"/>
  <c r="H308" i="4" s="1"/>
  <c r="H307" i="4" s="1"/>
  <c r="H306" i="4" s="1"/>
  <c r="H305" i="4" s="1"/>
  <c r="H304" i="4" s="1"/>
  <c r="H303" i="4" s="1"/>
  <c r="H302" i="4" s="1"/>
  <c r="H301" i="4" s="1"/>
  <c r="H300" i="4" s="1"/>
  <c r="H299" i="4" s="1"/>
  <c r="H298" i="4" s="1"/>
  <c r="H297" i="4" s="1"/>
  <c r="H296" i="4" s="1"/>
  <c r="H295" i="4" s="1"/>
  <c r="H294" i="4" s="1"/>
  <c r="H293" i="4" s="1"/>
  <c r="H292" i="4" s="1"/>
  <c r="H291" i="4" s="1"/>
  <c r="H290" i="4" s="1"/>
  <c r="H289" i="4" s="1"/>
  <c r="H288" i="4" s="1"/>
  <c r="H287" i="4" s="1"/>
  <c r="H286" i="4" s="1"/>
  <c r="H285" i="4" s="1"/>
  <c r="H284" i="4" s="1"/>
  <c r="H283" i="4" s="1"/>
  <c r="H282" i="4" s="1"/>
  <c r="H281" i="4" s="1"/>
  <c r="H280" i="4" s="1"/>
  <c r="H279" i="4" s="1"/>
  <c r="H278" i="4" s="1"/>
  <c r="H277" i="4" s="1"/>
  <c r="H276" i="4" s="1"/>
  <c r="H275" i="4" s="1"/>
  <c r="H274" i="4" s="1"/>
  <c r="H273" i="4" s="1"/>
  <c r="H272" i="4" s="1"/>
  <c r="H271" i="4" s="1"/>
  <c r="H270" i="4" s="1"/>
  <c r="H269" i="4" s="1"/>
  <c r="H268" i="4" s="1"/>
  <c r="H267" i="4" s="1"/>
  <c r="H266" i="4" s="1"/>
  <c r="H265" i="4" s="1"/>
  <c r="H264" i="4" s="1"/>
  <c r="H263" i="4" s="1"/>
  <c r="H262" i="4" s="1"/>
  <c r="H261" i="4" s="1"/>
  <c r="H260" i="4" s="1"/>
  <c r="H259" i="4" s="1"/>
  <c r="H258" i="4" s="1"/>
  <c r="H257" i="4" s="1"/>
  <c r="H256" i="4" s="1"/>
  <c r="H255" i="4" s="1"/>
  <c r="H254" i="4" s="1"/>
  <c r="H253" i="4" s="1"/>
  <c r="H252" i="4" s="1"/>
  <c r="H251" i="4" s="1"/>
  <c r="H250" i="4" s="1"/>
  <c r="H249" i="4" s="1"/>
  <c r="H248" i="4" s="1"/>
  <c r="H247" i="4" s="1"/>
  <c r="H246" i="4" s="1"/>
  <c r="H245" i="4" s="1"/>
  <c r="H244" i="4" s="1"/>
  <c r="H243" i="4" s="1"/>
  <c r="H242" i="4" s="1"/>
  <c r="H241" i="4" s="1"/>
  <c r="H240" i="4" s="1"/>
  <c r="H239" i="4" s="1"/>
  <c r="H238" i="4" s="1"/>
  <c r="H237" i="4" s="1"/>
  <c r="H236" i="4" s="1"/>
  <c r="H235" i="4" s="1"/>
  <c r="H234" i="4" s="1"/>
  <c r="H233" i="4" s="1"/>
  <c r="H232" i="4" s="1"/>
  <c r="H231" i="4" s="1"/>
  <c r="H230" i="4" s="1"/>
  <c r="H229" i="4" s="1"/>
  <c r="H228" i="4" s="1"/>
  <c r="H227" i="4" s="1"/>
  <c r="H226" i="4" s="1"/>
  <c r="H225" i="4" s="1"/>
  <c r="H224" i="4" s="1"/>
  <c r="H223" i="4" s="1"/>
  <c r="H222" i="4" s="1"/>
  <c r="H221" i="4" s="1"/>
  <c r="H220" i="4" s="1"/>
  <c r="H219" i="4" s="1"/>
  <c r="H218" i="4" s="1"/>
  <c r="H217" i="4" s="1"/>
  <c r="H216" i="4" s="1"/>
  <c r="H215" i="4" s="1"/>
  <c r="H214" i="4" s="1"/>
  <c r="H213" i="4" s="1"/>
  <c r="H212" i="4" s="1"/>
  <c r="H211" i="4" s="1"/>
  <c r="H210" i="4" s="1"/>
  <c r="H209" i="4" s="1"/>
  <c r="H208" i="4" s="1"/>
  <c r="H207" i="4" s="1"/>
  <c r="H206" i="4" s="1"/>
  <c r="H205" i="4" s="1"/>
  <c r="H204" i="4" s="1"/>
  <c r="H203" i="4" s="1"/>
  <c r="H202" i="4" s="1"/>
  <c r="H201" i="4" s="1"/>
  <c r="H200" i="4" s="1"/>
  <c r="H199" i="4" s="1"/>
  <c r="H198" i="4" s="1"/>
  <c r="H197" i="4" s="1"/>
  <c r="H196" i="4" s="1"/>
  <c r="H195" i="4" s="1"/>
  <c r="H194" i="4" s="1"/>
  <c r="H193" i="4" s="1"/>
  <c r="H192" i="4" s="1"/>
  <c r="H191" i="4" s="1"/>
  <c r="H190" i="4" s="1"/>
  <c r="H189" i="4" s="1"/>
  <c r="H188" i="4" s="1"/>
  <c r="H187" i="4" s="1"/>
  <c r="H186" i="4" s="1"/>
  <c r="H185" i="4" s="1"/>
  <c r="H184" i="4" s="1"/>
  <c r="H183" i="4" s="1"/>
  <c r="H182" i="4" s="1"/>
  <c r="H181" i="4" s="1"/>
  <c r="H180" i="4" s="1"/>
  <c r="H179" i="4" s="1"/>
  <c r="H178" i="4" s="1"/>
  <c r="H177" i="4" s="1"/>
  <c r="H176" i="4" s="1"/>
  <c r="H175" i="4" s="1"/>
  <c r="H174" i="4" s="1"/>
  <c r="H173" i="4" s="1"/>
  <c r="H172" i="4" s="1"/>
  <c r="H171" i="4" s="1"/>
  <c r="H170" i="4" s="1"/>
  <c r="H169" i="4" s="1"/>
  <c r="H168" i="4" s="1"/>
  <c r="H167" i="4" s="1"/>
  <c r="H166" i="4" s="1"/>
  <c r="H165" i="4" s="1"/>
  <c r="H164" i="4" s="1"/>
  <c r="H163" i="4" s="1"/>
  <c r="H162" i="4" s="1"/>
  <c r="H161" i="4" s="1"/>
  <c r="H160" i="4" s="1"/>
  <c r="H159" i="4" s="1"/>
  <c r="H158" i="4" s="1"/>
  <c r="H157" i="4" s="1"/>
  <c r="H156" i="4" s="1"/>
  <c r="H155" i="4" s="1"/>
  <c r="H154" i="4" s="1"/>
  <c r="H153" i="4" s="1"/>
  <c r="H152" i="4" s="1"/>
  <c r="H151" i="4" s="1"/>
  <c r="H150" i="4" s="1"/>
  <c r="H149" i="4" s="1"/>
  <c r="H148" i="4" s="1"/>
  <c r="H147" i="4" s="1"/>
  <c r="H146" i="4" s="1"/>
  <c r="H145" i="4" s="1"/>
  <c r="H144" i="4" s="1"/>
  <c r="H143" i="4" s="1"/>
  <c r="H142" i="4" s="1"/>
  <c r="H141" i="4" s="1"/>
  <c r="H140" i="4" s="1"/>
  <c r="H139" i="4" s="1"/>
  <c r="H138" i="4" s="1"/>
  <c r="H137" i="4" s="1"/>
  <c r="H136" i="4" s="1"/>
  <c r="H135" i="4" s="1"/>
  <c r="H134" i="4" s="1"/>
  <c r="H133" i="4" s="1"/>
  <c r="H132" i="4" s="1"/>
  <c r="H131" i="4" s="1"/>
  <c r="H130" i="4" s="1"/>
  <c r="H129" i="4" s="1"/>
  <c r="H128" i="4" s="1"/>
  <c r="H127" i="4" s="1"/>
  <c r="H126" i="4" s="1"/>
  <c r="H125" i="4" s="1"/>
  <c r="H124" i="4" s="1"/>
  <c r="H123" i="4" s="1"/>
  <c r="H122" i="4" s="1"/>
  <c r="H121" i="4" s="1"/>
  <c r="H120" i="4" s="1"/>
  <c r="H119" i="4" s="1"/>
  <c r="H118" i="4" s="1"/>
  <c r="H117" i="4" s="1"/>
  <c r="H116" i="4" s="1"/>
  <c r="H115" i="4" s="1"/>
  <c r="H114" i="4" s="1"/>
  <c r="H113" i="4" s="1"/>
  <c r="H112" i="4" s="1"/>
  <c r="H111" i="4" s="1"/>
  <c r="H110" i="4" s="1"/>
  <c r="H109" i="4" s="1"/>
  <c r="H108" i="4" s="1"/>
  <c r="H107" i="4" s="1"/>
  <c r="H106" i="4" s="1"/>
  <c r="H105" i="4" s="1"/>
  <c r="H104" i="4" s="1"/>
  <c r="H103" i="4" s="1"/>
  <c r="H102" i="4" s="1"/>
  <c r="H101" i="4" s="1"/>
  <c r="H100" i="4" s="1"/>
  <c r="H99" i="4" s="1"/>
  <c r="H98" i="4" s="1"/>
  <c r="H97" i="4" s="1"/>
  <c r="H96" i="4" s="1"/>
  <c r="H95" i="4" s="1"/>
  <c r="H94" i="4" s="1"/>
  <c r="H93" i="4" s="1"/>
  <c r="H92" i="4" s="1"/>
  <c r="H91" i="4" s="1"/>
  <c r="H90" i="4" s="1"/>
  <c r="H89" i="4" s="1"/>
  <c r="H88" i="4" s="1"/>
  <c r="H87" i="4" s="1"/>
  <c r="H86" i="4" s="1"/>
  <c r="H85" i="4" s="1"/>
  <c r="H84" i="4" s="1"/>
  <c r="H83" i="4" s="1"/>
  <c r="H82" i="4" s="1"/>
  <c r="H81" i="4" s="1"/>
  <c r="H80" i="4" s="1"/>
  <c r="H79" i="4" s="1"/>
  <c r="H78" i="4" s="1"/>
  <c r="H77" i="4" s="1"/>
  <c r="H76" i="4" s="1"/>
  <c r="H75" i="4" s="1"/>
  <c r="H74" i="4" s="1"/>
  <c r="H73" i="4" s="1"/>
  <c r="H72" i="4" s="1"/>
  <c r="H71" i="4" s="1"/>
  <c r="H70" i="4" s="1"/>
  <c r="H69" i="4" s="1"/>
  <c r="H68" i="4" s="1"/>
  <c r="H67" i="4" s="1"/>
  <c r="H66" i="4" s="1"/>
  <c r="H65" i="4" s="1"/>
  <c r="H64" i="4" s="1"/>
  <c r="H63" i="4" s="1"/>
  <c r="H62" i="4" s="1"/>
  <c r="H61" i="4" s="1"/>
  <c r="H60" i="4" s="1"/>
  <c r="H59" i="4" s="1"/>
  <c r="H58" i="4" s="1"/>
  <c r="H57" i="4" s="1"/>
  <c r="H56" i="4" s="1"/>
  <c r="H55" i="4" s="1"/>
  <c r="H54" i="4" s="1"/>
  <c r="H53" i="4" s="1"/>
  <c r="H52" i="4" s="1"/>
  <c r="H51" i="4" s="1"/>
  <c r="H50" i="4" s="1"/>
  <c r="H49" i="4" s="1"/>
  <c r="H48" i="4" s="1"/>
  <c r="H47" i="4" s="1"/>
  <c r="H46" i="4" s="1"/>
  <c r="H45" i="4" s="1"/>
  <c r="H44" i="4" s="1"/>
  <c r="H43" i="4" s="1"/>
  <c r="H42" i="4" s="1"/>
  <c r="H41" i="4" s="1"/>
  <c r="H40" i="4" s="1"/>
  <c r="H39" i="4" s="1"/>
  <c r="H38" i="4" s="1"/>
  <c r="H37" i="4" s="1"/>
  <c r="H36" i="4" s="1"/>
  <c r="H35" i="4" s="1"/>
  <c r="H34" i="4" s="1"/>
  <c r="H33" i="4" s="1"/>
  <c r="H32" i="4" s="1"/>
  <c r="H31" i="4" s="1"/>
  <c r="H30" i="4" s="1"/>
  <c r="H29" i="4" s="1"/>
  <c r="H28" i="4" s="1"/>
  <c r="H27" i="4" s="1"/>
  <c r="H26" i="4" s="1"/>
  <c r="H25" i="4" s="1"/>
  <c r="H24" i="4" s="1"/>
  <c r="H23" i="4" s="1"/>
  <c r="H22" i="4" s="1"/>
  <c r="H21" i="4" s="1"/>
  <c r="H20" i="4" s="1"/>
  <c r="H19" i="4" s="1"/>
  <c r="H18" i="4" s="1"/>
  <c r="H17" i="4" s="1"/>
  <c r="H16" i="4" s="1"/>
  <c r="H15" i="4" s="1"/>
  <c r="H14" i="4" s="1"/>
  <c r="H13" i="4" s="1"/>
  <c r="H12" i="4" s="1"/>
  <c r="H11" i="4" s="1"/>
  <c r="H10" i="4" s="1"/>
  <c r="H9" i="4" s="1"/>
  <c r="H8" i="4" s="1"/>
  <c r="H7" i="4" s="1"/>
  <c r="H6" i="4" s="1"/>
  <c r="H5" i="4" s="1"/>
  <c r="H4" i="4" s="1"/>
  <c r="H3" i="4" s="1"/>
  <c r="I177" i="2"/>
  <c r="H181" i="2"/>
  <c r="H180" i="2"/>
  <c r="I178" i="2"/>
  <c r="H177" i="2"/>
  <c r="I179" i="2"/>
  <c r="I181" i="2"/>
  <c r="I180" i="2"/>
  <c r="H179" i="2"/>
  <c r="H178" i="2"/>
  <c r="O57" i="2"/>
  <c r="O174" i="2"/>
  <c r="J55" i="2"/>
  <c r="I55" i="2"/>
  <c r="K55" i="2"/>
  <c r="H55" i="2"/>
  <c r="O153" i="2"/>
  <c r="H69" i="2"/>
  <c r="O63" i="2" s="1"/>
  <c r="L148" i="2"/>
  <c r="O62" i="2"/>
  <c r="O67" i="2" s="1"/>
  <c r="K54" i="2"/>
  <c r="L54" i="2"/>
  <c r="H54" i="2"/>
  <c r="J54" i="2"/>
  <c r="I54" i="2"/>
  <c r="H106" i="2"/>
  <c r="O99" i="2" s="1"/>
  <c r="H197" i="2"/>
  <c r="O98" i="2"/>
  <c r="O97" i="2" s="1"/>
  <c r="I71" i="2"/>
  <c r="I69" i="2" s="1"/>
  <c r="O64" i="2" s="1"/>
  <c r="I106" i="2"/>
  <c r="O100" i="2" s="1"/>
  <c r="O227" i="2"/>
  <c r="O226" i="2" s="1"/>
  <c r="O132" i="2"/>
  <c r="O133" i="2"/>
  <c r="O147" i="2"/>
  <c r="H89" i="2"/>
  <c r="H87" i="2" s="1"/>
  <c r="O81" i="2" s="1"/>
  <c r="L87" i="2"/>
  <c r="J141" i="2"/>
  <c r="J140" i="2"/>
  <c r="O131" i="2"/>
  <c r="O79" i="2"/>
  <c r="I89" i="2"/>
  <c r="I87" i="2" s="1"/>
  <c r="O82" i="2" s="1"/>
  <c r="L80" i="2"/>
  <c r="O175" i="2"/>
  <c r="K140" i="2"/>
  <c r="I141" i="2"/>
  <c r="O134" i="2"/>
  <c r="H237" i="2"/>
  <c r="H235" i="2" s="1"/>
  <c r="O228" i="2" s="1"/>
  <c r="L231" i="2" s="1"/>
  <c r="H141" i="2"/>
  <c r="I140" i="2"/>
  <c r="K141" i="2"/>
  <c r="L140" i="2"/>
  <c r="H140" i="2"/>
  <c r="H217" i="2"/>
  <c r="H215" i="2" s="1"/>
  <c r="O208" i="2" s="1"/>
  <c r="L211" i="2" s="1"/>
  <c r="O207" i="2"/>
  <c r="O347" i="2"/>
  <c r="O352" i="2" s="1"/>
  <c r="I357" i="2"/>
  <c r="I355" i="2" s="1"/>
  <c r="O349" i="2" s="1"/>
  <c r="H357" i="2"/>
  <c r="H355" i="2" s="1"/>
  <c r="O348" i="2" s="1"/>
  <c r="O247" i="2"/>
  <c r="I257" i="2"/>
  <c r="I255" i="2" s="1"/>
  <c r="O249" i="2" s="1"/>
  <c r="H255" i="2"/>
  <c r="O248" i="2" s="1"/>
  <c r="O287" i="2"/>
  <c r="H297" i="2"/>
  <c r="H295" i="2" s="1"/>
  <c r="O288" i="2" s="1"/>
  <c r="I297" i="2"/>
  <c r="I295" i="2" s="1"/>
  <c r="O289" i="2" s="1"/>
  <c r="L141" i="2"/>
  <c r="I317" i="2"/>
  <c r="I315" i="2" s="1"/>
  <c r="O309" i="2" s="1"/>
  <c r="H317" i="2"/>
  <c r="H315" i="2" s="1"/>
  <c r="O308" i="2" s="1"/>
  <c r="O307" i="2"/>
  <c r="O312" i="2" s="1"/>
  <c r="O267" i="2"/>
  <c r="I277" i="2"/>
  <c r="I275" i="2" s="1"/>
  <c r="O269" i="2" s="1"/>
  <c r="H277" i="2"/>
  <c r="H275" i="2" s="1"/>
  <c r="O268" i="2" s="1"/>
  <c r="O327" i="2"/>
  <c r="O332" i="2" s="1"/>
  <c r="I337" i="2"/>
  <c r="I335" i="2" s="1"/>
  <c r="O329" i="2" s="1"/>
  <c r="H337" i="2"/>
  <c r="H335" i="2" s="1"/>
  <c r="O328" i="2" s="1"/>
  <c r="O150" i="2"/>
  <c r="L152" i="2" s="1"/>
  <c r="I362" i="4"/>
  <c r="I361" i="4" s="1"/>
  <c r="I360" i="4" s="1"/>
  <c r="I359" i="4" s="1"/>
  <c r="I358" i="4" s="1"/>
  <c r="I357" i="4" s="1"/>
  <c r="I356" i="4" s="1"/>
  <c r="I355" i="4" s="1"/>
  <c r="I354" i="4" s="1"/>
  <c r="I353" i="4" s="1"/>
  <c r="I352" i="4" s="1"/>
  <c r="I351" i="4" s="1"/>
  <c r="I350" i="4" s="1"/>
  <c r="I349" i="4" s="1"/>
  <c r="I348" i="4" s="1"/>
  <c r="I347" i="4" s="1"/>
  <c r="I346" i="4" s="1"/>
  <c r="I345" i="4" s="1"/>
  <c r="I344" i="4" s="1"/>
  <c r="I343" i="4" s="1"/>
  <c r="I342" i="4" s="1"/>
  <c r="I341" i="4" s="1"/>
  <c r="I340" i="4" s="1"/>
  <c r="I339" i="4" s="1"/>
  <c r="I338" i="4" s="1"/>
  <c r="I337" i="4" s="1"/>
  <c r="I336" i="4" s="1"/>
  <c r="I335" i="4" s="1"/>
  <c r="I334" i="4" s="1"/>
  <c r="I333" i="4" s="1"/>
  <c r="I332" i="4" s="1"/>
  <c r="I331" i="4" s="1"/>
  <c r="I330" i="4" s="1"/>
  <c r="I329" i="4" s="1"/>
  <c r="I328" i="4" s="1"/>
  <c r="I327" i="4" s="1"/>
  <c r="I326" i="4" s="1"/>
  <c r="I325" i="4" s="1"/>
  <c r="I324" i="4" s="1"/>
  <c r="I323" i="4" s="1"/>
  <c r="I322" i="4" s="1"/>
  <c r="I321" i="4" s="1"/>
  <c r="I320" i="4" s="1"/>
  <c r="I319" i="4" s="1"/>
  <c r="I318" i="4" s="1"/>
  <c r="I317" i="4" s="1"/>
  <c r="I316" i="4" s="1"/>
  <c r="I315" i="4" s="1"/>
  <c r="I314" i="4" s="1"/>
  <c r="I313" i="4" s="1"/>
  <c r="I312" i="4" s="1"/>
  <c r="I311" i="4" s="1"/>
  <c r="I310" i="4" s="1"/>
  <c r="I309" i="4" s="1"/>
  <c r="I308" i="4" s="1"/>
  <c r="I307" i="4" s="1"/>
  <c r="I306" i="4" s="1"/>
  <c r="I305" i="4" s="1"/>
  <c r="I304" i="4" s="1"/>
  <c r="I303" i="4" s="1"/>
  <c r="I302" i="4" s="1"/>
  <c r="I301" i="4" s="1"/>
  <c r="I300" i="4" s="1"/>
  <c r="I299" i="4" s="1"/>
  <c r="I298" i="4" s="1"/>
  <c r="I297" i="4" s="1"/>
  <c r="I296" i="4" s="1"/>
  <c r="I295" i="4" s="1"/>
  <c r="I294" i="4" s="1"/>
  <c r="I293" i="4" s="1"/>
  <c r="I292" i="4" s="1"/>
  <c r="I291" i="4" s="1"/>
  <c r="I290" i="4" s="1"/>
  <c r="I289" i="4" s="1"/>
  <c r="I288" i="4" s="1"/>
  <c r="I287" i="4" s="1"/>
  <c r="I286" i="4" s="1"/>
  <c r="I285" i="4" s="1"/>
  <c r="I284" i="4" s="1"/>
  <c r="I283" i="4" s="1"/>
  <c r="I282" i="4" s="1"/>
  <c r="I281" i="4" s="1"/>
  <c r="I280" i="4" s="1"/>
  <c r="I279" i="4" s="1"/>
  <c r="I278" i="4" s="1"/>
  <c r="I277" i="4" s="1"/>
  <c r="I276" i="4" s="1"/>
  <c r="I275" i="4" s="1"/>
  <c r="I274" i="4" s="1"/>
  <c r="I273" i="4" s="1"/>
  <c r="I272" i="4" s="1"/>
  <c r="I271" i="4" s="1"/>
  <c r="I270" i="4" s="1"/>
  <c r="I269" i="4" s="1"/>
  <c r="I268" i="4" s="1"/>
  <c r="I267" i="4" s="1"/>
  <c r="I266" i="4" s="1"/>
  <c r="I265" i="4" s="1"/>
  <c r="I264" i="4" s="1"/>
  <c r="I263" i="4" s="1"/>
  <c r="I262" i="4" s="1"/>
  <c r="I261" i="4" s="1"/>
  <c r="I260" i="4" s="1"/>
  <c r="I259" i="4" s="1"/>
  <c r="I258" i="4" s="1"/>
  <c r="I257" i="4" s="1"/>
  <c r="I256" i="4" s="1"/>
  <c r="I255" i="4" s="1"/>
  <c r="I254" i="4" s="1"/>
  <c r="I253" i="4" s="1"/>
  <c r="I252" i="4" s="1"/>
  <c r="I251" i="4" s="1"/>
  <c r="I250" i="4" s="1"/>
  <c r="I249" i="4" s="1"/>
  <c r="I248" i="4" s="1"/>
  <c r="I247" i="4" s="1"/>
  <c r="I246" i="4" s="1"/>
  <c r="I245" i="4" s="1"/>
  <c r="I244" i="4" s="1"/>
  <c r="I243" i="4" s="1"/>
  <c r="I242" i="4" s="1"/>
  <c r="I241" i="4" s="1"/>
  <c r="I240" i="4" s="1"/>
  <c r="I239" i="4" s="1"/>
  <c r="I238" i="4" s="1"/>
  <c r="I237" i="4" s="1"/>
  <c r="I236" i="4" s="1"/>
  <c r="I235" i="4" s="1"/>
  <c r="I234" i="4" s="1"/>
  <c r="I233" i="4" s="1"/>
  <c r="I232" i="4" s="1"/>
  <c r="I231" i="4" s="1"/>
  <c r="I230" i="4" s="1"/>
  <c r="I229" i="4" s="1"/>
  <c r="I228" i="4" s="1"/>
  <c r="I227" i="4" s="1"/>
  <c r="I226" i="4" s="1"/>
  <c r="I225" i="4" s="1"/>
  <c r="I224" i="4" s="1"/>
  <c r="I223" i="4" s="1"/>
  <c r="I222" i="4" s="1"/>
  <c r="I221" i="4" s="1"/>
  <c r="I220" i="4" s="1"/>
  <c r="I219" i="4" s="1"/>
  <c r="I218" i="4" s="1"/>
  <c r="I217" i="4" s="1"/>
  <c r="I216" i="4" s="1"/>
  <c r="I215" i="4" s="1"/>
  <c r="I214" i="4" s="1"/>
  <c r="I213" i="4" s="1"/>
  <c r="I212" i="4" s="1"/>
  <c r="I211" i="4" s="1"/>
  <c r="I210" i="4" s="1"/>
  <c r="I209" i="4" s="1"/>
  <c r="I208" i="4" s="1"/>
  <c r="I207" i="4" s="1"/>
  <c r="I206" i="4" s="1"/>
  <c r="I205" i="4" s="1"/>
  <c r="I204" i="4" s="1"/>
  <c r="I203" i="4" s="1"/>
  <c r="I202" i="4" s="1"/>
  <c r="I201" i="4" s="1"/>
  <c r="I200" i="4" s="1"/>
  <c r="I199" i="4" s="1"/>
  <c r="I198" i="4" s="1"/>
  <c r="I197" i="4" s="1"/>
  <c r="I196" i="4" s="1"/>
  <c r="I195" i="4" s="1"/>
  <c r="I194" i="4" s="1"/>
  <c r="I193" i="4" s="1"/>
  <c r="I192" i="4" s="1"/>
  <c r="I191" i="4" s="1"/>
  <c r="I190" i="4" s="1"/>
  <c r="I189" i="4" s="1"/>
  <c r="I188" i="4" s="1"/>
  <c r="I187" i="4" s="1"/>
  <c r="I186" i="4" s="1"/>
  <c r="I185" i="4" s="1"/>
  <c r="I184" i="4" s="1"/>
  <c r="I183" i="4" s="1"/>
  <c r="I182" i="4" s="1"/>
  <c r="I181" i="4" s="1"/>
  <c r="I180" i="4" s="1"/>
  <c r="I179" i="4" s="1"/>
  <c r="I178" i="4" s="1"/>
  <c r="I177" i="4" s="1"/>
  <c r="I176" i="4" s="1"/>
  <c r="I175" i="4" s="1"/>
  <c r="I174" i="4" s="1"/>
  <c r="I173" i="4" s="1"/>
  <c r="I172" i="4" s="1"/>
  <c r="I171" i="4" s="1"/>
  <c r="I170" i="4" s="1"/>
  <c r="I169" i="4" s="1"/>
  <c r="I168" i="4" s="1"/>
  <c r="I167" i="4" s="1"/>
  <c r="I166" i="4" s="1"/>
  <c r="I165" i="4" s="1"/>
  <c r="I164" i="4" s="1"/>
  <c r="I163" i="4" s="1"/>
  <c r="I162" i="4" s="1"/>
  <c r="I161" i="4" s="1"/>
  <c r="I160" i="4" s="1"/>
  <c r="I159" i="4" s="1"/>
  <c r="I158" i="4" s="1"/>
  <c r="I157" i="4" s="1"/>
  <c r="I156" i="4" s="1"/>
  <c r="I155" i="4" s="1"/>
  <c r="I154" i="4" s="1"/>
  <c r="I153" i="4" s="1"/>
  <c r="I152" i="4" s="1"/>
  <c r="I151" i="4" s="1"/>
  <c r="I150" i="4" s="1"/>
  <c r="I149" i="4" s="1"/>
  <c r="I148" i="4" s="1"/>
  <c r="I147" i="4" s="1"/>
  <c r="I146" i="4" s="1"/>
  <c r="I145" i="4" s="1"/>
  <c r="I144" i="4" s="1"/>
  <c r="I143" i="4" s="1"/>
  <c r="I142" i="4" s="1"/>
  <c r="I141" i="4" s="1"/>
  <c r="I140" i="4" s="1"/>
  <c r="I139" i="4" s="1"/>
  <c r="I138" i="4" s="1"/>
  <c r="I137" i="4" s="1"/>
  <c r="I136" i="4" s="1"/>
  <c r="I135" i="4" s="1"/>
  <c r="I134" i="4" s="1"/>
  <c r="I133" i="4" s="1"/>
  <c r="I132" i="4" s="1"/>
  <c r="I131" i="4" s="1"/>
  <c r="I130" i="4" s="1"/>
  <c r="I129" i="4" s="1"/>
  <c r="I128" i="4" s="1"/>
  <c r="I127" i="4" s="1"/>
  <c r="I126" i="4" s="1"/>
  <c r="I125" i="4" s="1"/>
  <c r="I124" i="4" s="1"/>
  <c r="I123" i="4" s="1"/>
  <c r="I122" i="4" s="1"/>
  <c r="I121" i="4" s="1"/>
  <c r="I120" i="4" s="1"/>
  <c r="I119" i="4" s="1"/>
  <c r="I118" i="4" s="1"/>
  <c r="I117" i="4" s="1"/>
  <c r="I116" i="4" s="1"/>
  <c r="I115" i="4" s="1"/>
  <c r="I114" i="4" s="1"/>
  <c r="I113" i="4" s="1"/>
  <c r="I112" i="4" s="1"/>
  <c r="I111" i="4" s="1"/>
  <c r="I110" i="4" s="1"/>
  <c r="I109" i="4" s="1"/>
  <c r="I108" i="4" s="1"/>
  <c r="I107" i="4" s="1"/>
  <c r="I106" i="4" s="1"/>
  <c r="I105" i="4" s="1"/>
  <c r="I104" i="4" s="1"/>
  <c r="I103" i="4" s="1"/>
  <c r="I102" i="4" s="1"/>
  <c r="I101" i="4" s="1"/>
  <c r="I100" i="4" s="1"/>
  <c r="I99" i="4" s="1"/>
  <c r="I98" i="4" s="1"/>
  <c r="I97" i="4" s="1"/>
  <c r="I96" i="4" s="1"/>
  <c r="I95" i="4" s="1"/>
  <c r="I94" i="4" s="1"/>
  <c r="I93" i="4" s="1"/>
  <c r="I92" i="4" s="1"/>
  <c r="I91" i="4" s="1"/>
  <c r="I90" i="4" s="1"/>
  <c r="I89" i="4" s="1"/>
  <c r="I88" i="4" s="1"/>
  <c r="I87" i="4" s="1"/>
  <c r="I86" i="4" s="1"/>
  <c r="I85" i="4" s="1"/>
  <c r="I84" i="4" s="1"/>
  <c r="I83" i="4" s="1"/>
  <c r="I82" i="4" s="1"/>
  <c r="I81" i="4" s="1"/>
  <c r="I80" i="4" s="1"/>
  <c r="I79" i="4" s="1"/>
  <c r="I78" i="4" s="1"/>
  <c r="I77" i="4" s="1"/>
  <c r="I76" i="4" s="1"/>
  <c r="I75" i="4" s="1"/>
  <c r="I74" i="4" s="1"/>
  <c r="I73" i="4" s="1"/>
  <c r="I72" i="4" s="1"/>
  <c r="I71" i="4" s="1"/>
  <c r="I70" i="4" s="1"/>
  <c r="I69" i="4" s="1"/>
  <c r="I68" i="4" s="1"/>
  <c r="I67" i="4" s="1"/>
  <c r="I66" i="4" s="1"/>
  <c r="I65" i="4" s="1"/>
  <c r="I64" i="4" s="1"/>
  <c r="I63" i="4" s="1"/>
  <c r="I62" i="4" s="1"/>
  <c r="I61" i="4" s="1"/>
  <c r="I60" i="4" s="1"/>
  <c r="I59" i="4" s="1"/>
  <c r="I58" i="4" s="1"/>
  <c r="I57" i="4" s="1"/>
  <c r="I56" i="4" s="1"/>
  <c r="I55" i="4" s="1"/>
  <c r="I54" i="4" s="1"/>
  <c r="I53" i="4" s="1"/>
  <c r="I52" i="4" s="1"/>
  <c r="I51" i="4" s="1"/>
  <c r="I50" i="4" s="1"/>
  <c r="I49" i="4" s="1"/>
  <c r="I48" i="4" s="1"/>
  <c r="I47" i="4" s="1"/>
  <c r="I46" i="4" s="1"/>
  <c r="I45" i="4" s="1"/>
  <c r="I44" i="4" s="1"/>
  <c r="I43" i="4" s="1"/>
  <c r="I42" i="4" s="1"/>
  <c r="I41" i="4" s="1"/>
  <c r="I40" i="4" s="1"/>
  <c r="I39" i="4" s="1"/>
  <c r="I38" i="4" s="1"/>
  <c r="I37" i="4" s="1"/>
  <c r="I36" i="4" s="1"/>
  <c r="I35" i="4" s="1"/>
  <c r="I34" i="4" s="1"/>
  <c r="I33" i="4" s="1"/>
  <c r="I32" i="4" s="1"/>
  <c r="I31" i="4" s="1"/>
  <c r="I30" i="4" s="1"/>
  <c r="I29" i="4" s="1"/>
  <c r="I28" i="4" s="1"/>
  <c r="I27" i="4" s="1"/>
  <c r="I26" i="4" s="1"/>
  <c r="I25" i="4" s="1"/>
  <c r="I24" i="4" s="1"/>
  <c r="I23" i="4" s="1"/>
  <c r="I22" i="4" s="1"/>
  <c r="I21" i="4" s="1"/>
  <c r="I20" i="4" s="1"/>
  <c r="I19" i="4" s="1"/>
  <c r="I18" i="4" s="1"/>
  <c r="I17" i="4" s="1"/>
  <c r="I16" i="4" s="1"/>
  <c r="I15" i="4" s="1"/>
  <c r="I14" i="4" s="1"/>
  <c r="I13" i="4" s="1"/>
  <c r="I12" i="4" s="1"/>
  <c r="I11" i="4" s="1"/>
  <c r="I10" i="4" s="1"/>
  <c r="I9" i="4" s="1"/>
  <c r="I8" i="4" s="1"/>
  <c r="I7" i="4" s="1"/>
  <c r="I6" i="4" s="1"/>
  <c r="I5" i="4" s="1"/>
  <c r="I4" i="4" s="1"/>
  <c r="I3" i="4" s="1"/>
  <c r="L363" i="4"/>
  <c r="L362" i="4" s="1"/>
  <c r="L361" i="4" s="1"/>
  <c r="L360" i="4" s="1"/>
  <c r="L359" i="4" s="1"/>
  <c r="L358" i="4" s="1"/>
  <c r="L357" i="4" s="1"/>
  <c r="L356" i="4" s="1"/>
  <c r="L355" i="4" s="1"/>
  <c r="L354" i="4" s="1"/>
  <c r="L353" i="4" s="1"/>
  <c r="L352" i="4" s="1"/>
  <c r="L351" i="4" s="1"/>
  <c r="L350" i="4" s="1"/>
  <c r="L349" i="4" s="1"/>
  <c r="L348" i="4" s="1"/>
  <c r="L347" i="4" s="1"/>
  <c r="L346" i="4" s="1"/>
  <c r="L345" i="4" s="1"/>
  <c r="L344" i="4" s="1"/>
  <c r="L343" i="4" s="1"/>
  <c r="L342" i="4" s="1"/>
  <c r="L341" i="4" s="1"/>
  <c r="L340" i="4" s="1"/>
  <c r="L339" i="4" s="1"/>
  <c r="L338" i="4" s="1"/>
  <c r="L337" i="4" s="1"/>
  <c r="L336" i="4" s="1"/>
  <c r="L335" i="4" s="1"/>
  <c r="L334" i="4" s="1"/>
  <c r="L333" i="4" s="1"/>
  <c r="L332" i="4" s="1"/>
  <c r="L331" i="4" s="1"/>
  <c r="L330" i="4" s="1"/>
  <c r="L329" i="4" s="1"/>
  <c r="L328" i="4" s="1"/>
  <c r="L327" i="4" s="1"/>
  <c r="L326" i="4" s="1"/>
  <c r="L325" i="4" s="1"/>
  <c r="L324" i="4" s="1"/>
  <c r="L323" i="4" s="1"/>
  <c r="L322" i="4" s="1"/>
  <c r="L321" i="4" s="1"/>
  <c r="L320" i="4" s="1"/>
  <c r="L319" i="4" s="1"/>
  <c r="L318" i="4" s="1"/>
  <c r="L317" i="4" s="1"/>
  <c r="L316" i="4" s="1"/>
  <c r="L315" i="4" s="1"/>
  <c r="L314" i="4" s="1"/>
  <c r="L313" i="4" s="1"/>
  <c r="L312" i="4" s="1"/>
  <c r="L311" i="4" s="1"/>
  <c r="L310" i="4" s="1"/>
  <c r="L309" i="4" s="1"/>
  <c r="L308" i="4" s="1"/>
  <c r="L307" i="4" s="1"/>
  <c r="L306" i="4" s="1"/>
  <c r="L305" i="4" s="1"/>
  <c r="L304" i="4" s="1"/>
  <c r="L303" i="4" s="1"/>
  <c r="L302" i="4" s="1"/>
  <c r="L301" i="4" s="1"/>
  <c r="L300" i="4" s="1"/>
  <c r="L299" i="4" s="1"/>
  <c r="L298" i="4" s="1"/>
  <c r="L297" i="4" s="1"/>
  <c r="L296" i="4" s="1"/>
  <c r="L295" i="4" s="1"/>
  <c r="L294" i="4" s="1"/>
  <c r="L293" i="4" s="1"/>
  <c r="L292" i="4" s="1"/>
  <c r="L291" i="4" s="1"/>
  <c r="L290" i="4" s="1"/>
  <c r="L289" i="4" s="1"/>
  <c r="L288" i="4" s="1"/>
  <c r="L287" i="4" s="1"/>
  <c r="L286" i="4" s="1"/>
  <c r="L285" i="4" s="1"/>
  <c r="L284" i="4" s="1"/>
  <c r="L283" i="4" s="1"/>
  <c r="L282" i="4" s="1"/>
  <c r="L281" i="4" s="1"/>
  <c r="L280" i="4" s="1"/>
  <c r="L279" i="4" s="1"/>
  <c r="L278" i="4" s="1"/>
  <c r="L277" i="4" s="1"/>
  <c r="L276" i="4" s="1"/>
  <c r="L275" i="4" s="1"/>
  <c r="L274" i="4" s="1"/>
  <c r="L273" i="4" s="1"/>
  <c r="L272" i="4" s="1"/>
  <c r="L271" i="4" s="1"/>
  <c r="L270" i="4" s="1"/>
  <c r="L269" i="4" s="1"/>
  <c r="L268" i="4" s="1"/>
  <c r="L267" i="4" s="1"/>
  <c r="L266" i="4" s="1"/>
  <c r="L265" i="4" s="1"/>
  <c r="L264" i="4" s="1"/>
  <c r="L263" i="4" s="1"/>
  <c r="L262" i="4" s="1"/>
  <c r="L261" i="4" s="1"/>
  <c r="L260" i="4" s="1"/>
  <c r="L259" i="4" s="1"/>
  <c r="L258" i="4" s="1"/>
  <c r="L257" i="4" s="1"/>
  <c r="L256" i="4" s="1"/>
  <c r="L255" i="4" s="1"/>
  <c r="L254" i="4" s="1"/>
  <c r="L253" i="4" s="1"/>
  <c r="L252" i="4" s="1"/>
  <c r="L251" i="4" s="1"/>
  <c r="L250" i="4" s="1"/>
  <c r="L249" i="4" s="1"/>
  <c r="L248" i="4" s="1"/>
  <c r="L247" i="4" s="1"/>
  <c r="L246" i="4" s="1"/>
  <c r="L245" i="4" s="1"/>
  <c r="L244" i="4" s="1"/>
  <c r="L243" i="4" s="1"/>
  <c r="L242" i="4" s="1"/>
  <c r="L241" i="4" s="1"/>
  <c r="L240" i="4" s="1"/>
  <c r="L239" i="4" s="1"/>
  <c r="L238" i="4" s="1"/>
  <c r="L237" i="4" s="1"/>
  <c r="L236" i="4" s="1"/>
  <c r="L235" i="4" s="1"/>
  <c r="L234" i="4" s="1"/>
  <c r="L233" i="4" s="1"/>
  <c r="L232" i="4" s="1"/>
  <c r="L231" i="4" s="1"/>
  <c r="L230" i="4" s="1"/>
  <c r="L229" i="4" s="1"/>
  <c r="L228" i="4" s="1"/>
  <c r="L227" i="4" s="1"/>
  <c r="L226" i="4" s="1"/>
  <c r="L225" i="4" s="1"/>
  <c r="L224" i="4" s="1"/>
  <c r="L223" i="4" s="1"/>
  <c r="L222" i="4" s="1"/>
  <c r="L221" i="4" s="1"/>
  <c r="L220" i="4" s="1"/>
  <c r="L219" i="4" s="1"/>
  <c r="L218" i="4" s="1"/>
  <c r="L217" i="4" s="1"/>
  <c r="L216" i="4" s="1"/>
  <c r="L215" i="4" s="1"/>
  <c r="L214" i="4" s="1"/>
  <c r="L213" i="4" s="1"/>
  <c r="L212" i="4" s="1"/>
  <c r="L211" i="4" s="1"/>
  <c r="L210" i="4" s="1"/>
  <c r="L209" i="4" s="1"/>
  <c r="L208" i="4" s="1"/>
  <c r="L207" i="4" s="1"/>
  <c r="L206" i="4" s="1"/>
  <c r="L205" i="4" s="1"/>
  <c r="L204" i="4" s="1"/>
  <c r="L203" i="4" s="1"/>
  <c r="L202" i="4" s="1"/>
  <c r="L201" i="4" s="1"/>
  <c r="L200" i="4" s="1"/>
  <c r="L199" i="4" s="1"/>
  <c r="L198" i="4" s="1"/>
  <c r="L197" i="4" s="1"/>
  <c r="L196" i="4" s="1"/>
  <c r="L195" i="4" s="1"/>
  <c r="L194" i="4" s="1"/>
  <c r="L193" i="4" s="1"/>
  <c r="L192" i="4" s="1"/>
  <c r="L191" i="4" s="1"/>
  <c r="L190" i="4" s="1"/>
  <c r="L189" i="4" s="1"/>
  <c r="L188" i="4" s="1"/>
  <c r="L187" i="4" s="1"/>
  <c r="L186" i="4" s="1"/>
  <c r="L185" i="4" s="1"/>
  <c r="L184" i="4" s="1"/>
  <c r="L183" i="4" s="1"/>
  <c r="L182" i="4" s="1"/>
  <c r="L181" i="4" s="1"/>
  <c r="L180" i="4" s="1"/>
  <c r="L179" i="4" s="1"/>
  <c r="L178" i="4" s="1"/>
  <c r="L177" i="4" s="1"/>
  <c r="L176" i="4" s="1"/>
  <c r="L175" i="4" s="1"/>
  <c r="L174" i="4" s="1"/>
  <c r="L173" i="4" s="1"/>
  <c r="L172" i="4" s="1"/>
  <c r="L171" i="4" s="1"/>
  <c r="L170" i="4" s="1"/>
  <c r="L169" i="4" s="1"/>
  <c r="L168" i="4" s="1"/>
  <c r="L167" i="4" s="1"/>
  <c r="L166" i="4" s="1"/>
  <c r="L165" i="4" s="1"/>
  <c r="L164" i="4" s="1"/>
  <c r="L163" i="4" s="1"/>
  <c r="L162" i="4" s="1"/>
  <c r="L161" i="4" s="1"/>
  <c r="L160" i="4" s="1"/>
  <c r="L159" i="4" s="1"/>
  <c r="L158" i="4" s="1"/>
  <c r="L157" i="4" s="1"/>
  <c r="L156" i="4" s="1"/>
  <c r="L155" i="4" s="1"/>
  <c r="L154" i="4" s="1"/>
  <c r="L153" i="4" s="1"/>
  <c r="L152" i="4" s="1"/>
  <c r="L151" i="4" s="1"/>
  <c r="L150" i="4" s="1"/>
  <c r="L149" i="4" s="1"/>
  <c r="L148" i="4" s="1"/>
  <c r="L147" i="4" s="1"/>
  <c r="L146" i="4" s="1"/>
  <c r="L145" i="4" s="1"/>
  <c r="L144" i="4" s="1"/>
  <c r="L143" i="4" s="1"/>
  <c r="L142" i="4" s="1"/>
  <c r="L141" i="4" s="1"/>
  <c r="L140" i="4" s="1"/>
  <c r="L139" i="4" s="1"/>
  <c r="L138" i="4" s="1"/>
  <c r="L137" i="4" s="1"/>
  <c r="L136" i="4" s="1"/>
  <c r="L135" i="4" s="1"/>
  <c r="L134" i="4" s="1"/>
  <c r="L133" i="4" s="1"/>
  <c r="L132" i="4" s="1"/>
  <c r="L131" i="4" s="1"/>
  <c r="L130" i="4" s="1"/>
  <c r="L129" i="4" s="1"/>
  <c r="L128" i="4" s="1"/>
  <c r="L127" i="4" s="1"/>
  <c r="L126" i="4" s="1"/>
  <c r="L125" i="4" s="1"/>
  <c r="L124" i="4" s="1"/>
  <c r="L123" i="4" s="1"/>
  <c r="L122" i="4" s="1"/>
  <c r="L121" i="4" s="1"/>
  <c r="L120" i="4" s="1"/>
  <c r="L119" i="4" s="1"/>
  <c r="L118" i="4" s="1"/>
  <c r="L117" i="4" s="1"/>
  <c r="L116" i="4" s="1"/>
  <c r="L115" i="4" s="1"/>
  <c r="L114" i="4" s="1"/>
  <c r="L113" i="4" s="1"/>
  <c r="L112" i="4" s="1"/>
  <c r="L111" i="4" s="1"/>
  <c r="L110" i="4" s="1"/>
  <c r="L109" i="4" s="1"/>
  <c r="L108" i="4" s="1"/>
  <c r="L107" i="4" s="1"/>
  <c r="L106" i="4" s="1"/>
  <c r="L105" i="4" s="1"/>
  <c r="L104" i="4" s="1"/>
  <c r="L103" i="4" s="1"/>
  <c r="L102" i="4" s="1"/>
  <c r="L101" i="4" s="1"/>
  <c r="L100" i="4" s="1"/>
  <c r="L99" i="4" s="1"/>
  <c r="L98" i="4" s="1"/>
  <c r="L97" i="4" s="1"/>
  <c r="L96" i="4" s="1"/>
  <c r="L95" i="4" s="1"/>
  <c r="L94" i="4" s="1"/>
  <c r="L93" i="4" s="1"/>
  <c r="L92" i="4" s="1"/>
  <c r="L91" i="4" s="1"/>
  <c r="L90" i="4" s="1"/>
  <c r="L89" i="4" s="1"/>
  <c r="L88" i="4" s="1"/>
  <c r="L87" i="4" s="1"/>
  <c r="L86" i="4" s="1"/>
  <c r="L85" i="4" s="1"/>
  <c r="L84" i="4" s="1"/>
  <c r="L83" i="4" s="1"/>
  <c r="L82" i="4" s="1"/>
  <c r="L81" i="4" s="1"/>
  <c r="L80" i="4" s="1"/>
  <c r="L79" i="4" s="1"/>
  <c r="L78" i="4" s="1"/>
  <c r="L77" i="4" s="1"/>
  <c r="L76" i="4" s="1"/>
  <c r="L75" i="4" s="1"/>
  <c r="L74" i="4" s="1"/>
  <c r="L73" i="4" s="1"/>
  <c r="L72" i="4" s="1"/>
  <c r="L71" i="4" s="1"/>
  <c r="L70" i="4" s="1"/>
  <c r="L69" i="4" s="1"/>
  <c r="L68" i="4" s="1"/>
  <c r="L67" i="4" s="1"/>
  <c r="L66" i="4" s="1"/>
  <c r="L65" i="4" s="1"/>
  <c r="L64" i="4" s="1"/>
  <c r="L63" i="4" s="1"/>
  <c r="L62" i="4" s="1"/>
  <c r="L61" i="4" s="1"/>
  <c r="L60" i="4" s="1"/>
  <c r="L59" i="4" s="1"/>
  <c r="L58" i="4" s="1"/>
  <c r="L57" i="4" s="1"/>
  <c r="L56" i="4" s="1"/>
  <c r="L55" i="4" s="1"/>
  <c r="L54" i="4" s="1"/>
  <c r="L53" i="4" s="1"/>
  <c r="L52" i="4" s="1"/>
  <c r="L51" i="4" s="1"/>
  <c r="L50" i="4" s="1"/>
  <c r="L49" i="4" s="1"/>
  <c r="L48" i="4" s="1"/>
  <c r="L47" i="4" s="1"/>
  <c r="L46" i="4" s="1"/>
  <c r="L45" i="4" s="1"/>
  <c r="L44" i="4" s="1"/>
  <c r="L43" i="4" s="1"/>
  <c r="L42" i="4" s="1"/>
  <c r="L41" i="4" s="1"/>
  <c r="L40" i="4" s="1"/>
  <c r="L39" i="4" s="1"/>
  <c r="L38" i="4" s="1"/>
  <c r="L37" i="4" s="1"/>
  <c r="L36" i="4" s="1"/>
  <c r="L35" i="4" s="1"/>
  <c r="L34" i="4" s="1"/>
  <c r="L33" i="4" s="1"/>
  <c r="L32" i="4" s="1"/>
  <c r="L31" i="4" s="1"/>
  <c r="L30" i="4" s="1"/>
  <c r="L29" i="4" s="1"/>
  <c r="L28" i="4" s="1"/>
  <c r="L27" i="4" s="1"/>
  <c r="L26" i="4" s="1"/>
  <c r="L25" i="4" s="1"/>
  <c r="L24" i="4" s="1"/>
  <c r="L23" i="4" s="1"/>
  <c r="L22" i="4" s="1"/>
  <c r="L21" i="4" s="1"/>
  <c r="L20" i="4" s="1"/>
  <c r="L19" i="4" s="1"/>
  <c r="L18" i="4" s="1"/>
  <c r="L17" i="4" s="1"/>
  <c r="L16" i="4" s="1"/>
  <c r="L15" i="4" s="1"/>
  <c r="L14" i="4" s="1"/>
  <c r="L13" i="4" s="1"/>
  <c r="L12" i="4" s="1"/>
  <c r="L11" i="4" s="1"/>
  <c r="L10" i="4" s="1"/>
  <c r="L9" i="4" s="1"/>
  <c r="L8" i="4" s="1"/>
  <c r="L7" i="4" s="1"/>
  <c r="L6" i="4" s="1"/>
  <c r="L5" i="4" s="1"/>
  <c r="L4" i="4" s="1"/>
  <c r="L3" i="4" s="1"/>
  <c r="O362" i="4"/>
  <c r="O361" i="4" s="1"/>
  <c r="O360" i="4" s="1"/>
  <c r="O359" i="4" s="1"/>
  <c r="O358" i="4" s="1"/>
  <c r="O357" i="4" s="1"/>
  <c r="O356" i="4" s="1"/>
  <c r="O355" i="4" s="1"/>
  <c r="O354" i="4" s="1"/>
  <c r="O353" i="4" s="1"/>
  <c r="O352" i="4" s="1"/>
  <c r="O351" i="4" s="1"/>
  <c r="O350" i="4" s="1"/>
  <c r="O349" i="4" s="1"/>
  <c r="O348" i="4" s="1"/>
  <c r="O347" i="4" s="1"/>
  <c r="O346" i="4" s="1"/>
  <c r="O345" i="4" s="1"/>
  <c r="O344" i="4" s="1"/>
  <c r="O343" i="4" s="1"/>
  <c r="O342" i="4" s="1"/>
  <c r="O341" i="4" s="1"/>
  <c r="O340" i="4" s="1"/>
  <c r="O339" i="4" s="1"/>
  <c r="O338" i="4" s="1"/>
  <c r="O337" i="4" s="1"/>
  <c r="O336" i="4" s="1"/>
  <c r="O335" i="4" s="1"/>
  <c r="O334" i="4" s="1"/>
  <c r="O333" i="4" s="1"/>
  <c r="O332" i="4" s="1"/>
  <c r="O331" i="4" s="1"/>
  <c r="O330" i="4" s="1"/>
  <c r="O329" i="4" s="1"/>
  <c r="O328" i="4" s="1"/>
  <c r="O327" i="4" s="1"/>
  <c r="O326" i="4" s="1"/>
  <c r="O325" i="4" s="1"/>
  <c r="O324" i="4" s="1"/>
  <c r="O323" i="4" s="1"/>
  <c r="O322" i="4" s="1"/>
  <c r="O321" i="4" s="1"/>
  <c r="O320" i="4" s="1"/>
  <c r="O319" i="4" s="1"/>
  <c r="O318" i="4" s="1"/>
  <c r="O317" i="4" s="1"/>
  <c r="O316" i="4" s="1"/>
  <c r="O315" i="4" s="1"/>
  <c r="O314" i="4" s="1"/>
  <c r="O313" i="4" s="1"/>
  <c r="O312" i="4" s="1"/>
  <c r="O311" i="4" s="1"/>
  <c r="O310" i="4" s="1"/>
  <c r="O309" i="4" s="1"/>
  <c r="O308" i="4" s="1"/>
  <c r="O307" i="4" s="1"/>
  <c r="O306" i="4" s="1"/>
  <c r="O305" i="4" s="1"/>
  <c r="O304" i="4" s="1"/>
  <c r="O303" i="4" s="1"/>
  <c r="O302" i="4" s="1"/>
  <c r="O301" i="4" s="1"/>
  <c r="O300" i="4" s="1"/>
  <c r="O299" i="4" s="1"/>
  <c r="O298" i="4" s="1"/>
  <c r="O297" i="4" s="1"/>
  <c r="O296" i="4" s="1"/>
  <c r="O295" i="4" s="1"/>
  <c r="O294" i="4" s="1"/>
  <c r="O293" i="4" s="1"/>
  <c r="O292" i="4" s="1"/>
  <c r="O291" i="4" s="1"/>
  <c r="O290" i="4" s="1"/>
  <c r="O289" i="4" s="1"/>
  <c r="O288" i="4" s="1"/>
  <c r="O287" i="4" s="1"/>
  <c r="O286" i="4" s="1"/>
  <c r="O285" i="4" s="1"/>
  <c r="O284" i="4" s="1"/>
  <c r="O283" i="4" s="1"/>
  <c r="O282" i="4" s="1"/>
  <c r="O281" i="4" s="1"/>
  <c r="O280" i="4" s="1"/>
  <c r="O279" i="4" s="1"/>
  <c r="O278" i="4" s="1"/>
  <c r="O277" i="4" s="1"/>
  <c r="O276" i="4" s="1"/>
  <c r="O275" i="4" s="1"/>
  <c r="O274" i="4" s="1"/>
  <c r="O273" i="4" s="1"/>
  <c r="O272" i="4" s="1"/>
  <c r="O271" i="4" s="1"/>
  <c r="O270" i="4" s="1"/>
  <c r="O269" i="4" s="1"/>
  <c r="O268" i="4" s="1"/>
  <c r="O267" i="4" s="1"/>
  <c r="O266" i="4" s="1"/>
  <c r="O265" i="4" s="1"/>
  <c r="O264" i="4" s="1"/>
  <c r="O263" i="4" s="1"/>
  <c r="O262" i="4" s="1"/>
  <c r="O261" i="4" s="1"/>
  <c r="O260" i="4" s="1"/>
  <c r="O259" i="4" s="1"/>
  <c r="O258" i="4" s="1"/>
  <c r="O257" i="4" s="1"/>
  <c r="O256" i="4" s="1"/>
  <c r="O255" i="4" s="1"/>
  <c r="O254" i="4" s="1"/>
  <c r="O253" i="4" s="1"/>
  <c r="O252" i="4" s="1"/>
  <c r="O251" i="4" s="1"/>
  <c r="O250" i="4" s="1"/>
  <c r="O249" i="4" s="1"/>
  <c r="O248" i="4" s="1"/>
  <c r="O247" i="4" s="1"/>
  <c r="O246" i="4" s="1"/>
  <c r="O245" i="4" s="1"/>
  <c r="O244" i="4" s="1"/>
  <c r="O243" i="4" s="1"/>
  <c r="O242" i="4" s="1"/>
  <c r="O241" i="4" s="1"/>
  <c r="O240" i="4" s="1"/>
  <c r="O239" i="4" s="1"/>
  <c r="O238" i="4" s="1"/>
  <c r="O237" i="4" s="1"/>
  <c r="O236" i="4" s="1"/>
  <c r="O235" i="4" s="1"/>
  <c r="O234" i="4" s="1"/>
  <c r="O233" i="4" s="1"/>
  <c r="O232" i="4" s="1"/>
  <c r="O231" i="4" s="1"/>
  <c r="O230" i="4" s="1"/>
  <c r="O229" i="4" s="1"/>
  <c r="O228" i="4" s="1"/>
  <c r="O227" i="4" s="1"/>
  <c r="O226" i="4" s="1"/>
  <c r="O225" i="4" s="1"/>
  <c r="O224" i="4" s="1"/>
  <c r="O223" i="4" s="1"/>
  <c r="O222" i="4" s="1"/>
  <c r="O221" i="4" s="1"/>
  <c r="O220" i="4" s="1"/>
  <c r="O219" i="4" s="1"/>
  <c r="O218" i="4" s="1"/>
  <c r="O217" i="4" s="1"/>
  <c r="O216" i="4" s="1"/>
  <c r="O215" i="4" s="1"/>
  <c r="O214" i="4" s="1"/>
  <c r="O213" i="4" s="1"/>
  <c r="O212" i="4" s="1"/>
  <c r="O211" i="4" s="1"/>
  <c r="O210" i="4" s="1"/>
  <c r="O209" i="4" s="1"/>
  <c r="O208" i="4" s="1"/>
  <c r="O207" i="4" s="1"/>
  <c r="O206" i="4" s="1"/>
  <c r="O205" i="4" s="1"/>
  <c r="O204" i="4" s="1"/>
  <c r="O203" i="4" s="1"/>
  <c r="O202" i="4" s="1"/>
  <c r="O201" i="4" s="1"/>
  <c r="O200" i="4" s="1"/>
  <c r="O199" i="4" s="1"/>
  <c r="O198" i="4" s="1"/>
  <c r="O197" i="4" s="1"/>
  <c r="O196" i="4" s="1"/>
  <c r="O195" i="4" s="1"/>
  <c r="O194" i="4" s="1"/>
  <c r="O193" i="4" s="1"/>
  <c r="O192" i="4" s="1"/>
  <c r="O191" i="4" s="1"/>
  <c r="O190" i="4" s="1"/>
  <c r="O189" i="4" s="1"/>
  <c r="O188" i="4" s="1"/>
  <c r="O187" i="4" s="1"/>
  <c r="O186" i="4" s="1"/>
  <c r="O185" i="4" s="1"/>
  <c r="O184" i="4" s="1"/>
  <c r="O183" i="4" s="1"/>
  <c r="O182" i="4" s="1"/>
  <c r="O181" i="4" s="1"/>
  <c r="O180" i="4" s="1"/>
  <c r="O179" i="4" s="1"/>
  <c r="O178" i="4" s="1"/>
  <c r="O177" i="4" s="1"/>
  <c r="O176" i="4" s="1"/>
  <c r="O175" i="4" s="1"/>
  <c r="O174" i="4" s="1"/>
  <c r="O173" i="4" s="1"/>
  <c r="O172" i="4" s="1"/>
  <c r="O171" i="4" s="1"/>
  <c r="O170" i="4" s="1"/>
  <c r="O169" i="4" s="1"/>
  <c r="O168" i="4" s="1"/>
  <c r="O167" i="4" s="1"/>
  <c r="O166" i="4" s="1"/>
  <c r="O165" i="4" s="1"/>
  <c r="O164" i="4" s="1"/>
  <c r="O163" i="4" s="1"/>
  <c r="O162" i="4" s="1"/>
  <c r="O161" i="4" s="1"/>
  <c r="O160" i="4" s="1"/>
  <c r="O159" i="4" s="1"/>
  <c r="O158" i="4" s="1"/>
  <c r="O157" i="4" s="1"/>
  <c r="O156" i="4" s="1"/>
  <c r="O155" i="4" s="1"/>
  <c r="O154" i="4" s="1"/>
  <c r="O153" i="4" s="1"/>
  <c r="O152" i="4" s="1"/>
  <c r="O151" i="4" s="1"/>
  <c r="O150" i="4" s="1"/>
  <c r="O149" i="4" s="1"/>
  <c r="O148" i="4" s="1"/>
  <c r="O147" i="4" s="1"/>
  <c r="O146" i="4" s="1"/>
  <c r="O145" i="4" s="1"/>
  <c r="O144" i="4" s="1"/>
  <c r="O143" i="4" s="1"/>
  <c r="O142" i="4" s="1"/>
  <c r="O141" i="4" s="1"/>
  <c r="O140" i="4" s="1"/>
  <c r="O139" i="4" s="1"/>
  <c r="O138" i="4" s="1"/>
  <c r="O137" i="4" s="1"/>
  <c r="O136" i="4" s="1"/>
  <c r="O135" i="4" s="1"/>
  <c r="O134" i="4" s="1"/>
  <c r="O133" i="4" s="1"/>
  <c r="O132" i="4" s="1"/>
  <c r="O131" i="4" s="1"/>
  <c r="O130" i="4" s="1"/>
  <c r="O129" i="4" s="1"/>
  <c r="O128" i="4" s="1"/>
  <c r="O127" i="4" s="1"/>
  <c r="O126" i="4" s="1"/>
  <c r="O125" i="4" s="1"/>
  <c r="O124" i="4" s="1"/>
  <c r="O123" i="4" s="1"/>
  <c r="O122" i="4" s="1"/>
  <c r="O121" i="4" s="1"/>
  <c r="O120" i="4" s="1"/>
  <c r="O119" i="4" s="1"/>
  <c r="O118" i="4" s="1"/>
  <c r="O117" i="4" s="1"/>
  <c r="O116" i="4" s="1"/>
  <c r="O115" i="4" s="1"/>
  <c r="O114" i="4" s="1"/>
  <c r="O113" i="4" s="1"/>
  <c r="O112" i="4" s="1"/>
  <c r="O111" i="4" s="1"/>
  <c r="O110" i="4" s="1"/>
  <c r="O109" i="4" s="1"/>
  <c r="O108" i="4" s="1"/>
  <c r="O107" i="4" s="1"/>
  <c r="O106" i="4" s="1"/>
  <c r="O105" i="4" s="1"/>
  <c r="O104" i="4" s="1"/>
  <c r="O103" i="4" s="1"/>
  <c r="O102" i="4" s="1"/>
  <c r="O101" i="4" s="1"/>
  <c r="O100" i="4" s="1"/>
  <c r="O99" i="4" s="1"/>
  <c r="O98" i="4" s="1"/>
  <c r="O97" i="4" s="1"/>
  <c r="O96" i="4" s="1"/>
  <c r="O95" i="4" s="1"/>
  <c r="O94" i="4" s="1"/>
  <c r="O93" i="4" s="1"/>
  <c r="O92" i="4" s="1"/>
  <c r="O91" i="4" s="1"/>
  <c r="O90" i="4" s="1"/>
  <c r="O89" i="4" s="1"/>
  <c r="O88" i="4" s="1"/>
  <c r="O87" i="4" s="1"/>
  <c r="O86" i="4" s="1"/>
  <c r="O85" i="4" s="1"/>
  <c r="O84" i="4" s="1"/>
  <c r="O83" i="4" s="1"/>
  <c r="O82" i="4" s="1"/>
  <c r="O81" i="4" s="1"/>
  <c r="O80" i="4" s="1"/>
  <c r="O79" i="4" s="1"/>
  <c r="O78" i="4" s="1"/>
  <c r="O77" i="4" s="1"/>
  <c r="O76" i="4" s="1"/>
  <c r="O75" i="4" s="1"/>
  <c r="O74" i="4" s="1"/>
  <c r="O73" i="4" s="1"/>
  <c r="O72" i="4" s="1"/>
  <c r="O71" i="4" s="1"/>
  <c r="O70" i="4" s="1"/>
  <c r="O69" i="4" s="1"/>
  <c r="O68" i="4" s="1"/>
  <c r="O67" i="4" s="1"/>
  <c r="O66" i="4" s="1"/>
  <c r="O65" i="4" s="1"/>
  <c r="O64" i="4" s="1"/>
  <c r="O63" i="4" s="1"/>
  <c r="O62" i="4" s="1"/>
  <c r="O61" i="4" s="1"/>
  <c r="O60" i="4" s="1"/>
  <c r="O59" i="4" s="1"/>
  <c r="O58" i="4" s="1"/>
  <c r="O57" i="4" s="1"/>
  <c r="O56" i="4" s="1"/>
  <c r="O55" i="4" s="1"/>
  <c r="O54" i="4" s="1"/>
  <c r="O53" i="4" s="1"/>
  <c r="O52" i="4" s="1"/>
  <c r="O51" i="4" s="1"/>
  <c r="O50" i="4" s="1"/>
  <c r="O49" i="4" s="1"/>
  <c r="O48" i="4" s="1"/>
  <c r="O47" i="4" s="1"/>
  <c r="O46" i="4" s="1"/>
  <c r="O45" i="4" s="1"/>
  <c r="O44" i="4" s="1"/>
  <c r="O43" i="4" s="1"/>
  <c r="O42" i="4" s="1"/>
  <c r="O41" i="4" s="1"/>
  <c r="O40" i="4" s="1"/>
  <c r="O39" i="4" s="1"/>
  <c r="O38" i="4" s="1"/>
  <c r="O37" i="4" s="1"/>
  <c r="O36" i="4" s="1"/>
  <c r="O35" i="4" s="1"/>
  <c r="O34" i="4" s="1"/>
  <c r="O33" i="4" s="1"/>
  <c r="O32" i="4" s="1"/>
  <c r="O31" i="4" s="1"/>
  <c r="O30" i="4" s="1"/>
  <c r="O29" i="4" s="1"/>
  <c r="O28" i="4" s="1"/>
  <c r="O27" i="4" s="1"/>
  <c r="O26" i="4" s="1"/>
  <c r="O25" i="4" s="1"/>
  <c r="O24" i="4" s="1"/>
  <c r="O23" i="4" s="1"/>
  <c r="O22" i="4" s="1"/>
  <c r="O21" i="4" s="1"/>
  <c r="O20" i="4" s="1"/>
  <c r="O19" i="4" s="1"/>
  <c r="O18" i="4" s="1"/>
  <c r="O17" i="4" s="1"/>
  <c r="O16" i="4" s="1"/>
  <c r="O15" i="4" s="1"/>
  <c r="O14" i="4" s="1"/>
  <c r="O13" i="4" s="1"/>
  <c r="O12" i="4" s="1"/>
  <c r="O11" i="4" s="1"/>
  <c r="O10" i="4" s="1"/>
  <c r="O9" i="4" s="1"/>
  <c r="O8" i="4" s="1"/>
  <c r="O7" i="4" s="1"/>
  <c r="O6" i="4" s="1"/>
  <c r="O5" i="4" s="1"/>
  <c r="O4" i="4" s="1"/>
  <c r="O3" i="4" s="1"/>
  <c r="P363" i="4"/>
  <c r="R363" i="4"/>
  <c r="G362" i="4"/>
  <c r="G361" i="4" s="1"/>
  <c r="G360" i="4" s="1"/>
  <c r="G359" i="4" s="1"/>
  <c r="G358" i="4" s="1"/>
  <c r="G357" i="4" s="1"/>
  <c r="G356" i="4" s="1"/>
  <c r="G355" i="4" s="1"/>
  <c r="G354" i="4" s="1"/>
  <c r="G353" i="4" s="1"/>
  <c r="G352" i="4" s="1"/>
  <c r="G351" i="4" s="1"/>
  <c r="G350" i="4" s="1"/>
  <c r="G349" i="4" s="1"/>
  <c r="G348" i="4" s="1"/>
  <c r="G347" i="4" s="1"/>
  <c r="G346" i="4" s="1"/>
  <c r="G345" i="4" s="1"/>
  <c r="G344" i="4" s="1"/>
  <c r="G343" i="4" s="1"/>
  <c r="G342" i="4" s="1"/>
  <c r="G341" i="4" s="1"/>
  <c r="G340" i="4" s="1"/>
  <c r="G339" i="4" s="1"/>
  <c r="G338" i="4" s="1"/>
  <c r="G337" i="4" s="1"/>
  <c r="G336" i="4" s="1"/>
  <c r="G335" i="4" s="1"/>
  <c r="G334" i="4" s="1"/>
  <c r="G333" i="4" s="1"/>
  <c r="G332" i="4" s="1"/>
  <c r="G331" i="4" s="1"/>
  <c r="G330" i="4" s="1"/>
  <c r="G329" i="4" s="1"/>
  <c r="G328" i="4" s="1"/>
  <c r="G327" i="4" s="1"/>
  <c r="G326" i="4" s="1"/>
  <c r="G325" i="4" s="1"/>
  <c r="G324" i="4" s="1"/>
  <c r="G323" i="4" s="1"/>
  <c r="G322" i="4" s="1"/>
  <c r="G321" i="4" s="1"/>
  <c r="G320" i="4" s="1"/>
  <c r="G319" i="4" s="1"/>
  <c r="G318" i="4" s="1"/>
  <c r="G317" i="4" s="1"/>
  <c r="G316" i="4" s="1"/>
  <c r="G315" i="4" s="1"/>
  <c r="G314" i="4" s="1"/>
  <c r="G313" i="4" s="1"/>
  <c r="G312" i="4" s="1"/>
  <c r="G311" i="4" s="1"/>
  <c r="G310" i="4" s="1"/>
  <c r="G309" i="4" s="1"/>
  <c r="G308" i="4" s="1"/>
  <c r="G307" i="4" s="1"/>
  <c r="G306" i="4" s="1"/>
  <c r="G305" i="4" s="1"/>
  <c r="G304" i="4" s="1"/>
  <c r="G303" i="4" s="1"/>
  <c r="G302" i="4" s="1"/>
  <c r="G301" i="4" s="1"/>
  <c r="G300" i="4" s="1"/>
  <c r="G299" i="4" s="1"/>
  <c r="G298" i="4" s="1"/>
  <c r="G297" i="4" s="1"/>
  <c r="G296" i="4" s="1"/>
  <c r="G295" i="4" s="1"/>
  <c r="G294" i="4" s="1"/>
  <c r="G293" i="4" s="1"/>
  <c r="G292" i="4" s="1"/>
  <c r="G291" i="4" s="1"/>
  <c r="G290" i="4" s="1"/>
  <c r="G289" i="4" s="1"/>
  <c r="G288" i="4" s="1"/>
  <c r="G287" i="4" s="1"/>
  <c r="G286" i="4" s="1"/>
  <c r="G285" i="4" s="1"/>
  <c r="G284" i="4" s="1"/>
  <c r="G283" i="4" s="1"/>
  <c r="G282" i="4" s="1"/>
  <c r="G281" i="4" s="1"/>
  <c r="G280" i="4" s="1"/>
  <c r="G279" i="4" s="1"/>
  <c r="G278" i="4" s="1"/>
  <c r="G277" i="4" s="1"/>
  <c r="G276" i="4" s="1"/>
  <c r="G275" i="4" s="1"/>
  <c r="G274" i="4" s="1"/>
  <c r="G273" i="4" s="1"/>
  <c r="G272" i="4" s="1"/>
  <c r="G271" i="4" s="1"/>
  <c r="G270" i="4" s="1"/>
  <c r="G269" i="4" s="1"/>
  <c r="G268" i="4" s="1"/>
  <c r="G267" i="4" s="1"/>
  <c r="G266" i="4" s="1"/>
  <c r="G265" i="4" s="1"/>
  <c r="G264" i="4" s="1"/>
  <c r="G263" i="4" s="1"/>
  <c r="G262" i="4" s="1"/>
  <c r="G261" i="4" s="1"/>
  <c r="G260" i="4" s="1"/>
  <c r="G259" i="4" s="1"/>
  <c r="G258" i="4" s="1"/>
  <c r="G257" i="4" s="1"/>
  <c r="G256" i="4" s="1"/>
  <c r="G255" i="4" s="1"/>
  <c r="G254" i="4" s="1"/>
  <c r="G253" i="4" s="1"/>
  <c r="G252" i="4" s="1"/>
  <c r="G251" i="4" s="1"/>
  <c r="G250" i="4" s="1"/>
  <c r="G249" i="4" s="1"/>
  <c r="G248" i="4" s="1"/>
  <c r="G247" i="4" s="1"/>
  <c r="G246" i="4" s="1"/>
  <c r="G245" i="4" s="1"/>
  <c r="G244" i="4" s="1"/>
  <c r="G243" i="4" s="1"/>
  <c r="G242" i="4" s="1"/>
  <c r="G241" i="4" s="1"/>
  <c r="G240" i="4" s="1"/>
  <c r="G239" i="4" s="1"/>
  <c r="G238" i="4" s="1"/>
  <c r="G237" i="4" s="1"/>
  <c r="G236" i="4" s="1"/>
  <c r="G235" i="4" s="1"/>
  <c r="G234" i="4" s="1"/>
  <c r="G233" i="4" s="1"/>
  <c r="G232" i="4" s="1"/>
  <c r="G231" i="4" s="1"/>
  <c r="G230" i="4" s="1"/>
  <c r="G229" i="4" s="1"/>
  <c r="G228" i="4" s="1"/>
  <c r="G227" i="4" s="1"/>
  <c r="G226" i="4" s="1"/>
  <c r="G225" i="4" s="1"/>
  <c r="G224" i="4" s="1"/>
  <c r="G223" i="4" s="1"/>
  <c r="G222" i="4" s="1"/>
  <c r="G221" i="4" s="1"/>
  <c r="G220" i="4" s="1"/>
  <c r="G219" i="4" s="1"/>
  <c r="G218" i="4" s="1"/>
  <c r="G217" i="4" s="1"/>
  <c r="G216" i="4" s="1"/>
  <c r="G215" i="4" s="1"/>
  <c r="G214" i="4" s="1"/>
  <c r="G213" i="4" s="1"/>
  <c r="G212" i="4" s="1"/>
  <c r="G211" i="4" s="1"/>
  <c r="G210" i="4" s="1"/>
  <c r="G209" i="4" s="1"/>
  <c r="G208" i="4" s="1"/>
  <c r="G207" i="4" s="1"/>
  <c r="G206" i="4" s="1"/>
  <c r="G205" i="4" s="1"/>
  <c r="G204" i="4" s="1"/>
  <c r="G203" i="4" s="1"/>
  <c r="G202" i="4" s="1"/>
  <c r="G201" i="4" s="1"/>
  <c r="G200" i="4" s="1"/>
  <c r="G199" i="4" s="1"/>
  <c r="G198" i="4" s="1"/>
  <c r="G197" i="4" s="1"/>
  <c r="G196" i="4" s="1"/>
  <c r="G195" i="4" s="1"/>
  <c r="G194" i="4" s="1"/>
  <c r="G193" i="4" s="1"/>
  <c r="G192" i="4" s="1"/>
  <c r="G191" i="4" s="1"/>
  <c r="G190" i="4" s="1"/>
  <c r="G189" i="4" s="1"/>
  <c r="G188" i="4" s="1"/>
  <c r="G187" i="4" s="1"/>
  <c r="G186" i="4" s="1"/>
  <c r="G185" i="4" s="1"/>
  <c r="G184" i="4" s="1"/>
  <c r="G183" i="4" s="1"/>
  <c r="G182" i="4" s="1"/>
  <c r="G181" i="4" s="1"/>
  <c r="G180" i="4" s="1"/>
  <c r="G179" i="4" s="1"/>
  <c r="G178" i="4" s="1"/>
  <c r="G177" i="4" s="1"/>
  <c r="G176" i="4" s="1"/>
  <c r="G175" i="4" s="1"/>
  <c r="G174" i="4" s="1"/>
  <c r="G173" i="4" s="1"/>
  <c r="G172" i="4" s="1"/>
  <c r="G171" i="4" s="1"/>
  <c r="G170" i="4" s="1"/>
  <c r="G169" i="4" s="1"/>
  <c r="G168" i="4" s="1"/>
  <c r="G167" i="4" s="1"/>
  <c r="G166" i="4" s="1"/>
  <c r="G165" i="4" s="1"/>
  <c r="G164" i="4" s="1"/>
  <c r="G163" i="4" s="1"/>
  <c r="G162" i="4" s="1"/>
  <c r="G161" i="4" s="1"/>
  <c r="G160" i="4" s="1"/>
  <c r="G159" i="4" s="1"/>
  <c r="G158" i="4" s="1"/>
  <c r="G157" i="4" s="1"/>
  <c r="G156" i="4" s="1"/>
  <c r="G155" i="4" s="1"/>
  <c r="G154" i="4" s="1"/>
  <c r="G153" i="4" s="1"/>
  <c r="G152" i="4" s="1"/>
  <c r="G151" i="4" s="1"/>
  <c r="G150" i="4" s="1"/>
  <c r="G149" i="4" s="1"/>
  <c r="G148" i="4" s="1"/>
  <c r="G147" i="4" s="1"/>
  <c r="G146" i="4" s="1"/>
  <c r="G145" i="4" s="1"/>
  <c r="G144" i="4" s="1"/>
  <c r="G143" i="4" s="1"/>
  <c r="G142" i="4" s="1"/>
  <c r="G141" i="4" s="1"/>
  <c r="G140" i="4" s="1"/>
  <c r="G139" i="4" s="1"/>
  <c r="G138" i="4" s="1"/>
  <c r="G137" i="4" s="1"/>
  <c r="G136" i="4" s="1"/>
  <c r="G135" i="4" s="1"/>
  <c r="G134" i="4" s="1"/>
  <c r="G133" i="4" s="1"/>
  <c r="G132" i="4" s="1"/>
  <c r="G131" i="4" s="1"/>
  <c r="G130" i="4" s="1"/>
  <c r="G129" i="4" s="1"/>
  <c r="G128" i="4" s="1"/>
  <c r="G127" i="4" s="1"/>
  <c r="G126" i="4" s="1"/>
  <c r="G125" i="4" s="1"/>
  <c r="G124" i="4" s="1"/>
  <c r="G123" i="4" s="1"/>
  <c r="G122" i="4" s="1"/>
  <c r="G121" i="4" s="1"/>
  <c r="G120" i="4" s="1"/>
  <c r="G119" i="4" s="1"/>
  <c r="G118" i="4" s="1"/>
  <c r="G117" i="4" s="1"/>
  <c r="G116" i="4" s="1"/>
  <c r="G115" i="4" s="1"/>
  <c r="G114" i="4" s="1"/>
  <c r="G113" i="4" s="1"/>
  <c r="G112" i="4" s="1"/>
  <c r="G111" i="4" s="1"/>
  <c r="G110" i="4" s="1"/>
  <c r="G109" i="4" s="1"/>
  <c r="G108" i="4" s="1"/>
  <c r="G107" i="4" s="1"/>
  <c r="G106" i="4" s="1"/>
  <c r="G105" i="4" s="1"/>
  <c r="G104" i="4" s="1"/>
  <c r="G103" i="4" s="1"/>
  <c r="G102" i="4" s="1"/>
  <c r="G101" i="4" s="1"/>
  <c r="G100" i="4" s="1"/>
  <c r="G99" i="4" s="1"/>
  <c r="G98" i="4" s="1"/>
  <c r="G97" i="4" s="1"/>
  <c r="G96" i="4" s="1"/>
  <c r="G95" i="4" s="1"/>
  <c r="G94" i="4" s="1"/>
  <c r="G93" i="4" s="1"/>
  <c r="G92" i="4" s="1"/>
  <c r="G91" i="4" s="1"/>
  <c r="G90" i="4" s="1"/>
  <c r="G89" i="4" s="1"/>
  <c r="G88" i="4" s="1"/>
  <c r="G87" i="4" s="1"/>
  <c r="G86" i="4" s="1"/>
  <c r="G85" i="4" s="1"/>
  <c r="G84" i="4" s="1"/>
  <c r="G83" i="4" s="1"/>
  <c r="G82" i="4" s="1"/>
  <c r="G81" i="4" s="1"/>
  <c r="G80" i="4" s="1"/>
  <c r="G79" i="4" s="1"/>
  <c r="G78" i="4" s="1"/>
  <c r="G77" i="4" s="1"/>
  <c r="G76" i="4" s="1"/>
  <c r="G75" i="4" s="1"/>
  <c r="G74" i="4" s="1"/>
  <c r="G73" i="4" s="1"/>
  <c r="G72" i="4" s="1"/>
  <c r="G71" i="4" s="1"/>
  <c r="G70" i="4" s="1"/>
  <c r="G69" i="4" s="1"/>
  <c r="G68" i="4" s="1"/>
  <c r="G67" i="4" s="1"/>
  <c r="G66" i="4" s="1"/>
  <c r="G65" i="4" s="1"/>
  <c r="G64" i="4" s="1"/>
  <c r="G63" i="4" s="1"/>
  <c r="G62" i="4" s="1"/>
  <c r="G61" i="4" s="1"/>
  <c r="G60" i="4" s="1"/>
  <c r="G59" i="4" s="1"/>
  <c r="G58" i="4" s="1"/>
  <c r="G57" i="4" s="1"/>
  <c r="G56" i="4" s="1"/>
  <c r="G55" i="4" s="1"/>
  <c r="G54" i="4" s="1"/>
  <c r="G53" i="4" s="1"/>
  <c r="G52" i="4" s="1"/>
  <c r="G51" i="4" s="1"/>
  <c r="G50" i="4" s="1"/>
  <c r="G49" i="4" s="1"/>
  <c r="G48" i="4" s="1"/>
  <c r="G47" i="4" s="1"/>
  <c r="G46" i="4" s="1"/>
  <c r="G45" i="4" s="1"/>
  <c r="G44" i="4" s="1"/>
  <c r="G43" i="4" s="1"/>
  <c r="G42" i="4" s="1"/>
  <c r="G41" i="4" s="1"/>
  <c r="G40" i="4" s="1"/>
  <c r="G39" i="4" s="1"/>
  <c r="G38" i="4" s="1"/>
  <c r="G37" i="4" s="1"/>
  <c r="G36" i="4" s="1"/>
  <c r="G35" i="4" s="1"/>
  <c r="G34" i="4" s="1"/>
  <c r="G33" i="4" s="1"/>
  <c r="G32" i="4" s="1"/>
  <c r="G31" i="4" s="1"/>
  <c r="G30" i="4" s="1"/>
  <c r="G29" i="4" s="1"/>
  <c r="G28" i="4" s="1"/>
  <c r="G27" i="4" s="1"/>
  <c r="G26" i="4" s="1"/>
  <c r="G25" i="4" s="1"/>
  <c r="G24" i="4" s="1"/>
  <c r="G23" i="4" s="1"/>
  <c r="G22" i="4" s="1"/>
  <c r="G21" i="4" s="1"/>
  <c r="G20" i="4" s="1"/>
  <c r="G19" i="4" s="1"/>
  <c r="G18" i="4" s="1"/>
  <c r="G17" i="4" s="1"/>
  <c r="G16" i="4" s="1"/>
  <c r="G15" i="4" s="1"/>
  <c r="G14" i="4" s="1"/>
  <c r="G13" i="4" s="1"/>
  <c r="G12" i="4" s="1"/>
  <c r="G11" i="4" s="1"/>
  <c r="G10" i="4" s="1"/>
  <c r="G9" i="4" s="1"/>
  <c r="G8" i="4" s="1"/>
  <c r="G7" i="4" s="1"/>
  <c r="G6" i="4" s="1"/>
  <c r="G5" i="4" s="1"/>
  <c r="G4" i="4" s="1"/>
  <c r="G3" i="4" s="1"/>
  <c r="J363" i="4"/>
  <c r="Q362" i="4"/>
  <c r="Q361" i="4" s="1"/>
  <c r="Q360" i="4" s="1"/>
  <c r="Q359" i="4" s="1"/>
  <c r="Q358" i="4" s="1"/>
  <c r="Q357" i="4" s="1"/>
  <c r="Q356" i="4" s="1"/>
  <c r="Q355" i="4" s="1"/>
  <c r="Q354" i="4" s="1"/>
  <c r="Q353" i="4" s="1"/>
  <c r="Q352" i="4" s="1"/>
  <c r="Q351" i="4" s="1"/>
  <c r="Q350" i="4" s="1"/>
  <c r="Q349" i="4" s="1"/>
  <c r="Q348" i="4" s="1"/>
  <c r="Q347" i="4" s="1"/>
  <c r="Q346" i="4" s="1"/>
  <c r="Q345" i="4" s="1"/>
  <c r="Q344" i="4" s="1"/>
  <c r="Q343" i="4" s="1"/>
  <c r="Q342" i="4" s="1"/>
  <c r="Q341" i="4" s="1"/>
  <c r="Q340" i="4" s="1"/>
  <c r="Q339" i="4" s="1"/>
  <c r="Q338" i="4" s="1"/>
  <c r="Q337" i="4" s="1"/>
  <c r="Q336" i="4" s="1"/>
  <c r="Q335" i="4" s="1"/>
  <c r="Q334" i="4" s="1"/>
  <c r="Q333" i="4" s="1"/>
  <c r="Q332" i="4" s="1"/>
  <c r="Q331" i="4" s="1"/>
  <c r="Q330" i="4" s="1"/>
  <c r="Q329" i="4" s="1"/>
  <c r="Q328" i="4" s="1"/>
  <c r="Q327" i="4" s="1"/>
  <c r="Q326" i="4" s="1"/>
  <c r="Q325" i="4" s="1"/>
  <c r="Q324" i="4" s="1"/>
  <c r="Q323" i="4" s="1"/>
  <c r="Q322" i="4" s="1"/>
  <c r="Q321" i="4" s="1"/>
  <c r="Q320" i="4" s="1"/>
  <c r="Q319" i="4" s="1"/>
  <c r="Q318" i="4" s="1"/>
  <c r="Q317" i="4" s="1"/>
  <c r="Q316" i="4" s="1"/>
  <c r="Q315" i="4" s="1"/>
  <c r="Q314" i="4" s="1"/>
  <c r="Q313" i="4" s="1"/>
  <c r="Q312" i="4" s="1"/>
  <c r="Q311" i="4" s="1"/>
  <c r="Q310" i="4" s="1"/>
  <c r="Q309" i="4" s="1"/>
  <c r="Q308" i="4" s="1"/>
  <c r="Q307" i="4" s="1"/>
  <c r="Q306" i="4" s="1"/>
  <c r="Q305" i="4" s="1"/>
  <c r="Q304" i="4" s="1"/>
  <c r="Q303" i="4" s="1"/>
  <c r="Q302" i="4" s="1"/>
  <c r="Q301" i="4" s="1"/>
  <c r="Q300" i="4" s="1"/>
  <c r="Q299" i="4" s="1"/>
  <c r="Q298" i="4" s="1"/>
  <c r="Q297" i="4" s="1"/>
  <c r="Q296" i="4" s="1"/>
  <c r="Q295" i="4" s="1"/>
  <c r="Q294" i="4" s="1"/>
  <c r="Q293" i="4" s="1"/>
  <c r="Q292" i="4" s="1"/>
  <c r="Q291" i="4" s="1"/>
  <c r="Q290" i="4" s="1"/>
  <c r="Q289" i="4" s="1"/>
  <c r="Q288" i="4" s="1"/>
  <c r="Q287" i="4" s="1"/>
  <c r="Q286" i="4" s="1"/>
  <c r="Q285" i="4" s="1"/>
  <c r="Q284" i="4" s="1"/>
  <c r="Q283" i="4" s="1"/>
  <c r="Q282" i="4" s="1"/>
  <c r="Q281" i="4" s="1"/>
  <c r="Q280" i="4" s="1"/>
  <c r="Q279" i="4" s="1"/>
  <c r="Q278" i="4" s="1"/>
  <c r="Q277" i="4" s="1"/>
  <c r="Q276" i="4" s="1"/>
  <c r="Q275" i="4" s="1"/>
  <c r="Q274" i="4" s="1"/>
  <c r="Q273" i="4" s="1"/>
  <c r="Q272" i="4" s="1"/>
  <c r="Q271" i="4" s="1"/>
  <c r="Q270" i="4" s="1"/>
  <c r="Q269" i="4" s="1"/>
  <c r="Q268" i="4" s="1"/>
  <c r="Q267" i="4" s="1"/>
  <c r="Q266" i="4" s="1"/>
  <c r="Q265" i="4" s="1"/>
  <c r="Q264" i="4" s="1"/>
  <c r="Q263" i="4" s="1"/>
  <c r="Q262" i="4" s="1"/>
  <c r="Q261" i="4" s="1"/>
  <c r="Q260" i="4" s="1"/>
  <c r="Q259" i="4" s="1"/>
  <c r="Q258" i="4" s="1"/>
  <c r="Q257" i="4" s="1"/>
  <c r="Q256" i="4" s="1"/>
  <c r="Q255" i="4" s="1"/>
  <c r="Q254" i="4" s="1"/>
  <c r="Q253" i="4" s="1"/>
  <c r="Q252" i="4" s="1"/>
  <c r="Q251" i="4" s="1"/>
  <c r="Q250" i="4" s="1"/>
  <c r="Q249" i="4" s="1"/>
  <c r="Q248" i="4" s="1"/>
  <c r="Q247" i="4" s="1"/>
  <c r="Q246" i="4" s="1"/>
  <c r="Q245" i="4" s="1"/>
  <c r="Q244" i="4" s="1"/>
  <c r="Q243" i="4" s="1"/>
  <c r="Q242" i="4" s="1"/>
  <c r="Q241" i="4" s="1"/>
  <c r="Q240" i="4" s="1"/>
  <c r="Q239" i="4" s="1"/>
  <c r="Q238" i="4" s="1"/>
  <c r="Q237" i="4" s="1"/>
  <c r="Q236" i="4" s="1"/>
  <c r="Q235" i="4" s="1"/>
  <c r="Q234" i="4" s="1"/>
  <c r="Q233" i="4" s="1"/>
  <c r="Q232" i="4" s="1"/>
  <c r="Q231" i="4" s="1"/>
  <c r="Q230" i="4" s="1"/>
  <c r="Q229" i="4" s="1"/>
  <c r="Q228" i="4" s="1"/>
  <c r="Q227" i="4" s="1"/>
  <c r="Q226" i="4" s="1"/>
  <c r="Q225" i="4" s="1"/>
  <c r="Q224" i="4" s="1"/>
  <c r="Q223" i="4" s="1"/>
  <c r="Q222" i="4" s="1"/>
  <c r="Q221" i="4" s="1"/>
  <c r="Q220" i="4" s="1"/>
  <c r="Q219" i="4" s="1"/>
  <c r="Q218" i="4" s="1"/>
  <c r="Q217" i="4" s="1"/>
  <c r="Q216" i="4" s="1"/>
  <c r="Q215" i="4" s="1"/>
  <c r="Q214" i="4" s="1"/>
  <c r="Q213" i="4" s="1"/>
  <c r="Q212" i="4" s="1"/>
  <c r="Q211" i="4" s="1"/>
  <c r="Q210" i="4" s="1"/>
  <c r="Q209" i="4" s="1"/>
  <c r="Q208" i="4" s="1"/>
  <c r="Q207" i="4" s="1"/>
  <c r="Q206" i="4" s="1"/>
  <c r="Q205" i="4" s="1"/>
  <c r="Q204" i="4" s="1"/>
  <c r="Q203" i="4" s="1"/>
  <c r="Q202" i="4" s="1"/>
  <c r="Q201" i="4" s="1"/>
  <c r="Q200" i="4" s="1"/>
  <c r="Q199" i="4" s="1"/>
  <c r="Q198" i="4" s="1"/>
  <c r="Q197" i="4" s="1"/>
  <c r="Q196" i="4" s="1"/>
  <c r="Q195" i="4" s="1"/>
  <c r="Q194" i="4" s="1"/>
  <c r="Q193" i="4" s="1"/>
  <c r="Q192" i="4" s="1"/>
  <c r="Q191" i="4" s="1"/>
  <c r="Q190" i="4" s="1"/>
  <c r="Q189" i="4" s="1"/>
  <c r="Q188" i="4" s="1"/>
  <c r="Q187" i="4" s="1"/>
  <c r="Q186" i="4" s="1"/>
  <c r="Q185" i="4" s="1"/>
  <c r="Q184" i="4" s="1"/>
  <c r="Q183" i="4" s="1"/>
  <c r="Q182" i="4" s="1"/>
  <c r="Q181" i="4" s="1"/>
  <c r="Q180" i="4" s="1"/>
  <c r="Q179" i="4" s="1"/>
  <c r="Q178" i="4" s="1"/>
  <c r="Q177" i="4" s="1"/>
  <c r="Q176" i="4" s="1"/>
  <c r="Q175" i="4" s="1"/>
  <c r="Q174" i="4" s="1"/>
  <c r="Q173" i="4" s="1"/>
  <c r="Q172" i="4" s="1"/>
  <c r="Q171" i="4" s="1"/>
  <c r="Q170" i="4" s="1"/>
  <c r="Q169" i="4" s="1"/>
  <c r="Q168" i="4" s="1"/>
  <c r="Q167" i="4" s="1"/>
  <c r="Q166" i="4" s="1"/>
  <c r="Q165" i="4" s="1"/>
  <c r="Q164" i="4" s="1"/>
  <c r="Q163" i="4" s="1"/>
  <c r="Q162" i="4" s="1"/>
  <c r="Q161" i="4" s="1"/>
  <c r="Q160" i="4" s="1"/>
  <c r="Q159" i="4" s="1"/>
  <c r="Q158" i="4" s="1"/>
  <c r="Q157" i="4" s="1"/>
  <c r="Q156" i="4" s="1"/>
  <c r="Q155" i="4" s="1"/>
  <c r="Q154" i="4" s="1"/>
  <c r="Q153" i="4" s="1"/>
  <c r="Q152" i="4" s="1"/>
  <c r="Q151" i="4" s="1"/>
  <c r="Q150" i="4" s="1"/>
  <c r="Q149" i="4" s="1"/>
  <c r="Q148" i="4" s="1"/>
  <c r="Q147" i="4" s="1"/>
  <c r="Q146" i="4" s="1"/>
  <c r="Q145" i="4" s="1"/>
  <c r="Q144" i="4" s="1"/>
  <c r="Q143" i="4" s="1"/>
  <c r="Q142" i="4" s="1"/>
  <c r="Q141" i="4" s="1"/>
  <c r="Q140" i="4" s="1"/>
  <c r="Q139" i="4" s="1"/>
  <c r="Q138" i="4" s="1"/>
  <c r="Q137" i="4" s="1"/>
  <c r="Q136" i="4" s="1"/>
  <c r="Q135" i="4" s="1"/>
  <c r="Q134" i="4" s="1"/>
  <c r="Q133" i="4" s="1"/>
  <c r="Q132" i="4" s="1"/>
  <c r="Q131" i="4" s="1"/>
  <c r="Q130" i="4" s="1"/>
  <c r="Q129" i="4" s="1"/>
  <c r="Q128" i="4" s="1"/>
  <c r="Q127" i="4" s="1"/>
  <c r="Q126" i="4" s="1"/>
  <c r="Q125" i="4" s="1"/>
  <c r="Q124" i="4" s="1"/>
  <c r="Q123" i="4" s="1"/>
  <c r="Q122" i="4" s="1"/>
  <c r="Q121" i="4" s="1"/>
  <c r="Q120" i="4" s="1"/>
  <c r="Q119" i="4" s="1"/>
  <c r="Q118" i="4" s="1"/>
  <c r="Q117" i="4" s="1"/>
  <c r="Q116" i="4" s="1"/>
  <c r="Q115" i="4" s="1"/>
  <c r="Q114" i="4" s="1"/>
  <c r="Q113" i="4" s="1"/>
  <c r="Q112" i="4" s="1"/>
  <c r="Q111" i="4" s="1"/>
  <c r="Q110" i="4" s="1"/>
  <c r="Q109" i="4" s="1"/>
  <c r="Q108" i="4" s="1"/>
  <c r="Q107" i="4" s="1"/>
  <c r="Q106" i="4" s="1"/>
  <c r="Q105" i="4" s="1"/>
  <c r="Q104" i="4" s="1"/>
  <c r="Q103" i="4" s="1"/>
  <c r="Q102" i="4" s="1"/>
  <c r="Q101" i="4" s="1"/>
  <c r="Q100" i="4" s="1"/>
  <c r="Q99" i="4" s="1"/>
  <c r="Q98" i="4" s="1"/>
  <c r="Q97" i="4" s="1"/>
  <c r="Q96" i="4" s="1"/>
  <c r="Q95" i="4" s="1"/>
  <c r="Q94" i="4" s="1"/>
  <c r="Q93" i="4" s="1"/>
  <c r="Q92" i="4" s="1"/>
  <c r="Q91" i="4" s="1"/>
  <c r="Q90" i="4" s="1"/>
  <c r="Q89" i="4" s="1"/>
  <c r="Q88" i="4" s="1"/>
  <c r="Q87" i="4" s="1"/>
  <c r="Q86" i="4" s="1"/>
  <c r="Q85" i="4" s="1"/>
  <c r="Q84" i="4" s="1"/>
  <c r="Q83" i="4" s="1"/>
  <c r="Q82" i="4" s="1"/>
  <c r="Q81" i="4" s="1"/>
  <c r="Q80" i="4" s="1"/>
  <c r="Q79" i="4" s="1"/>
  <c r="Q78" i="4" s="1"/>
  <c r="Q77" i="4" s="1"/>
  <c r="Q76" i="4" s="1"/>
  <c r="Q75" i="4" s="1"/>
  <c r="Q74" i="4" s="1"/>
  <c r="Q73" i="4" s="1"/>
  <c r="Q72" i="4" s="1"/>
  <c r="Q71" i="4" s="1"/>
  <c r="Q70" i="4" s="1"/>
  <c r="Q69" i="4" s="1"/>
  <c r="Q68" i="4" s="1"/>
  <c r="Q67" i="4" s="1"/>
  <c r="Q66" i="4" s="1"/>
  <c r="Q65" i="4" s="1"/>
  <c r="Q64" i="4" s="1"/>
  <c r="Q63" i="4" s="1"/>
  <c r="Q62" i="4" s="1"/>
  <c r="Q61" i="4" s="1"/>
  <c r="Q60" i="4" s="1"/>
  <c r="Q59" i="4" s="1"/>
  <c r="Q58" i="4" s="1"/>
  <c r="Q57" i="4" s="1"/>
  <c r="Q56" i="4" s="1"/>
  <c r="Q55" i="4" s="1"/>
  <c r="Q54" i="4" s="1"/>
  <c r="Q53" i="4" s="1"/>
  <c r="Q52" i="4" s="1"/>
  <c r="Q51" i="4" s="1"/>
  <c r="Q50" i="4" s="1"/>
  <c r="Q49" i="4" s="1"/>
  <c r="Q48" i="4" s="1"/>
  <c r="Q47" i="4" s="1"/>
  <c r="Q46" i="4" s="1"/>
  <c r="Q45" i="4" s="1"/>
  <c r="Q44" i="4" s="1"/>
  <c r="Q43" i="4" s="1"/>
  <c r="Q42" i="4" s="1"/>
  <c r="Q41" i="4" s="1"/>
  <c r="Q40" i="4" s="1"/>
  <c r="Q39" i="4" s="1"/>
  <c r="Q38" i="4" s="1"/>
  <c r="Q37" i="4" s="1"/>
  <c r="Q36" i="4" s="1"/>
  <c r="Q35" i="4" s="1"/>
  <c r="Q34" i="4" s="1"/>
  <c r="Q33" i="4" s="1"/>
  <c r="Q32" i="4" s="1"/>
  <c r="Q31" i="4" s="1"/>
  <c r="Q30" i="4" s="1"/>
  <c r="Q29" i="4" s="1"/>
  <c r="Q28" i="4" s="1"/>
  <c r="Q27" i="4" s="1"/>
  <c r="Q26" i="4" s="1"/>
  <c r="Q25" i="4" s="1"/>
  <c r="Q24" i="4" s="1"/>
  <c r="Q23" i="4" s="1"/>
  <c r="Q22" i="4" s="1"/>
  <c r="Q21" i="4" s="1"/>
  <c r="Q20" i="4" s="1"/>
  <c r="Q19" i="4" s="1"/>
  <c r="Q18" i="4" s="1"/>
  <c r="Q17" i="4" s="1"/>
  <c r="Q16" i="4" s="1"/>
  <c r="Q15" i="4" s="1"/>
  <c r="Q14" i="4" s="1"/>
  <c r="Q13" i="4" s="1"/>
  <c r="Q12" i="4" s="1"/>
  <c r="Q11" i="4" s="1"/>
  <c r="Q10" i="4" s="1"/>
  <c r="Q9" i="4" s="1"/>
  <c r="Q8" i="4" s="1"/>
  <c r="Q7" i="4" s="1"/>
  <c r="Q6" i="4" s="1"/>
  <c r="Q5" i="4" s="1"/>
  <c r="Q4" i="4" s="1"/>
  <c r="Q3" i="4" s="1"/>
  <c r="T363" i="4"/>
  <c r="L156" i="2"/>
  <c r="L157" i="2"/>
  <c r="O166" i="2" l="1"/>
  <c r="O171" i="2" s="1"/>
  <c r="H174" i="2"/>
  <c r="O167" i="2" s="1"/>
  <c r="I174" i="2"/>
  <c r="O168" i="2" s="1"/>
  <c r="I45" i="2"/>
  <c r="L105" i="2"/>
  <c r="I131" i="2"/>
  <c r="O125" i="2" s="1"/>
  <c r="L98" i="2"/>
  <c r="L66" i="2"/>
  <c r="O70" i="2" s="1"/>
  <c r="F25" i="3" s="1"/>
  <c r="H45" i="2"/>
  <c r="O38" i="2" s="1"/>
  <c r="O61" i="2"/>
  <c r="L69" i="2"/>
  <c r="L62" i="2"/>
  <c r="O103" i="2"/>
  <c r="H131" i="2"/>
  <c r="O124" i="2" s="1"/>
  <c r="O123" i="2"/>
  <c r="L84" i="2"/>
  <c r="O88" i="2" s="1"/>
  <c r="J25" i="3" s="1"/>
  <c r="L236" i="2"/>
  <c r="L238" i="2" s="1"/>
  <c r="O232" i="2"/>
  <c r="L227" i="2"/>
  <c r="L234" i="2"/>
  <c r="L102" i="2"/>
  <c r="O235" i="2"/>
  <c r="F31" i="3" s="1"/>
  <c r="L235" i="2"/>
  <c r="L237" i="2" s="1"/>
  <c r="L271" i="2"/>
  <c r="O275" i="2" s="1"/>
  <c r="J31" i="3" s="1"/>
  <c r="L311" i="2"/>
  <c r="O315" i="2" s="1"/>
  <c r="N27" i="3" s="1"/>
  <c r="L351" i="2"/>
  <c r="L356" i="2" s="1"/>
  <c r="O215" i="2"/>
  <c r="B37" i="3" s="1"/>
  <c r="L331" i="2"/>
  <c r="L291" i="2"/>
  <c r="L251" i="2"/>
  <c r="L255" i="2" s="1"/>
  <c r="O151" i="2"/>
  <c r="O152" i="2"/>
  <c r="L327" i="2"/>
  <c r="O326" i="2"/>
  <c r="L334" i="2"/>
  <c r="L307" i="2"/>
  <c r="O306" i="2"/>
  <c r="L314" i="2"/>
  <c r="O252" i="2"/>
  <c r="L247" i="2"/>
  <c r="O246" i="2"/>
  <c r="L254" i="2"/>
  <c r="O212" i="2"/>
  <c r="L207" i="2"/>
  <c r="O206" i="2"/>
  <c r="L214" i="2"/>
  <c r="L216" i="2"/>
  <c r="L218" i="2" s="1"/>
  <c r="L215" i="2"/>
  <c r="L217" i="2" s="1"/>
  <c r="O272" i="2"/>
  <c r="L267" i="2"/>
  <c r="L274" i="2"/>
  <c r="O266" i="2"/>
  <c r="O292" i="2"/>
  <c r="L287" i="2"/>
  <c r="O286" i="2"/>
  <c r="L294" i="2"/>
  <c r="L347" i="2"/>
  <c r="L354" i="2"/>
  <c r="O346" i="2"/>
  <c r="L161" i="2"/>
  <c r="O155" i="2" s="1"/>
  <c r="L160" i="2"/>
  <c r="H150" i="2" s="1"/>
  <c r="S20" i="20" s="1"/>
  <c r="S363" i="4"/>
  <c r="P362" i="4"/>
  <c r="P361" i="4" s="1"/>
  <c r="P360" i="4" s="1"/>
  <c r="P359" i="4" s="1"/>
  <c r="P358" i="4" s="1"/>
  <c r="P357" i="4" s="1"/>
  <c r="P356" i="4" s="1"/>
  <c r="P355" i="4" s="1"/>
  <c r="P354" i="4" s="1"/>
  <c r="P353" i="4" s="1"/>
  <c r="P352" i="4" s="1"/>
  <c r="P351" i="4" s="1"/>
  <c r="P350" i="4" s="1"/>
  <c r="P349" i="4" s="1"/>
  <c r="P348" i="4" s="1"/>
  <c r="P347" i="4" s="1"/>
  <c r="P346" i="4" s="1"/>
  <c r="P345" i="4" s="1"/>
  <c r="P344" i="4" s="1"/>
  <c r="P343" i="4" s="1"/>
  <c r="P342" i="4" s="1"/>
  <c r="P341" i="4" s="1"/>
  <c r="P340" i="4" s="1"/>
  <c r="P339" i="4" s="1"/>
  <c r="P338" i="4" s="1"/>
  <c r="P337" i="4" s="1"/>
  <c r="P336" i="4" s="1"/>
  <c r="P335" i="4" s="1"/>
  <c r="P334" i="4" s="1"/>
  <c r="P333" i="4" s="1"/>
  <c r="P332" i="4" s="1"/>
  <c r="P331" i="4" s="1"/>
  <c r="P330" i="4" s="1"/>
  <c r="P329" i="4" s="1"/>
  <c r="P328" i="4" s="1"/>
  <c r="P327" i="4" s="1"/>
  <c r="P326" i="4" s="1"/>
  <c r="P325" i="4" s="1"/>
  <c r="P324" i="4" s="1"/>
  <c r="P323" i="4" s="1"/>
  <c r="P322" i="4" s="1"/>
  <c r="P321" i="4" s="1"/>
  <c r="P320" i="4" s="1"/>
  <c r="P319" i="4" s="1"/>
  <c r="P318" i="4" s="1"/>
  <c r="P317" i="4" s="1"/>
  <c r="P316" i="4" s="1"/>
  <c r="P315" i="4" s="1"/>
  <c r="P314" i="4" s="1"/>
  <c r="P313" i="4" s="1"/>
  <c r="P312" i="4" s="1"/>
  <c r="P311" i="4" s="1"/>
  <c r="P310" i="4" s="1"/>
  <c r="P309" i="4" s="1"/>
  <c r="P308" i="4" s="1"/>
  <c r="P307" i="4" s="1"/>
  <c r="P306" i="4" s="1"/>
  <c r="P305" i="4" s="1"/>
  <c r="P304" i="4" s="1"/>
  <c r="P303" i="4" s="1"/>
  <c r="P302" i="4" s="1"/>
  <c r="P301" i="4" s="1"/>
  <c r="P300" i="4" s="1"/>
  <c r="P299" i="4" s="1"/>
  <c r="P298" i="4" s="1"/>
  <c r="P297" i="4" s="1"/>
  <c r="P296" i="4" s="1"/>
  <c r="P295" i="4" s="1"/>
  <c r="P294" i="4" s="1"/>
  <c r="P293" i="4" s="1"/>
  <c r="P292" i="4" s="1"/>
  <c r="P291" i="4" s="1"/>
  <c r="P290" i="4" s="1"/>
  <c r="P289" i="4" s="1"/>
  <c r="P288" i="4" s="1"/>
  <c r="P287" i="4" s="1"/>
  <c r="P286" i="4" s="1"/>
  <c r="P285" i="4" s="1"/>
  <c r="P284" i="4" s="1"/>
  <c r="P283" i="4" s="1"/>
  <c r="P282" i="4" s="1"/>
  <c r="P281" i="4" s="1"/>
  <c r="P280" i="4" s="1"/>
  <c r="P279" i="4" s="1"/>
  <c r="P278" i="4" s="1"/>
  <c r="P277" i="4" s="1"/>
  <c r="P276" i="4" s="1"/>
  <c r="P275" i="4" s="1"/>
  <c r="P274" i="4" s="1"/>
  <c r="P273" i="4" s="1"/>
  <c r="P272" i="4" s="1"/>
  <c r="P271" i="4" s="1"/>
  <c r="P270" i="4" s="1"/>
  <c r="P269" i="4" s="1"/>
  <c r="P268" i="4" s="1"/>
  <c r="P267" i="4" s="1"/>
  <c r="P266" i="4" s="1"/>
  <c r="P265" i="4" s="1"/>
  <c r="P264" i="4" s="1"/>
  <c r="P263" i="4" s="1"/>
  <c r="P262" i="4" s="1"/>
  <c r="P261" i="4" s="1"/>
  <c r="P260" i="4" s="1"/>
  <c r="P259" i="4" s="1"/>
  <c r="P258" i="4" s="1"/>
  <c r="P257" i="4" s="1"/>
  <c r="P256" i="4" s="1"/>
  <c r="P255" i="4" s="1"/>
  <c r="P254" i="4" s="1"/>
  <c r="P253" i="4" s="1"/>
  <c r="P252" i="4" s="1"/>
  <c r="P251" i="4" s="1"/>
  <c r="P250" i="4" s="1"/>
  <c r="P249" i="4" s="1"/>
  <c r="P248" i="4" s="1"/>
  <c r="P247" i="4" s="1"/>
  <c r="P246" i="4" s="1"/>
  <c r="P245" i="4" s="1"/>
  <c r="P244" i="4" s="1"/>
  <c r="P243" i="4" s="1"/>
  <c r="P242" i="4" s="1"/>
  <c r="P241" i="4" s="1"/>
  <c r="P240" i="4" s="1"/>
  <c r="P239" i="4" s="1"/>
  <c r="P238" i="4" s="1"/>
  <c r="P237" i="4" s="1"/>
  <c r="P236" i="4" s="1"/>
  <c r="P235" i="4" s="1"/>
  <c r="P234" i="4" s="1"/>
  <c r="P233" i="4" s="1"/>
  <c r="P232" i="4" s="1"/>
  <c r="P231" i="4" s="1"/>
  <c r="P230" i="4" s="1"/>
  <c r="P229" i="4" s="1"/>
  <c r="P228" i="4" s="1"/>
  <c r="P227" i="4" s="1"/>
  <c r="P226" i="4" s="1"/>
  <c r="P225" i="4" s="1"/>
  <c r="P224" i="4" s="1"/>
  <c r="P223" i="4" s="1"/>
  <c r="P222" i="4" s="1"/>
  <c r="P221" i="4" s="1"/>
  <c r="P220" i="4" s="1"/>
  <c r="P219" i="4" s="1"/>
  <c r="P218" i="4" s="1"/>
  <c r="P217" i="4" s="1"/>
  <c r="P216" i="4" s="1"/>
  <c r="P215" i="4" s="1"/>
  <c r="P214" i="4" s="1"/>
  <c r="P213" i="4" s="1"/>
  <c r="P212" i="4" s="1"/>
  <c r="P211" i="4" s="1"/>
  <c r="P210" i="4" s="1"/>
  <c r="P209" i="4" s="1"/>
  <c r="P208" i="4" s="1"/>
  <c r="P207" i="4" s="1"/>
  <c r="P206" i="4" s="1"/>
  <c r="P205" i="4" s="1"/>
  <c r="P204" i="4" s="1"/>
  <c r="P203" i="4" s="1"/>
  <c r="P202" i="4" s="1"/>
  <c r="P201" i="4" s="1"/>
  <c r="P200" i="4" s="1"/>
  <c r="P199" i="4" s="1"/>
  <c r="P198" i="4" s="1"/>
  <c r="P197" i="4" s="1"/>
  <c r="P196" i="4" s="1"/>
  <c r="P195" i="4" s="1"/>
  <c r="P194" i="4" s="1"/>
  <c r="P193" i="4" s="1"/>
  <c r="P192" i="4" s="1"/>
  <c r="P191" i="4" s="1"/>
  <c r="P190" i="4" s="1"/>
  <c r="P189" i="4" s="1"/>
  <c r="P188" i="4" s="1"/>
  <c r="P187" i="4" s="1"/>
  <c r="P186" i="4" s="1"/>
  <c r="P185" i="4" s="1"/>
  <c r="P184" i="4" s="1"/>
  <c r="P183" i="4" s="1"/>
  <c r="P182" i="4" s="1"/>
  <c r="P181" i="4" s="1"/>
  <c r="P180" i="4" s="1"/>
  <c r="P179" i="4" s="1"/>
  <c r="P178" i="4" s="1"/>
  <c r="P177" i="4" s="1"/>
  <c r="P176" i="4" s="1"/>
  <c r="P175" i="4" s="1"/>
  <c r="P174" i="4" s="1"/>
  <c r="P173" i="4" s="1"/>
  <c r="P172" i="4" s="1"/>
  <c r="P171" i="4" s="1"/>
  <c r="P170" i="4" s="1"/>
  <c r="P169" i="4" s="1"/>
  <c r="P168" i="4" s="1"/>
  <c r="P167" i="4" s="1"/>
  <c r="P166" i="4" s="1"/>
  <c r="P165" i="4" s="1"/>
  <c r="P164" i="4" s="1"/>
  <c r="P163" i="4" s="1"/>
  <c r="P162" i="4" s="1"/>
  <c r="P161" i="4" s="1"/>
  <c r="P160" i="4" s="1"/>
  <c r="P159" i="4" s="1"/>
  <c r="P158" i="4" s="1"/>
  <c r="P157" i="4" s="1"/>
  <c r="P156" i="4" s="1"/>
  <c r="P155" i="4" s="1"/>
  <c r="P154" i="4" s="1"/>
  <c r="P153" i="4" s="1"/>
  <c r="P152" i="4" s="1"/>
  <c r="P151" i="4" s="1"/>
  <c r="P150" i="4" s="1"/>
  <c r="P149" i="4" s="1"/>
  <c r="P148" i="4" s="1"/>
  <c r="P147" i="4" s="1"/>
  <c r="P146" i="4" s="1"/>
  <c r="P145" i="4" s="1"/>
  <c r="P144" i="4" s="1"/>
  <c r="P143" i="4" s="1"/>
  <c r="P142" i="4" s="1"/>
  <c r="P141" i="4" s="1"/>
  <c r="P140" i="4" s="1"/>
  <c r="P139" i="4" s="1"/>
  <c r="P138" i="4" s="1"/>
  <c r="P137" i="4" s="1"/>
  <c r="P136" i="4" s="1"/>
  <c r="P135" i="4" s="1"/>
  <c r="P134" i="4" s="1"/>
  <c r="P133" i="4" s="1"/>
  <c r="P132" i="4" s="1"/>
  <c r="P131" i="4" s="1"/>
  <c r="P130" i="4" s="1"/>
  <c r="P129" i="4" s="1"/>
  <c r="P128" i="4" s="1"/>
  <c r="P127" i="4" s="1"/>
  <c r="P126" i="4" s="1"/>
  <c r="P125" i="4" s="1"/>
  <c r="P124" i="4" s="1"/>
  <c r="P123" i="4" s="1"/>
  <c r="P122" i="4" s="1"/>
  <c r="P121" i="4" s="1"/>
  <c r="P120" i="4" s="1"/>
  <c r="P119" i="4" s="1"/>
  <c r="P118" i="4" s="1"/>
  <c r="P117" i="4" s="1"/>
  <c r="P116" i="4" s="1"/>
  <c r="P115" i="4" s="1"/>
  <c r="P114" i="4" s="1"/>
  <c r="P113" i="4" s="1"/>
  <c r="P112" i="4" s="1"/>
  <c r="P111" i="4" s="1"/>
  <c r="P110" i="4" s="1"/>
  <c r="P109" i="4" s="1"/>
  <c r="P108" i="4" s="1"/>
  <c r="P107" i="4" s="1"/>
  <c r="P106" i="4" s="1"/>
  <c r="P105" i="4" s="1"/>
  <c r="P104" i="4" s="1"/>
  <c r="P103" i="4" s="1"/>
  <c r="P102" i="4" s="1"/>
  <c r="P101" i="4" s="1"/>
  <c r="P100" i="4" s="1"/>
  <c r="P99" i="4" s="1"/>
  <c r="P98" i="4" s="1"/>
  <c r="P97" i="4" s="1"/>
  <c r="P96" i="4" s="1"/>
  <c r="P95" i="4" s="1"/>
  <c r="P94" i="4" s="1"/>
  <c r="P93" i="4" s="1"/>
  <c r="P92" i="4" s="1"/>
  <c r="P91" i="4" s="1"/>
  <c r="P90" i="4" s="1"/>
  <c r="P89" i="4" s="1"/>
  <c r="P88" i="4" s="1"/>
  <c r="P87" i="4" s="1"/>
  <c r="P86" i="4" s="1"/>
  <c r="P85" i="4" s="1"/>
  <c r="P84" i="4" s="1"/>
  <c r="P83" i="4" s="1"/>
  <c r="P82" i="4" s="1"/>
  <c r="P81" i="4" s="1"/>
  <c r="P80" i="4" s="1"/>
  <c r="P79" i="4" s="1"/>
  <c r="P78" i="4" s="1"/>
  <c r="P77" i="4" s="1"/>
  <c r="P76" i="4" s="1"/>
  <c r="P75" i="4" s="1"/>
  <c r="P74" i="4" s="1"/>
  <c r="P73" i="4" s="1"/>
  <c r="P72" i="4" s="1"/>
  <c r="P71" i="4" s="1"/>
  <c r="P70" i="4" s="1"/>
  <c r="P69" i="4" s="1"/>
  <c r="P68" i="4" s="1"/>
  <c r="P67" i="4" s="1"/>
  <c r="P66" i="4" s="1"/>
  <c r="P65" i="4" s="1"/>
  <c r="P64" i="4" s="1"/>
  <c r="P63" i="4" s="1"/>
  <c r="P62" i="4" s="1"/>
  <c r="P61" i="4" s="1"/>
  <c r="P60" i="4" s="1"/>
  <c r="P59" i="4" s="1"/>
  <c r="P58" i="4" s="1"/>
  <c r="P57" i="4" s="1"/>
  <c r="P56" i="4" s="1"/>
  <c r="P55" i="4" s="1"/>
  <c r="P54" i="4" s="1"/>
  <c r="P53" i="4" s="1"/>
  <c r="P52" i="4" s="1"/>
  <c r="P51" i="4" s="1"/>
  <c r="P50" i="4" s="1"/>
  <c r="P49" i="4" s="1"/>
  <c r="P48" i="4" s="1"/>
  <c r="P47" i="4" s="1"/>
  <c r="P46" i="4" s="1"/>
  <c r="P45" i="4" s="1"/>
  <c r="P44" i="4" s="1"/>
  <c r="P43" i="4" s="1"/>
  <c r="P42" i="4" s="1"/>
  <c r="P41" i="4" s="1"/>
  <c r="P40" i="4" s="1"/>
  <c r="P39" i="4" s="1"/>
  <c r="P38" i="4" s="1"/>
  <c r="P37" i="4" s="1"/>
  <c r="P36" i="4" s="1"/>
  <c r="P35" i="4" s="1"/>
  <c r="P34" i="4" s="1"/>
  <c r="P33" i="4" s="1"/>
  <c r="P32" i="4" s="1"/>
  <c r="P31" i="4" s="1"/>
  <c r="P30" i="4" s="1"/>
  <c r="P29" i="4" s="1"/>
  <c r="P28" i="4" s="1"/>
  <c r="P27" i="4" s="1"/>
  <c r="P26" i="4" s="1"/>
  <c r="P25" i="4" s="1"/>
  <c r="P24" i="4" s="1"/>
  <c r="P23" i="4" s="1"/>
  <c r="P22" i="4" s="1"/>
  <c r="P21" i="4" s="1"/>
  <c r="P20" i="4" s="1"/>
  <c r="P19" i="4" s="1"/>
  <c r="P18" i="4" s="1"/>
  <c r="P17" i="4" s="1"/>
  <c r="P16" i="4" s="1"/>
  <c r="P15" i="4" s="1"/>
  <c r="P14" i="4" s="1"/>
  <c r="P13" i="4" s="1"/>
  <c r="P12" i="4" s="1"/>
  <c r="P11" i="4" s="1"/>
  <c r="P10" i="4" s="1"/>
  <c r="P9" i="4" s="1"/>
  <c r="P8" i="4" s="1"/>
  <c r="P7" i="4" s="1"/>
  <c r="P6" i="4" s="1"/>
  <c r="P5" i="4" s="1"/>
  <c r="P4" i="4" s="1"/>
  <c r="P3" i="4" s="1"/>
  <c r="W363" i="4"/>
  <c r="T362" i="4"/>
  <c r="T361" i="4" s="1"/>
  <c r="T360" i="4" s="1"/>
  <c r="T359" i="4" s="1"/>
  <c r="T358" i="4" s="1"/>
  <c r="T357" i="4" s="1"/>
  <c r="T356" i="4" s="1"/>
  <c r="T355" i="4" s="1"/>
  <c r="T354" i="4" s="1"/>
  <c r="T353" i="4" s="1"/>
  <c r="T352" i="4" s="1"/>
  <c r="T351" i="4" s="1"/>
  <c r="T350" i="4" s="1"/>
  <c r="T349" i="4" s="1"/>
  <c r="T348" i="4" s="1"/>
  <c r="T347" i="4" s="1"/>
  <c r="T346" i="4" s="1"/>
  <c r="T345" i="4" s="1"/>
  <c r="T344" i="4" s="1"/>
  <c r="T343" i="4" s="1"/>
  <c r="T342" i="4" s="1"/>
  <c r="T341" i="4" s="1"/>
  <c r="T340" i="4" s="1"/>
  <c r="T339" i="4" s="1"/>
  <c r="T338" i="4" s="1"/>
  <c r="T337" i="4" s="1"/>
  <c r="T336" i="4" s="1"/>
  <c r="T335" i="4" s="1"/>
  <c r="T334" i="4" s="1"/>
  <c r="T333" i="4" s="1"/>
  <c r="T332" i="4" s="1"/>
  <c r="T331" i="4" s="1"/>
  <c r="T330" i="4" s="1"/>
  <c r="T329" i="4" s="1"/>
  <c r="T328" i="4" s="1"/>
  <c r="T327" i="4" s="1"/>
  <c r="T326" i="4" s="1"/>
  <c r="T325" i="4" s="1"/>
  <c r="T324" i="4" s="1"/>
  <c r="T323" i="4" s="1"/>
  <c r="T322" i="4" s="1"/>
  <c r="T321" i="4" s="1"/>
  <c r="T320" i="4" s="1"/>
  <c r="T319" i="4" s="1"/>
  <c r="T318" i="4" s="1"/>
  <c r="T317" i="4" s="1"/>
  <c r="T316" i="4" s="1"/>
  <c r="T315" i="4" s="1"/>
  <c r="T314" i="4" s="1"/>
  <c r="T313" i="4" s="1"/>
  <c r="T312" i="4" s="1"/>
  <c r="T311" i="4" s="1"/>
  <c r="T310" i="4" s="1"/>
  <c r="T309" i="4" s="1"/>
  <c r="T308" i="4" s="1"/>
  <c r="T307" i="4" s="1"/>
  <c r="T306" i="4" s="1"/>
  <c r="T305" i="4" s="1"/>
  <c r="T304" i="4" s="1"/>
  <c r="T303" i="4" s="1"/>
  <c r="T302" i="4" s="1"/>
  <c r="T301" i="4" s="1"/>
  <c r="T300" i="4" s="1"/>
  <c r="T299" i="4" s="1"/>
  <c r="T298" i="4" s="1"/>
  <c r="T297" i="4" s="1"/>
  <c r="T296" i="4" s="1"/>
  <c r="T295" i="4" s="1"/>
  <c r="T294" i="4" s="1"/>
  <c r="T293" i="4" s="1"/>
  <c r="T292" i="4" s="1"/>
  <c r="T291" i="4" s="1"/>
  <c r="T290" i="4" s="1"/>
  <c r="T289" i="4" s="1"/>
  <c r="T288" i="4" s="1"/>
  <c r="T287" i="4" s="1"/>
  <c r="T286" i="4" s="1"/>
  <c r="T285" i="4" s="1"/>
  <c r="T284" i="4" s="1"/>
  <c r="T283" i="4" s="1"/>
  <c r="T282" i="4" s="1"/>
  <c r="T281" i="4" s="1"/>
  <c r="T280" i="4" s="1"/>
  <c r="T279" i="4" s="1"/>
  <c r="T278" i="4" s="1"/>
  <c r="T277" i="4" s="1"/>
  <c r="T276" i="4" s="1"/>
  <c r="T275" i="4" s="1"/>
  <c r="T274" i="4" s="1"/>
  <c r="T273" i="4" s="1"/>
  <c r="T272" i="4" s="1"/>
  <c r="T271" i="4" s="1"/>
  <c r="T270" i="4" s="1"/>
  <c r="T269" i="4" s="1"/>
  <c r="T268" i="4" s="1"/>
  <c r="T267" i="4" s="1"/>
  <c r="T266" i="4" s="1"/>
  <c r="T265" i="4" s="1"/>
  <c r="T264" i="4" s="1"/>
  <c r="T263" i="4" s="1"/>
  <c r="T262" i="4" s="1"/>
  <c r="T261" i="4" s="1"/>
  <c r="T260" i="4" s="1"/>
  <c r="T259" i="4" s="1"/>
  <c r="T258" i="4" s="1"/>
  <c r="T257" i="4" s="1"/>
  <c r="T256" i="4" s="1"/>
  <c r="T255" i="4" s="1"/>
  <c r="T254" i="4" s="1"/>
  <c r="T253" i="4" s="1"/>
  <c r="T252" i="4" s="1"/>
  <c r="T251" i="4" s="1"/>
  <c r="T250" i="4" s="1"/>
  <c r="T249" i="4" s="1"/>
  <c r="T248" i="4" s="1"/>
  <c r="T247" i="4" s="1"/>
  <c r="T246" i="4" s="1"/>
  <c r="T245" i="4" s="1"/>
  <c r="T244" i="4" s="1"/>
  <c r="T243" i="4" s="1"/>
  <c r="T242" i="4" s="1"/>
  <c r="T241" i="4" s="1"/>
  <c r="T240" i="4" s="1"/>
  <c r="T239" i="4" s="1"/>
  <c r="T238" i="4" s="1"/>
  <c r="T237" i="4" s="1"/>
  <c r="T236" i="4" s="1"/>
  <c r="T235" i="4" s="1"/>
  <c r="T234" i="4" s="1"/>
  <c r="T233" i="4" s="1"/>
  <c r="T232" i="4" s="1"/>
  <c r="T231" i="4" s="1"/>
  <c r="T230" i="4" s="1"/>
  <c r="T229" i="4" s="1"/>
  <c r="T228" i="4" s="1"/>
  <c r="T227" i="4" s="1"/>
  <c r="T226" i="4" s="1"/>
  <c r="T225" i="4" s="1"/>
  <c r="T224" i="4" s="1"/>
  <c r="T223" i="4" s="1"/>
  <c r="T222" i="4" s="1"/>
  <c r="T221" i="4" s="1"/>
  <c r="T220" i="4" s="1"/>
  <c r="T219" i="4" s="1"/>
  <c r="T218" i="4" s="1"/>
  <c r="T217" i="4" s="1"/>
  <c r="T216" i="4" s="1"/>
  <c r="T215" i="4" s="1"/>
  <c r="T214" i="4" s="1"/>
  <c r="T213" i="4" s="1"/>
  <c r="T212" i="4" s="1"/>
  <c r="T211" i="4" s="1"/>
  <c r="T210" i="4" s="1"/>
  <c r="T209" i="4" s="1"/>
  <c r="T208" i="4" s="1"/>
  <c r="T207" i="4" s="1"/>
  <c r="T206" i="4" s="1"/>
  <c r="T205" i="4" s="1"/>
  <c r="T204" i="4" s="1"/>
  <c r="T203" i="4" s="1"/>
  <c r="T202" i="4" s="1"/>
  <c r="T201" i="4" s="1"/>
  <c r="T200" i="4" s="1"/>
  <c r="T199" i="4" s="1"/>
  <c r="T198" i="4" s="1"/>
  <c r="T197" i="4" s="1"/>
  <c r="T196" i="4" s="1"/>
  <c r="T195" i="4" s="1"/>
  <c r="T194" i="4" s="1"/>
  <c r="T193" i="4" s="1"/>
  <c r="T192" i="4" s="1"/>
  <c r="T191" i="4" s="1"/>
  <c r="T190" i="4" s="1"/>
  <c r="T189" i="4" s="1"/>
  <c r="T188" i="4" s="1"/>
  <c r="T187" i="4" s="1"/>
  <c r="T186" i="4" s="1"/>
  <c r="T185" i="4" s="1"/>
  <c r="T184" i="4" s="1"/>
  <c r="T183" i="4" s="1"/>
  <c r="T182" i="4" s="1"/>
  <c r="T181" i="4" s="1"/>
  <c r="T180" i="4" s="1"/>
  <c r="T179" i="4" s="1"/>
  <c r="T178" i="4" s="1"/>
  <c r="T177" i="4" s="1"/>
  <c r="T176" i="4" s="1"/>
  <c r="T175" i="4" s="1"/>
  <c r="T174" i="4" s="1"/>
  <c r="T173" i="4" s="1"/>
  <c r="T172" i="4" s="1"/>
  <c r="T171" i="4" s="1"/>
  <c r="T170" i="4" s="1"/>
  <c r="T169" i="4" s="1"/>
  <c r="T168" i="4" s="1"/>
  <c r="T167" i="4" s="1"/>
  <c r="T166" i="4" s="1"/>
  <c r="T165" i="4" s="1"/>
  <c r="T164" i="4" s="1"/>
  <c r="T163" i="4" s="1"/>
  <c r="T162" i="4" s="1"/>
  <c r="T161" i="4" s="1"/>
  <c r="T160" i="4" s="1"/>
  <c r="T159" i="4" s="1"/>
  <c r="T158" i="4" s="1"/>
  <c r="T157" i="4" s="1"/>
  <c r="T156" i="4" s="1"/>
  <c r="T155" i="4" s="1"/>
  <c r="T154" i="4" s="1"/>
  <c r="T153" i="4" s="1"/>
  <c r="T152" i="4" s="1"/>
  <c r="T151" i="4" s="1"/>
  <c r="T150" i="4" s="1"/>
  <c r="T149" i="4" s="1"/>
  <c r="T148" i="4" s="1"/>
  <c r="T147" i="4" s="1"/>
  <c r="T146" i="4" s="1"/>
  <c r="T145" i="4" s="1"/>
  <c r="T144" i="4" s="1"/>
  <c r="T143" i="4" s="1"/>
  <c r="T142" i="4" s="1"/>
  <c r="T141" i="4" s="1"/>
  <c r="T140" i="4" s="1"/>
  <c r="T139" i="4" s="1"/>
  <c r="T138" i="4" s="1"/>
  <c r="T137" i="4" s="1"/>
  <c r="T136" i="4" s="1"/>
  <c r="T135" i="4" s="1"/>
  <c r="T134" i="4" s="1"/>
  <c r="T133" i="4" s="1"/>
  <c r="T132" i="4" s="1"/>
  <c r="T131" i="4" s="1"/>
  <c r="T130" i="4" s="1"/>
  <c r="T129" i="4" s="1"/>
  <c r="T128" i="4" s="1"/>
  <c r="T127" i="4" s="1"/>
  <c r="T126" i="4" s="1"/>
  <c r="T125" i="4" s="1"/>
  <c r="T124" i="4" s="1"/>
  <c r="T123" i="4" s="1"/>
  <c r="T122" i="4" s="1"/>
  <c r="T121" i="4" s="1"/>
  <c r="T120" i="4" s="1"/>
  <c r="T119" i="4" s="1"/>
  <c r="T118" i="4" s="1"/>
  <c r="T117" i="4" s="1"/>
  <c r="T116" i="4" s="1"/>
  <c r="T115" i="4" s="1"/>
  <c r="T114" i="4" s="1"/>
  <c r="T113" i="4" s="1"/>
  <c r="T112" i="4" s="1"/>
  <c r="T111" i="4" s="1"/>
  <c r="T110" i="4" s="1"/>
  <c r="T109" i="4" s="1"/>
  <c r="T108" i="4" s="1"/>
  <c r="T107" i="4" s="1"/>
  <c r="T106" i="4" s="1"/>
  <c r="T105" i="4" s="1"/>
  <c r="T104" i="4" s="1"/>
  <c r="T103" i="4" s="1"/>
  <c r="T102" i="4" s="1"/>
  <c r="T101" i="4" s="1"/>
  <c r="T100" i="4" s="1"/>
  <c r="T99" i="4" s="1"/>
  <c r="T98" i="4" s="1"/>
  <c r="T97" i="4" s="1"/>
  <c r="T96" i="4" s="1"/>
  <c r="T95" i="4" s="1"/>
  <c r="T94" i="4" s="1"/>
  <c r="T93" i="4" s="1"/>
  <c r="T92" i="4" s="1"/>
  <c r="T91" i="4" s="1"/>
  <c r="T90" i="4" s="1"/>
  <c r="T89" i="4" s="1"/>
  <c r="T88" i="4" s="1"/>
  <c r="T87" i="4" s="1"/>
  <c r="T86" i="4" s="1"/>
  <c r="T85" i="4" s="1"/>
  <c r="T84" i="4" s="1"/>
  <c r="T83" i="4" s="1"/>
  <c r="T82" i="4" s="1"/>
  <c r="T81" i="4" s="1"/>
  <c r="T80" i="4" s="1"/>
  <c r="T79" i="4" s="1"/>
  <c r="T78" i="4" s="1"/>
  <c r="T77" i="4" s="1"/>
  <c r="T76" i="4" s="1"/>
  <c r="T75" i="4" s="1"/>
  <c r="T74" i="4" s="1"/>
  <c r="T73" i="4" s="1"/>
  <c r="T72" i="4" s="1"/>
  <c r="T71" i="4" s="1"/>
  <c r="T70" i="4" s="1"/>
  <c r="T69" i="4" s="1"/>
  <c r="T68" i="4" s="1"/>
  <c r="T67" i="4" s="1"/>
  <c r="T66" i="4" s="1"/>
  <c r="T65" i="4" s="1"/>
  <c r="T64" i="4" s="1"/>
  <c r="T63" i="4" s="1"/>
  <c r="T62" i="4" s="1"/>
  <c r="T61" i="4" s="1"/>
  <c r="T60" i="4" s="1"/>
  <c r="T59" i="4" s="1"/>
  <c r="T58" i="4" s="1"/>
  <c r="T57" i="4" s="1"/>
  <c r="T56" i="4" s="1"/>
  <c r="T55" i="4" s="1"/>
  <c r="T54" i="4" s="1"/>
  <c r="T53" i="4" s="1"/>
  <c r="T52" i="4" s="1"/>
  <c r="T51" i="4" s="1"/>
  <c r="T50" i="4" s="1"/>
  <c r="T49" i="4" s="1"/>
  <c r="T48" i="4" s="1"/>
  <c r="T47" i="4" s="1"/>
  <c r="T46" i="4" s="1"/>
  <c r="T45" i="4" s="1"/>
  <c r="T44" i="4" s="1"/>
  <c r="T43" i="4" s="1"/>
  <c r="T42" i="4" s="1"/>
  <c r="T41" i="4" s="1"/>
  <c r="T40" i="4" s="1"/>
  <c r="T39" i="4" s="1"/>
  <c r="T38" i="4" s="1"/>
  <c r="T37" i="4" s="1"/>
  <c r="T36" i="4" s="1"/>
  <c r="T35" i="4" s="1"/>
  <c r="T34" i="4" s="1"/>
  <c r="T33" i="4" s="1"/>
  <c r="T32" i="4" s="1"/>
  <c r="T31" i="4" s="1"/>
  <c r="T30" i="4" s="1"/>
  <c r="T29" i="4" s="1"/>
  <c r="T28" i="4" s="1"/>
  <c r="T27" i="4" s="1"/>
  <c r="T26" i="4" s="1"/>
  <c r="T25" i="4" s="1"/>
  <c r="T24" i="4" s="1"/>
  <c r="T23" i="4" s="1"/>
  <c r="T22" i="4" s="1"/>
  <c r="T21" i="4" s="1"/>
  <c r="T20" i="4" s="1"/>
  <c r="T19" i="4" s="1"/>
  <c r="T18" i="4" s="1"/>
  <c r="T17" i="4" s="1"/>
  <c r="T16" i="4" s="1"/>
  <c r="T15" i="4" s="1"/>
  <c r="T14" i="4" s="1"/>
  <c r="T13" i="4" s="1"/>
  <c r="T12" i="4" s="1"/>
  <c r="T11" i="4" s="1"/>
  <c r="T10" i="4" s="1"/>
  <c r="T9" i="4" s="1"/>
  <c r="T8" i="4" s="1"/>
  <c r="T7" i="4" s="1"/>
  <c r="T6" i="4" s="1"/>
  <c r="T5" i="4" s="1"/>
  <c r="T4" i="4" s="1"/>
  <c r="T3" i="4" s="1"/>
  <c r="M363" i="4"/>
  <c r="M362" i="4" s="1"/>
  <c r="M361" i="4" s="1"/>
  <c r="M360" i="4" s="1"/>
  <c r="M359" i="4" s="1"/>
  <c r="M358" i="4" s="1"/>
  <c r="M357" i="4" s="1"/>
  <c r="M356" i="4" s="1"/>
  <c r="M355" i="4" s="1"/>
  <c r="M354" i="4" s="1"/>
  <c r="M353" i="4" s="1"/>
  <c r="M352" i="4" s="1"/>
  <c r="M351" i="4" s="1"/>
  <c r="M350" i="4" s="1"/>
  <c r="M349" i="4" s="1"/>
  <c r="M348" i="4" s="1"/>
  <c r="M347" i="4" s="1"/>
  <c r="M346" i="4" s="1"/>
  <c r="M345" i="4" s="1"/>
  <c r="M344" i="4" s="1"/>
  <c r="M343" i="4" s="1"/>
  <c r="M342" i="4" s="1"/>
  <c r="M341" i="4" s="1"/>
  <c r="M340" i="4" s="1"/>
  <c r="M339" i="4" s="1"/>
  <c r="M338" i="4" s="1"/>
  <c r="M337" i="4" s="1"/>
  <c r="M336" i="4" s="1"/>
  <c r="M335" i="4" s="1"/>
  <c r="M334" i="4" s="1"/>
  <c r="M333" i="4" s="1"/>
  <c r="M332" i="4" s="1"/>
  <c r="M331" i="4" s="1"/>
  <c r="M330" i="4" s="1"/>
  <c r="M329" i="4" s="1"/>
  <c r="M328" i="4" s="1"/>
  <c r="M327" i="4" s="1"/>
  <c r="M326" i="4" s="1"/>
  <c r="M325" i="4" s="1"/>
  <c r="M324" i="4" s="1"/>
  <c r="M323" i="4" s="1"/>
  <c r="M322" i="4" s="1"/>
  <c r="M321" i="4" s="1"/>
  <c r="M320" i="4" s="1"/>
  <c r="M319" i="4" s="1"/>
  <c r="M318" i="4" s="1"/>
  <c r="M317" i="4" s="1"/>
  <c r="M316" i="4" s="1"/>
  <c r="M315" i="4" s="1"/>
  <c r="M314" i="4" s="1"/>
  <c r="M313" i="4" s="1"/>
  <c r="M312" i="4" s="1"/>
  <c r="M311" i="4" s="1"/>
  <c r="M310" i="4" s="1"/>
  <c r="M309" i="4" s="1"/>
  <c r="M308" i="4" s="1"/>
  <c r="M307" i="4" s="1"/>
  <c r="M306" i="4" s="1"/>
  <c r="M305" i="4" s="1"/>
  <c r="M304" i="4" s="1"/>
  <c r="M303" i="4" s="1"/>
  <c r="M302" i="4" s="1"/>
  <c r="M301" i="4" s="1"/>
  <c r="M300" i="4" s="1"/>
  <c r="M299" i="4" s="1"/>
  <c r="M298" i="4" s="1"/>
  <c r="M297" i="4" s="1"/>
  <c r="M296" i="4" s="1"/>
  <c r="M295" i="4" s="1"/>
  <c r="M294" i="4" s="1"/>
  <c r="M293" i="4" s="1"/>
  <c r="M292" i="4" s="1"/>
  <c r="M291" i="4" s="1"/>
  <c r="M290" i="4" s="1"/>
  <c r="M289" i="4" s="1"/>
  <c r="M288" i="4" s="1"/>
  <c r="M287" i="4" s="1"/>
  <c r="M286" i="4" s="1"/>
  <c r="M285" i="4" s="1"/>
  <c r="M284" i="4" s="1"/>
  <c r="M283" i="4" s="1"/>
  <c r="M282" i="4" s="1"/>
  <c r="M281" i="4" s="1"/>
  <c r="M280" i="4" s="1"/>
  <c r="M279" i="4" s="1"/>
  <c r="M278" i="4" s="1"/>
  <c r="M277" i="4" s="1"/>
  <c r="M276" i="4" s="1"/>
  <c r="M275" i="4" s="1"/>
  <c r="M274" i="4" s="1"/>
  <c r="M273" i="4" s="1"/>
  <c r="M272" i="4" s="1"/>
  <c r="M271" i="4" s="1"/>
  <c r="M270" i="4" s="1"/>
  <c r="M269" i="4" s="1"/>
  <c r="M268" i="4" s="1"/>
  <c r="M267" i="4" s="1"/>
  <c r="M266" i="4" s="1"/>
  <c r="M265" i="4" s="1"/>
  <c r="M264" i="4" s="1"/>
  <c r="M263" i="4" s="1"/>
  <c r="M262" i="4" s="1"/>
  <c r="M261" i="4" s="1"/>
  <c r="M260" i="4" s="1"/>
  <c r="M259" i="4" s="1"/>
  <c r="M258" i="4" s="1"/>
  <c r="M257" i="4" s="1"/>
  <c r="M256" i="4" s="1"/>
  <c r="M255" i="4" s="1"/>
  <c r="M254" i="4" s="1"/>
  <c r="M253" i="4" s="1"/>
  <c r="M252" i="4" s="1"/>
  <c r="M251" i="4" s="1"/>
  <c r="M250" i="4" s="1"/>
  <c r="M249" i="4" s="1"/>
  <c r="M248" i="4" s="1"/>
  <c r="M247" i="4" s="1"/>
  <c r="M246" i="4" s="1"/>
  <c r="M245" i="4" s="1"/>
  <c r="M244" i="4" s="1"/>
  <c r="M243" i="4" s="1"/>
  <c r="M242" i="4" s="1"/>
  <c r="M241" i="4" s="1"/>
  <c r="M240" i="4" s="1"/>
  <c r="M239" i="4" s="1"/>
  <c r="M238" i="4" s="1"/>
  <c r="M237" i="4" s="1"/>
  <c r="M236" i="4" s="1"/>
  <c r="M235" i="4" s="1"/>
  <c r="M234" i="4" s="1"/>
  <c r="M233" i="4" s="1"/>
  <c r="M232" i="4" s="1"/>
  <c r="M231" i="4" s="1"/>
  <c r="M230" i="4" s="1"/>
  <c r="M229" i="4" s="1"/>
  <c r="M228" i="4" s="1"/>
  <c r="M227" i="4" s="1"/>
  <c r="M226" i="4" s="1"/>
  <c r="M225" i="4" s="1"/>
  <c r="M224" i="4" s="1"/>
  <c r="M223" i="4" s="1"/>
  <c r="M222" i="4" s="1"/>
  <c r="M221" i="4" s="1"/>
  <c r="M220" i="4" s="1"/>
  <c r="M219" i="4" s="1"/>
  <c r="M218" i="4" s="1"/>
  <c r="M217" i="4" s="1"/>
  <c r="M216" i="4" s="1"/>
  <c r="M215" i="4" s="1"/>
  <c r="M214" i="4" s="1"/>
  <c r="M213" i="4" s="1"/>
  <c r="M212" i="4" s="1"/>
  <c r="M211" i="4" s="1"/>
  <c r="M210" i="4" s="1"/>
  <c r="M209" i="4" s="1"/>
  <c r="M208" i="4" s="1"/>
  <c r="M207" i="4" s="1"/>
  <c r="M206" i="4" s="1"/>
  <c r="M205" i="4" s="1"/>
  <c r="M204" i="4" s="1"/>
  <c r="M203" i="4" s="1"/>
  <c r="M202" i="4" s="1"/>
  <c r="M201" i="4" s="1"/>
  <c r="M200" i="4" s="1"/>
  <c r="M199" i="4" s="1"/>
  <c r="M198" i="4" s="1"/>
  <c r="M197" i="4" s="1"/>
  <c r="M196" i="4" s="1"/>
  <c r="M195" i="4" s="1"/>
  <c r="M194" i="4" s="1"/>
  <c r="M193" i="4" s="1"/>
  <c r="M192" i="4" s="1"/>
  <c r="M191" i="4" s="1"/>
  <c r="M190" i="4" s="1"/>
  <c r="M189" i="4" s="1"/>
  <c r="M188" i="4" s="1"/>
  <c r="M187" i="4" s="1"/>
  <c r="M186" i="4" s="1"/>
  <c r="M185" i="4" s="1"/>
  <c r="M184" i="4" s="1"/>
  <c r="M183" i="4" s="1"/>
  <c r="M182" i="4" s="1"/>
  <c r="M181" i="4" s="1"/>
  <c r="M180" i="4" s="1"/>
  <c r="M179" i="4" s="1"/>
  <c r="M178" i="4" s="1"/>
  <c r="M177" i="4" s="1"/>
  <c r="M176" i="4" s="1"/>
  <c r="M175" i="4" s="1"/>
  <c r="M174" i="4" s="1"/>
  <c r="M173" i="4" s="1"/>
  <c r="M172" i="4" s="1"/>
  <c r="M171" i="4" s="1"/>
  <c r="M170" i="4" s="1"/>
  <c r="M169" i="4" s="1"/>
  <c r="M168" i="4" s="1"/>
  <c r="M167" i="4" s="1"/>
  <c r="M166" i="4" s="1"/>
  <c r="M165" i="4" s="1"/>
  <c r="M164" i="4" s="1"/>
  <c r="M163" i="4" s="1"/>
  <c r="M162" i="4" s="1"/>
  <c r="M161" i="4" s="1"/>
  <c r="M160" i="4" s="1"/>
  <c r="M159" i="4" s="1"/>
  <c r="M158" i="4" s="1"/>
  <c r="M157" i="4" s="1"/>
  <c r="M156" i="4" s="1"/>
  <c r="M155" i="4" s="1"/>
  <c r="M154" i="4" s="1"/>
  <c r="M153" i="4" s="1"/>
  <c r="M152" i="4" s="1"/>
  <c r="M151" i="4" s="1"/>
  <c r="M150" i="4" s="1"/>
  <c r="M149" i="4" s="1"/>
  <c r="M148" i="4" s="1"/>
  <c r="M147" i="4" s="1"/>
  <c r="M146" i="4" s="1"/>
  <c r="M145" i="4" s="1"/>
  <c r="M144" i="4" s="1"/>
  <c r="M143" i="4" s="1"/>
  <c r="M142" i="4" s="1"/>
  <c r="M141" i="4" s="1"/>
  <c r="M140" i="4" s="1"/>
  <c r="M139" i="4" s="1"/>
  <c r="M138" i="4" s="1"/>
  <c r="M137" i="4" s="1"/>
  <c r="M136" i="4" s="1"/>
  <c r="M135" i="4" s="1"/>
  <c r="M134" i="4" s="1"/>
  <c r="M133" i="4" s="1"/>
  <c r="M132" i="4" s="1"/>
  <c r="M131" i="4" s="1"/>
  <c r="M130" i="4" s="1"/>
  <c r="M129" i="4" s="1"/>
  <c r="M128" i="4" s="1"/>
  <c r="M127" i="4" s="1"/>
  <c r="M126" i="4" s="1"/>
  <c r="M125" i="4" s="1"/>
  <c r="M124" i="4" s="1"/>
  <c r="M123" i="4" s="1"/>
  <c r="M122" i="4" s="1"/>
  <c r="M121" i="4" s="1"/>
  <c r="M120" i="4" s="1"/>
  <c r="M119" i="4" s="1"/>
  <c r="M118" i="4" s="1"/>
  <c r="M117" i="4" s="1"/>
  <c r="M116" i="4" s="1"/>
  <c r="M115" i="4" s="1"/>
  <c r="M114" i="4" s="1"/>
  <c r="M113" i="4" s="1"/>
  <c r="M112" i="4" s="1"/>
  <c r="M111" i="4" s="1"/>
  <c r="M110" i="4" s="1"/>
  <c r="M109" i="4" s="1"/>
  <c r="M108" i="4" s="1"/>
  <c r="M107" i="4" s="1"/>
  <c r="M106" i="4" s="1"/>
  <c r="M105" i="4" s="1"/>
  <c r="M104" i="4" s="1"/>
  <c r="M103" i="4" s="1"/>
  <c r="M102" i="4" s="1"/>
  <c r="M101" i="4" s="1"/>
  <c r="M100" i="4" s="1"/>
  <c r="M99" i="4" s="1"/>
  <c r="M98" i="4" s="1"/>
  <c r="M97" i="4" s="1"/>
  <c r="M96" i="4" s="1"/>
  <c r="M95" i="4" s="1"/>
  <c r="M94" i="4" s="1"/>
  <c r="M93" i="4" s="1"/>
  <c r="M92" i="4" s="1"/>
  <c r="M91" i="4" s="1"/>
  <c r="M90" i="4" s="1"/>
  <c r="M89" i="4" s="1"/>
  <c r="M88" i="4" s="1"/>
  <c r="M87" i="4" s="1"/>
  <c r="M86" i="4" s="1"/>
  <c r="M85" i="4" s="1"/>
  <c r="M84" i="4" s="1"/>
  <c r="M83" i="4" s="1"/>
  <c r="M82" i="4" s="1"/>
  <c r="M81" i="4" s="1"/>
  <c r="M80" i="4" s="1"/>
  <c r="M79" i="4" s="1"/>
  <c r="M78" i="4" s="1"/>
  <c r="M77" i="4" s="1"/>
  <c r="M76" i="4" s="1"/>
  <c r="M75" i="4" s="1"/>
  <c r="M74" i="4" s="1"/>
  <c r="M73" i="4" s="1"/>
  <c r="M72" i="4" s="1"/>
  <c r="M71" i="4" s="1"/>
  <c r="M70" i="4" s="1"/>
  <c r="M69" i="4" s="1"/>
  <c r="M68" i="4" s="1"/>
  <c r="M67" i="4" s="1"/>
  <c r="M66" i="4" s="1"/>
  <c r="M65" i="4" s="1"/>
  <c r="M64" i="4" s="1"/>
  <c r="M63" i="4" s="1"/>
  <c r="M62" i="4" s="1"/>
  <c r="M61" i="4" s="1"/>
  <c r="M60" i="4" s="1"/>
  <c r="M59" i="4" s="1"/>
  <c r="M58" i="4" s="1"/>
  <c r="M57" i="4" s="1"/>
  <c r="M56" i="4" s="1"/>
  <c r="M55" i="4" s="1"/>
  <c r="M54" i="4" s="1"/>
  <c r="M53" i="4" s="1"/>
  <c r="M52" i="4" s="1"/>
  <c r="M51" i="4" s="1"/>
  <c r="M50" i="4" s="1"/>
  <c r="M49" i="4" s="1"/>
  <c r="M48" i="4" s="1"/>
  <c r="M47" i="4" s="1"/>
  <c r="M46" i="4" s="1"/>
  <c r="M45" i="4" s="1"/>
  <c r="M44" i="4" s="1"/>
  <c r="M43" i="4" s="1"/>
  <c r="M42" i="4" s="1"/>
  <c r="M41" i="4" s="1"/>
  <c r="M40" i="4" s="1"/>
  <c r="M39" i="4" s="1"/>
  <c r="M38" i="4" s="1"/>
  <c r="M37" i="4" s="1"/>
  <c r="M36" i="4" s="1"/>
  <c r="M35" i="4" s="1"/>
  <c r="M34" i="4" s="1"/>
  <c r="M33" i="4" s="1"/>
  <c r="M32" i="4" s="1"/>
  <c r="M31" i="4" s="1"/>
  <c r="M30" i="4" s="1"/>
  <c r="M29" i="4" s="1"/>
  <c r="M28" i="4" s="1"/>
  <c r="M27" i="4" s="1"/>
  <c r="M26" i="4" s="1"/>
  <c r="M25" i="4" s="1"/>
  <c r="M24" i="4" s="1"/>
  <c r="M23" i="4" s="1"/>
  <c r="M22" i="4" s="1"/>
  <c r="M21" i="4" s="1"/>
  <c r="M20" i="4" s="1"/>
  <c r="M19" i="4" s="1"/>
  <c r="M18" i="4" s="1"/>
  <c r="M17" i="4" s="1"/>
  <c r="M16" i="4" s="1"/>
  <c r="M15" i="4" s="1"/>
  <c r="M14" i="4" s="1"/>
  <c r="M13" i="4" s="1"/>
  <c r="M12" i="4" s="1"/>
  <c r="M11" i="4" s="1"/>
  <c r="M10" i="4" s="1"/>
  <c r="M9" i="4" s="1"/>
  <c r="M8" i="4" s="1"/>
  <c r="M7" i="4" s="1"/>
  <c r="M6" i="4" s="1"/>
  <c r="M5" i="4" s="1"/>
  <c r="M4" i="4" s="1"/>
  <c r="M3" i="4" s="1"/>
  <c r="J362" i="4"/>
  <c r="J361" i="4" s="1"/>
  <c r="J360" i="4" s="1"/>
  <c r="J359" i="4" s="1"/>
  <c r="J358" i="4" s="1"/>
  <c r="J357" i="4" s="1"/>
  <c r="J356" i="4" s="1"/>
  <c r="J355" i="4" s="1"/>
  <c r="J354" i="4" s="1"/>
  <c r="J353" i="4" s="1"/>
  <c r="J352" i="4" s="1"/>
  <c r="J351" i="4" s="1"/>
  <c r="J350" i="4" s="1"/>
  <c r="J349" i="4" s="1"/>
  <c r="J348" i="4" s="1"/>
  <c r="J347" i="4" s="1"/>
  <c r="J346" i="4" s="1"/>
  <c r="J345" i="4" s="1"/>
  <c r="J344" i="4" s="1"/>
  <c r="J343" i="4" s="1"/>
  <c r="J342" i="4" s="1"/>
  <c r="J341" i="4" s="1"/>
  <c r="J340" i="4" s="1"/>
  <c r="J339" i="4" s="1"/>
  <c r="J338" i="4" s="1"/>
  <c r="J337" i="4" s="1"/>
  <c r="J336" i="4" s="1"/>
  <c r="J335" i="4" s="1"/>
  <c r="J334" i="4" s="1"/>
  <c r="J333" i="4" s="1"/>
  <c r="J332" i="4" s="1"/>
  <c r="J331" i="4" s="1"/>
  <c r="J330" i="4" s="1"/>
  <c r="J329" i="4" s="1"/>
  <c r="J328" i="4" s="1"/>
  <c r="J327" i="4" s="1"/>
  <c r="J326" i="4" s="1"/>
  <c r="J325" i="4" s="1"/>
  <c r="J324" i="4" s="1"/>
  <c r="J323" i="4" s="1"/>
  <c r="J322" i="4" s="1"/>
  <c r="J321" i="4" s="1"/>
  <c r="J320" i="4" s="1"/>
  <c r="J319" i="4" s="1"/>
  <c r="J318" i="4" s="1"/>
  <c r="J317" i="4" s="1"/>
  <c r="J316" i="4" s="1"/>
  <c r="J315" i="4" s="1"/>
  <c r="J314" i="4" s="1"/>
  <c r="J313" i="4" s="1"/>
  <c r="J312" i="4" s="1"/>
  <c r="J311" i="4" s="1"/>
  <c r="J310" i="4" s="1"/>
  <c r="J309" i="4" s="1"/>
  <c r="J308" i="4" s="1"/>
  <c r="J307" i="4" s="1"/>
  <c r="J306" i="4" s="1"/>
  <c r="J305" i="4" s="1"/>
  <c r="J304" i="4" s="1"/>
  <c r="J303" i="4" s="1"/>
  <c r="J302" i="4" s="1"/>
  <c r="J301" i="4" s="1"/>
  <c r="J300" i="4" s="1"/>
  <c r="J299" i="4" s="1"/>
  <c r="J298" i="4" s="1"/>
  <c r="J297" i="4" s="1"/>
  <c r="J296" i="4" s="1"/>
  <c r="J295" i="4" s="1"/>
  <c r="J294" i="4" s="1"/>
  <c r="J293" i="4" s="1"/>
  <c r="J292" i="4" s="1"/>
  <c r="J291" i="4" s="1"/>
  <c r="J290" i="4" s="1"/>
  <c r="J289" i="4" s="1"/>
  <c r="J288" i="4" s="1"/>
  <c r="J287" i="4" s="1"/>
  <c r="J286" i="4" s="1"/>
  <c r="J285" i="4" s="1"/>
  <c r="J284" i="4" s="1"/>
  <c r="J283" i="4" s="1"/>
  <c r="J282" i="4" s="1"/>
  <c r="J281" i="4" s="1"/>
  <c r="J280" i="4" s="1"/>
  <c r="J279" i="4" s="1"/>
  <c r="J278" i="4" s="1"/>
  <c r="J277" i="4" s="1"/>
  <c r="J276" i="4" s="1"/>
  <c r="J275" i="4" s="1"/>
  <c r="J274" i="4" s="1"/>
  <c r="J273" i="4" s="1"/>
  <c r="J272" i="4" s="1"/>
  <c r="J271" i="4" s="1"/>
  <c r="J270" i="4" s="1"/>
  <c r="J269" i="4" s="1"/>
  <c r="J268" i="4" s="1"/>
  <c r="J267" i="4" s="1"/>
  <c r="J266" i="4" s="1"/>
  <c r="J265" i="4" s="1"/>
  <c r="J264" i="4" s="1"/>
  <c r="J263" i="4" s="1"/>
  <c r="J262" i="4" s="1"/>
  <c r="J261" i="4" s="1"/>
  <c r="J260" i="4" s="1"/>
  <c r="J259" i="4" s="1"/>
  <c r="J258" i="4" s="1"/>
  <c r="J257" i="4" s="1"/>
  <c r="J256" i="4" s="1"/>
  <c r="J255" i="4" s="1"/>
  <c r="J254" i="4" s="1"/>
  <c r="J253" i="4" s="1"/>
  <c r="J252" i="4" s="1"/>
  <c r="J251" i="4" s="1"/>
  <c r="J250" i="4" s="1"/>
  <c r="J249" i="4" s="1"/>
  <c r="J248" i="4" s="1"/>
  <c r="J247" i="4" s="1"/>
  <c r="J246" i="4" s="1"/>
  <c r="J245" i="4" s="1"/>
  <c r="J244" i="4" s="1"/>
  <c r="J243" i="4" s="1"/>
  <c r="J242" i="4" s="1"/>
  <c r="J241" i="4" s="1"/>
  <c r="J240" i="4" s="1"/>
  <c r="J239" i="4" s="1"/>
  <c r="J238" i="4" s="1"/>
  <c r="J237" i="4" s="1"/>
  <c r="J236" i="4" s="1"/>
  <c r="J235" i="4" s="1"/>
  <c r="J234" i="4" s="1"/>
  <c r="J233" i="4" s="1"/>
  <c r="J232" i="4" s="1"/>
  <c r="J231" i="4" s="1"/>
  <c r="J230" i="4" s="1"/>
  <c r="J229" i="4" s="1"/>
  <c r="J228" i="4" s="1"/>
  <c r="J227" i="4" s="1"/>
  <c r="J226" i="4" s="1"/>
  <c r="J225" i="4" s="1"/>
  <c r="J224" i="4" s="1"/>
  <c r="J223" i="4" s="1"/>
  <c r="J222" i="4" s="1"/>
  <c r="J221" i="4" s="1"/>
  <c r="J220" i="4" s="1"/>
  <c r="J219" i="4" s="1"/>
  <c r="J218" i="4" s="1"/>
  <c r="J217" i="4" s="1"/>
  <c r="J216" i="4" s="1"/>
  <c r="J215" i="4" s="1"/>
  <c r="J214" i="4" s="1"/>
  <c r="J213" i="4" s="1"/>
  <c r="J212" i="4" s="1"/>
  <c r="J211" i="4" s="1"/>
  <c r="J210" i="4" s="1"/>
  <c r="J209" i="4" s="1"/>
  <c r="J208" i="4" s="1"/>
  <c r="J207" i="4" s="1"/>
  <c r="J206" i="4" s="1"/>
  <c r="J205" i="4" s="1"/>
  <c r="J204" i="4" s="1"/>
  <c r="J203" i="4" s="1"/>
  <c r="J202" i="4" s="1"/>
  <c r="J201" i="4" s="1"/>
  <c r="J200" i="4" s="1"/>
  <c r="J199" i="4" s="1"/>
  <c r="J198" i="4" s="1"/>
  <c r="J197" i="4" s="1"/>
  <c r="J196" i="4" s="1"/>
  <c r="J195" i="4" s="1"/>
  <c r="J194" i="4" s="1"/>
  <c r="J193" i="4" s="1"/>
  <c r="J192" i="4" s="1"/>
  <c r="J191" i="4" s="1"/>
  <c r="J190" i="4" s="1"/>
  <c r="J189" i="4" s="1"/>
  <c r="J188" i="4" s="1"/>
  <c r="J187" i="4" s="1"/>
  <c r="J186" i="4" s="1"/>
  <c r="J185" i="4" s="1"/>
  <c r="J184" i="4" s="1"/>
  <c r="J183" i="4" s="1"/>
  <c r="J182" i="4" s="1"/>
  <c r="J181" i="4" s="1"/>
  <c r="J180" i="4" s="1"/>
  <c r="J179" i="4" s="1"/>
  <c r="J178" i="4" s="1"/>
  <c r="J177" i="4" s="1"/>
  <c r="J176" i="4" s="1"/>
  <c r="J175" i="4" s="1"/>
  <c r="J174" i="4" s="1"/>
  <c r="J173" i="4" s="1"/>
  <c r="J172" i="4" s="1"/>
  <c r="J171" i="4" s="1"/>
  <c r="J170" i="4" s="1"/>
  <c r="J169" i="4" s="1"/>
  <c r="J168" i="4" s="1"/>
  <c r="J167" i="4" s="1"/>
  <c r="J166" i="4" s="1"/>
  <c r="J165" i="4" s="1"/>
  <c r="J164" i="4" s="1"/>
  <c r="J163" i="4" s="1"/>
  <c r="J162" i="4" s="1"/>
  <c r="J161" i="4" s="1"/>
  <c r="J160" i="4" s="1"/>
  <c r="J159" i="4" s="1"/>
  <c r="J158" i="4" s="1"/>
  <c r="J157" i="4" s="1"/>
  <c r="J156" i="4" s="1"/>
  <c r="J155" i="4" s="1"/>
  <c r="J154" i="4" s="1"/>
  <c r="J153" i="4" s="1"/>
  <c r="J152" i="4" s="1"/>
  <c r="J151" i="4" s="1"/>
  <c r="J150" i="4" s="1"/>
  <c r="J149" i="4" s="1"/>
  <c r="J148" i="4" s="1"/>
  <c r="J147" i="4" s="1"/>
  <c r="J146" i="4" s="1"/>
  <c r="J145" i="4" s="1"/>
  <c r="J144" i="4" s="1"/>
  <c r="J143" i="4" s="1"/>
  <c r="J142" i="4" s="1"/>
  <c r="J141" i="4" s="1"/>
  <c r="J140" i="4" s="1"/>
  <c r="J139" i="4" s="1"/>
  <c r="J138" i="4" s="1"/>
  <c r="J137" i="4" s="1"/>
  <c r="J136" i="4" s="1"/>
  <c r="J135" i="4" s="1"/>
  <c r="J134" i="4" s="1"/>
  <c r="J133" i="4" s="1"/>
  <c r="J132" i="4" s="1"/>
  <c r="J131" i="4" s="1"/>
  <c r="J130" i="4" s="1"/>
  <c r="J129" i="4" s="1"/>
  <c r="J128" i="4" s="1"/>
  <c r="J127" i="4" s="1"/>
  <c r="J126" i="4" s="1"/>
  <c r="J125" i="4" s="1"/>
  <c r="J124" i="4" s="1"/>
  <c r="J123" i="4" s="1"/>
  <c r="J122" i="4" s="1"/>
  <c r="J121" i="4" s="1"/>
  <c r="J120" i="4" s="1"/>
  <c r="J119" i="4" s="1"/>
  <c r="J118" i="4" s="1"/>
  <c r="J117" i="4" s="1"/>
  <c r="J116" i="4" s="1"/>
  <c r="J115" i="4" s="1"/>
  <c r="J114" i="4" s="1"/>
  <c r="J113" i="4" s="1"/>
  <c r="J112" i="4" s="1"/>
  <c r="J111" i="4" s="1"/>
  <c r="J110" i="4" s="1"/>
  <c r="J109" i="4" s="1"/>
  <c r="J108" i="4" s="1"/>
  <c r="J107" i="4" s="1"/>
  <c r="J106" i="4" s="1"/>
  <c r="J105" i="4" s="1"/>
  <c r="J104" i="4" s="1"/>
  <c r="J103" i="4" s="1"/>
  <c r="J102" i="4" s="1"/>
  <c r="J101" i="4" s="1"/>
  <c r="J100" i="4" s="1"/>
  <c r="J99" i="4" s="1"/>
  <c r="J98" i="4" s="1"/>
  <c r="J97" i="4" s="1"/>
  <c r="J96" i="4" s="1"/>
  <c r="J95" i="4" s="1"/>
  <c r="J94" i="4" s="1"/>
  <c r="J93" i="4" s="1"/>
  <c r="J92" i="4" s="1"/>
  <c r="J91" i="4" s="1"/>
  <c r="J90" i="4" s="1"/>
  <c r="J89" i="4" s="1"/>
  <c r="J88" i="4" s="1"/>
  <c r="J87" i="4" s="1"/>
  <c r="J86" i="4" s="1"/>
  <c r="J85" i="4" s="1"/>
  <c r="J84" i="4" s="1"/>
  <c r="J83" i="4" s="1"/>
  <c r="J82" i="4" s="1"/>
  <c r="J81" i="4" s="1"/>
  <c r="J80" i="4" s="1"/>
  <c r="J79" i="4" s="1"/>
  <c r="J78" i="4" s="1"/>
  <c r="J77" i="4" s="1"/>
  <c r="J76" i="4" s="1"/>
  <c r="J75" i="4" s="1"/>
  <c r="J74" i="4" s="1"/>
  <c r="J73" i="4" s="1"/>
  <c r="J72" i="4" s="1"/>
  <c r="J71" i="4" s="1"/>
  <c r="J70" i="4" s="1"/>
  <c r="J69" i="4" s="1"/>
  <c r="J68" i="4" s="1"/>
  <c r="J67" i="4" s="1"/>
  <c r="J66" i="4" s="1"/>
  <c r="J65" i="4" s="1"/>
  <c r="J64" i="4" s="1"/>
  <c r="J63" i="4" s="1"/>
  <c r="J62" i="4" s="1"/>
  <c r="J61" i="4" s="1"/>
  <c r="J60" i="4" s="1"/>
  <c r="J59" i="4" s="1"/>
  <c r="J58" i="4" s="1"/>
  <c r="J57" i="4" s="1"/>
  <c r="J56" i="4" s="1"/>
  <c r="J55" i="4" s="1"/>
  <c r="J54" i="4" s="1"/>
  <c r="J53" i="4" s="1"/>
  <c r="J52" i="4" s="1"/>
  <c r="J51" i="4" s="1"/>
  <c r="J50" i="4" s="1"/>
  <c r="J49" i="4" s="1"/>
  <c r="J48" i="4" s="1"/>
  <c r="J47" i="4" s="1"/>
  <c r="J46" i="4" s="1"/>
  <c r="J45" i="4" s="1"/>
  <c r="J44" i="4" s="1"/>
  <c r="J43" i="4" s="1"/>
  <c r="J42" i="4" s="1"/>
  <c r="J41" i="4" s="1"/>
  <c r="J40" i="4" s="1"/>
  <c r="J39" i="4" s="1"/>
  <c r="J38" i="4" s="1"/>
  <c r="J37" i="4" s="1"/>
  <c r="J36" i="4" s="1"/>
  <c r="J35" i="4" s="1"/>
  <c r="J34" i="4" s="1"/>
  <c r="J33" i="4" s="1"/>
  <c r="J32" i="4" s="1"/>
  <c r="J31" i="4" s="1"/>
  <c r="J30" i="4" s="1"/>
  <c r="J29" i="4" s="1"/>
  <c r="J28" i="4" s="1"/>
  <c r="J27" i="4" s="1"/>
  <c r="J26" i="4" s="1"/>
  <c r="J25" i="4" s="1"/>
  <c r="J24" i="4" s="1"/>
  <c r="J23" i="4" s="1"/>
  <c r="J22" i="4" s="1"/>
  <c r="J21" i="4" s="1"/>
  <c r="J20" i="4" s="1"/>
  <c r="J19" i="4" s="1"/>
  <c r="J18" i="4" s="1"/>
  <c r="J17" i="4" s="1"/>
  <c r="J16" i="4" s="1"/>
  <c r="J15" i="4" s="1"/>
  <c r="J14" i="4" s="1"/>
  <c r="J13" i="4" s="1"/>
  <c r="J12" i="4" s="1"/>
  <c r="J11" i="4" s="1"/>
  <c r="J10" i="4" s="1"/>
  <c r="J9" i="4" s="1"/>
  <c r="J8" i="4" s="1"/>
  <c r="J7" i="4" s="1"/>
  <c r="J6" i="4" s="1"/>
  <c r="J5" i="4" s="1"/>
  <c r="J4" i="4" s="1"/>
  <c r="J3" i="4" s="1"/>
  <c r="U363" i="4"/>
  <c r="R362" i="4"/>
  <c r="R361" i="4" s="1"/>
  <c r="R360" i="4" s="1"/>
  <c r="R359" i="4" s="1"/>
  <c r="R358" i="4" s="1"/>
  <c r="R357" i="4" s="1"/>
  <c r="R356" i="4" s="1"/>
  <c r="R355" i="4" s="1"/>
  <c r="R354" i="4" s="1"/>
  <c r="R353" i="4" s="1"/>
  <c r="R352" i="4" s="1"/>
  <c r="R351" i="4" s="1"/>
  <c r="R350" i="4" s="1"/>
  <c r="R349" i="4" s="1"/>
  <c r="R348" i="4" s="1"/>
  <c r="R347" i="4" s="1"/>
  <c r="R346" i="4" s="1"/>
  <c r="R345" i="4" s="1"/>
  <c r="R344" i="4" s="1"/>
  <c r="R343" i="4" s="1"/>
  <c r="R342" i="4" s="1"/>
  <c r="R341" i="4" s="1"/>
  <c r="R340" i="4" s="1"/>
  <c r="R339" i="4" s="1"/>
  <c r="R338" i="4" s="1"/>
  <c r="R337" i="4" s="1"/>
  <c r="R336" i="4" s="1"/>
  <c r="R335" i="4" s="1"/>
  <c r="R334" i="4" s="1"/>
  <c r="R333" i="4" s="1"/>
  <c r="R332" i="4" s="1"/>
  <c r="R331" i="4" s="1"/>
  <c r="R330" i="4" s="1"/>
  <c r="R329" i="4" s="1"/>
  <c r="R328" i="4" s="1"/>
  <c r="R327" i="4" s="1"/>
  <c r="R326" i="4" s="1"/>
  <c r="R325" i="4" s="1"/>
  <c r="R324" i="4" s="1"/>
  <c r="R323" i="4" s="1"/>
  <c r="R322" i="4" s="1"/>
  <c r="R321" i="4" s="1"/>
  <c r="R320" i="4" s="1"/>
  <c r="R319" i="4" s="1"/>
  <c r="R318" i="4" s="1"/>
  <c r="R317" i="4" s="1"/>
  <c r="R316" i="4" s="1"/>
  <c r="R315" i="4" s="1"/>
  <c r="R314" i="4" s="1"/>
  <c r="R313" i="4" s="1"/>
  <c r="R312" i="4" s="1"/>
  <c r="R311" i="4" s="1"/>
  <c r="R310" i="4" s="1"/>
  <c r="R309" i="4" s="1"/>
  <c r="R308" i="4" s="1"/>
  <c r="R307" i="4" s="1"/>
  <c r="R306" i="4" s="1"/>
  <c r="R305" i="4" s="1"/>
  <c r="R304" i="4" s="1"/>
  <c r="R303" i="4" s="1"/>
  <c r="R302" i="4" s="1"/>
  <c r="R301" i="4" s="1"/>
  <c r="R300" i="4" s="1"/>
  <c r="R299" i="4" s="1"/>
  <c r="R298" i="4" s="1"/>
  <c r="R297" i="4" s="1"/>
  <c r="R296" i="4" s="1"/>
  <c r="R295" i="4" s="1"/>
  <c r="R294" i="4" s="1"/>
  <c r="R293" i="4" s="1"/>
  <c r="R292" i="4" s="1"/>
  <c r="R291" i="4" s="1"/>
  <c r="R290" i="4" s="1"/>
  <c r="R289" i="4" s="1"/>
  <c r="R288" i="4" s="1"/>
  <c r="R287" i="4" s="1"/>
  <c r="R286" i="4" s="1"/>
  <c r="R285" i="4" s="1"/>
  <c r="R284" i="4" s="1"/>
  <c r="R283" i="4" s="1"/>
  <c r="R282" i="4" s="1"/>
  <c r="R281" i="4" s="1"/>
  <c r="R280" i="4" s="1"/>
  <c r="R279" i="4" s="1"/>
  <c r="R278" i="4" s="1"/>
  <c r="R277" i="4" s="1"/>
  <c r="R276" i="4" s="1"/>
  <c r="R275" i="4" s="1"/>
  <c r="R274" i="4" s="1"/>
  <c r="R273" i="4" s="1"/>
  <c r="R272" i="4" s="1"/>
  <c r="R271" i="4" s="1"/>
  <c r="R270" i="4" s="1"/>
  <c r="R269" i="4" s="1"/>
  <c r="R268" i="4" s="1"/>
  <c r="R267" i="4" s="1"/>
  <c r="R266" i="4" s="1"/>
  <c r="R265" i="4" s="1"/>
  <c r="R264" i="4" s="1"/>
  <c r="R263" i="4" s="1"/>
  <c r="R262" i="4" s="1"/>
  <c r="R261" i="4" s="1"/>
  <c r="R260" i="4" s="1"/>
  <c r="R259" i="4" s="1"/>
  <c r="R258" i="4" s="1"/>
  <c r="R257" i="4" s="1"/>
  <c r="R256" i="4" s="1"/>
  <c r="R255" i="4" s="1"/>
  <c r="R254" i="4" s="1"/>
  <c r="R253" i="4" s="1"/>
  <c r="R252" i="4" s="1"/>
  <c r="R251" i="4" s="1"/>
  <c r="R250" i="4" s="1"/>
  <c r="R249" i="4" s="1"/>
  <c r="R248" i="4" s="1"/>
  <c r="R247" i="4" s="1"/>
  <c r="R246" i="4" s="1"/>
  <c r="R245" i="4" s="1"/>
  <c r="R244" i="4" s="1"/>
  <c r="R243" i="4" s="1"/>
  <c r="R242" i="4" s="1"/>
  <c r="R241" i="4" s="1"/>
  <c r="R240" i="4" s="1"/>
  <c r="R239" i="4" s="1"/>
  <c r="R238" i="4" s="1"/>
  <c r="R237" i="4" s="1"/>
  <c r="R236" i="4" s="1"/>
  <c r="R235" i="4" s="1"/>
  <c r="R234" i="4" s="1"/>
  <c r="R233" i="4" s="1"/>
  <c r="R232" i="4" s="1"/>
  <c r="R231" i="4" s="1"/>
  <c r="R230" i="4" s="1"/>
  <c r="R229" i="4" s="1"/>
  <c r="R228" i="4" s="1"/>
  <c r="R227" i="4" s="1"/>
  <c r="R226" i="4" s="1"/>
  <c r="R225" i="4" s="1"/>
  <c r="R224" i="4" s="1"/>
  <c r="R223" i="4" s="1"/>
  <c r="R222" i="4" s="1"/>
  <c r="R221" i="4" s="1"/>
  <c r="R220" i="4" s="1"/>
  <c r="R219" i="4" s="1"/>
  <c r="R218" i="4" s="1"/>
  <c r="R217" i="4" s="1"/>
  <c r="R216" i="4" s="1"/>
  <c r="R215" i="4" s="1"/>
  <c r="R214" i="4" s="1"/>
  <c r="R213" i="4" s="1"/>
  <c r="R212" i="4" s="1"/>
  <c r="R211" i="4" s="1"/>
  <c r="R210" i="4" s="1"/>
  <c r="R209" i="4" s="1"/>
  <c r="R208" i="4" s="1"/>
  <c r="R207" i="4" s="1"/>
  <c r="R206" i="4" s="1"/>
  <c r="R205" i="4" s="1"/>
  <c r="R204" i="4" s="1"/>
  <c r="R203" i="4" s="1"/>
  <c r="R202" i="4" s="1"/>
  <c r="R201" i="4" s="1"/>
  <c r="R200" i="4" s="1"/>
  <c r="R199" i="4" s="1"/>
  <c r="R198" i="4" s="1"/>
  <c r="R197" i="4" s="1"/>
  <c r="R196" i="4" s="1"/>
  <c r="R195" i="4" s="1"/>
  <c r="R194" i="4" s="1"/>
  <c r="R193" i="4" s="1"/>
  <c r="R192" i="4" s="1"/>
  <c r="R191" i="4" s="1"/>
  <c r="R190" i="4" s="1"/>
  <c r="R189" i="4" s="1"/>
  <c r="R188" i="4" s="1"/>
  <c r="R187" i="4" s="1"/>
  <c r="R186" i="4" s="1"/>
  <c r="R185" i="4" s="1"/>
  <c r="R184" i="4" s="1"/>
  <c r="R183" i="4" s="1"/>
  <c r="R182" i="4" s="1"/>
  <c r="R181" i="4" s="1"/>
  <c r="R180" i="4" s="1"/>
  <c r="R179" i="4" s="1"/>
  <c r="R178" i="4" s="1"/>
  <c r="R177" i="4" s="1"/>
  <c r="R176" i="4" s="1"/>
  <c r="R175" i="4" s="1"/>
  <c r="R174" i="4" s="1"/>
  <c r="R173" i="4" s="1"/>
  <c r="R172" i="4" s="1"/>
  <c r="R171" i="4" s="1"/>
  <c r="R170" i="4" s="1"/>
  <c r="R169" i="4" s="1"/>
  <c r="R168" i="4" s="1"/>
  <c r="R167" i="4" s="1"/>
  <c r="R166" i="4" s="1"/>
  <c r="R165" i="4" s="1"/>
  <c r="R164" i="4" s="1"/>
  <c r="R163" i="4" s="1"/>
  <c r="R162" i="4" s="1"/>
  <c r="R161" i="4" s="1"/>
  <c r="R160" i="4" s="1"/>
  <c r="R159" i="4" s="1"/>
  <c r="R158" i="4" s="1"/>
  <c r="R157" i="4" s="1"/>
  <c r="R156" i="4" s="1"/>
  <c r="R155" i="4" s="1"/>
  <c r="R154" i="4" s="1"/>
  <c r="R153" i="4" s="1"/>
  <c r="R152" i="4" s="1"/>
  <c r="R151" i="4" s="1"/>
  <c r="R150" i="4" s="1"/>
  <c r="R149" i="4" s="1"/>
  <c r="R148" i="4" s="1"/>
  <c r="R147" i="4" s="1"/>
  <c r="R146" i="4" s="1"/>
  <c r="R145" i="4" s="1"/>
  <c r="R144" i="4" s="1"/>
  <c r="R143" i="4" s="1"/>
  <c r="R142" i="4" s="1"/>
  <c r="R141" i="4" s="1"/>
  <c r="R140" i="4" s="1"/>
  <c r="R139" i="4" s="1"/>
  <c r="R138" i="4" s="1"/>
  <c r="R137" i="4" s="1"/>
  <c r="R136" i="4" s="1"/>
  <c r="R135" i="4" s="1"/>
  <c r="R134" i="4" s="1"/>
  <c r="R133" i="4" s="1"/>
  <c r="R132" i="4" s="1"/>
  <c r="R131" i="4" s="1"/>
  <c r="R130" i="4" s="1"/>
  <c r="R129" i="4" s="1"/>
  <c r="R128" i="4" s="1"/>
  <c r="R127" i="4" s="1"/>
  <c r="R126" i="4" s="1"/>
  <c r="R125" i="4" s="1"/>
  <c r="R124" i="4" s="1"/>
  <c r="R123" i="4" s="1"/>
  <c r="R122" i="4" s="1"/>
  <c r="R121" i="4" s="1"/>
  <c r="R120" i="4" s="1"/>
  <c r="R119" i="4" s="1"/>
  <c r="R118" i="4" s="1"/>
  <c r="R117" i="4" s="1"/>
  <c r="R116" i="4" s="1"/>
  <c r="R115" i="4" s="1"/>
  <c r="R114" i="4" s="1"/>
  <c r="R113" i="4" s="1"/>
  <c r="R112" i="4" s="1"/>
  <c r="R111" i="4" s="1"/>
  <c r="R110" i="4" s="1"/>
  <c r="R109" i="4" s="1"/>
  <c r="R108" i="4" s="1"/>
  <c r="R107" i="4" s="1"/>
  <c r="R106" i="4" s="1"/>
  <c r="R105" i="4" s="1"/>
  <c r="R104" i="4" s="1"/>
  <c r="R103" i="4" s="1"/>
  <c r="R102" i="4" s="1"/>
  <c r="R101" i="4" s="1"/>
  <c r="R100" i="4" s="1"/>
  <c r="R99" i="4" s="1"/>
  <c r="R98" i="4" s="1"/>
  <c r="R97" i="4" s="1"/>
  <c r="R96" i="4" s="1"/>
  <c r="R95" i="4" s="1"/>
  <c r="R94" i="4" s="1"/>
  <c r="R93" i="4" s="1"/>
  <c r="R92" i="4" s="1"/>
  <c r="R91" i="4" s="1"/>
  <c r="R90" i="4" s="1"/>
  <c r="R89" i="4" s="1"/>
  <c r="R88" i="4" s="1"/>
  <c r="R87" i="4" s="1"/>
  <c r="R86" i="4" s="1"/>
  <c r="R85" i="4" s="1"/>
  <c r="R84" i="4" s="1"/>
  <c r="R83" i="4" s="1"/>
  <c r="R82" i="4" s="1"/>
  <c r="R81" i="4" s="1"/>
  <c r="R80" i="4" s="1"/>
  <c r="R79" i="4" s="1"/>
  <c r="R78" i="4" s="1"/>
  <c r="R77" i="4" s="1"/>
  <c r="R76" i="4" s="1"/>
  <c r="R75" i="4" s="1"/>
  <c r="R74" i="4" s="1"/>
  <c r="R73" i="4" s="1"/>
  <c r="R72" i="4" s="1"/>
  <c r="R71" i="4" s="1"/>
  <c r="R70" i="4" s="1"/>
  <c r="R69" i="4" s="1"/>
  <c r="R68" i="4" s="1"/>
  <c r="R67" i="4" s="1"/>
  <c r="R66" i="4" s="1"/>
  <c r="R65" i="4" s="1"/>
  <c r="R64" i="4" s="1"/>
  <c r="R63" i="4" s="1"/>
  <c r="R62" i="4" s="1"/>
  <c r="R61" i="4" s="1"/>
  <c r="R60" i="4" s="1"/>
  <c r="R59" i="4" s="1"/>
  <c r="R58" i="4" s="1"/>
  <c r="R57" i="4" s="1"/>
  <c r="R56" i="4" s="1"/>
  <c r="R55" i="4" s="1"/>
  <c r="R54" i="4" s="1"/>
  <c r="R53" i="4" s="1"/>
  <c r="R52" i="4" s="1"/>
  <c r="R51" i="4" s="1"/>
  <c r="R50" i="4" s="1"/>
  <c r="R49" i="4" s="1"/>
  <c r="R48" i="4" s="1"/>
  <c r="R47" i="4" s="1"/>
  <c r="R46" i="4" s="1"/>
  <c r="R45" i="4" s="1"/>
  <c r="R44" i="4" s="1"/>
  <c r="R43" i="4" s="1"/>
  <c r="R42" i="4" s="1"/>
  <c r="R41" i="4" s="1"/>
  <c r="R40" i="4" s="1"/>
  <c r="R39" i="4" s="1"/>
  <c r="R38" i="4" s="1"/>
  <c r="R37" i="4" s="1"/>
  <c r="R36" i="4" s="1"/>
  <c r="R35" i="4" s="1"/>
  <c r="R34" i="4" s="1"/>
  <c r="R33" i="4" s="1"/>
  <c r="R32" i="4" s="1"/>
  <c r="R31" i="4" s="1"/>
  <c r="R30" i="4" s="1"/>
  <c r="R29" i="4" s="1"/>
  <c r="R28" i="4" s="1"/>
  <c r="R27" i="4" s="1"/>
  <c r="R26" i="4" s="1"/>
  <c r="R25" i="4" s="1"/>
  <c r="R24" i="4" s="1"/>
  <c r="R23" i="4" s="1"/>
  <c r="R22" i="4" s="1"/>
  <c r="R21" i="4" s="1"/>
  <c r="R20" i="4" s="1"/>
  <c r="R19" i="4" s="1"/>
  <c r="R18" i="4" s="1"/>
  <c r="R17" i="4" s="1"/>
  <c r="R16" i="4" s="1"/>
  <c r="R15" i="4" s="1"/>
  <c r="R14" i="4" s="1"/>
  <c r="R13" i="4" s="1"/>
  <c r="R12" i="4" s="1"/>
  <c r="R11" i="4" s="1"/>
  <c r="R10" i="4" s="1"/>
  <c r="R9" i="4" s="1"/>
  <c r="R8" i="4" s="1"/>
  <c r="R7" i="4" s="1"/>
  <c r="R6" i="4" s="1"/>
  <c r="R5" i="4" s="1"/>
  <c r="R4" i="4" s="1"/>
  <c r="R3" i="4" s="1"/>
  <c r="N158" i="2" l="1"/>
  <c r="L71" i="2"/>
  <c r="L75" i="2" s="1"/>
  <c r="I64" i="2" s="1"/>
  <c r="H29" i="20" s="1"/>
  <c r="O122" i="2"/>
  <c r="O128" i="2"/>
  <c r="L127" i="2"/>
  <c r="L131" i="2" s="1"/>
  <c r="L133" i="2" s="1"/>
  <c r="L123" i="2"/>
  <c r="L70" i="2"/>
  <c r="L72" i="2" s="1"/>
  <c r="L88" i="2"/>
  <c r="L90" i="2" s="1"/>
  <c r="L89" i="2"/>
  <c r="L91" i="2" s="1"/>
  <c r="L240" i="2"/>
  <c r="I229" i="2" s="1"/>
  <c r="P11" i="20" s="1"/>
  <c r="L130" i="2"/>
  <c r="L107" i="2"/>
  <c r="L109" i="2" s="1"/>
  <c r="L106" i="2"/>
  <c r="L108" i="2" s="1"/>
  <c r="L256" i="2"/>
  <c r="L260" i="2" s="1"/>
  <c r="I249" i="2" s="1"/>
  <c r="T11" i="20" s="1"/>
  <c r="L149" i="2"/>
  <c r="L150" i="2" s="1"/>
  <c r="H149" i="2" s="1"/>
  <c r="S17" i="20" s="1"/>
  <c r="L113" i="2"/>
  <c r="F11" i="3" s="1"/>
  <c r="H151" i="2"/>
  <c r="S21" i="20" s="1"/>
  <c r="D37" i="3"/>
  <c r="C37" i="3"/>
  <c r="H214" i="2" s="1"/>
  <c r="O210" i="2" s="1"/>
  <c r="L31" i="3"/>
  <c r="I274" i="2" s="1"/>
  <c r="O271" i="2" s="1"/>
  <c r="K31" i="3"/>
  <c r="H274" i="2" s="1"/>
  <c r="O270" i="2" s="1"/>
  <c r="K25" i="3"/>
  <c r="H86" i="2" s="1"/>
  <c r="O83" i="2" s="1"/>
  <c r="L25" i="3"/>
  <c r="I86" i="2" s="1"/>
  <c r="O84" i="2" s="1"/>
  <c r="G25" i="3"/>
  <c r="H68" i="2" s="1"/>
  <c r="H25" i="3"/>
  <c r="I68" i="2" s="1"/>
  <c r="P27" i="3"/>
  <c r="I314" i="2" s="1"/>
  <c r="O311" i="2" s="1"/>
  <c r="O27" i="3"/>
  <c r="H314" i="2" s="1"/>
  <c r="O310" i="2" s="1"/>
  <c r="H31" i="3"/>
  <c r="G31" i="3"/>
  <c r="L239" i="2"/>
  <c r="H229" i="2" s="1"/>
  <c r="O11" i="20" s="1"/>
  <c r="L358" i="2"/>
  <c r="L360" i="2"/>
  <c r="I349" i="2" s="1"/>
  <c r="O358" i="2" s="1"/>
  <c r="O362" i="2" s="1"/>
  <c r="L275" i="2"/>
  <c r="L277" i="2" s="1"/>
  <c r="O295" i="2"/>
  <c r="J37" i="3" s="1"/>
  <c r="L308" i="2"/>
  <c r="L220" i="2"/>
  <c r="I209" i="2" s="1"/>
  <c r="AB11" i="20" s="1"/>
  <c r="L296" i="2"/>
  <c r="L298" i="2" s="1"/>
  <c r="L295" i="2"/>
  <c r="L299" i="2" s="1"/>
  <c r="H289" i="2" s="1"/>
  <c r="W29" i="20" s="1"/>
  <c r="L315" i="2"/>
  <c r="L317" i="2" s="1"/>
  <c r="L316" i="2"/>
  <c r="L318" i="2" s="1"/>
  <c r="L348" i="2"/>
  <c r="O355" i="2"/>
  <c r="N21" i="3" s="1"/>
  <c r="L355" i="2"/>
  <c r="L276" i="2"/>
  <c r="O255" i="2"/>
  <c r="F37" i="3" s="1"/>
  <c r="L328" i="2"/>
  <c r="O335" i="2"/>
  <c r="N15" i="3" s="1"/>
  <c r="L335" i="2"/>
  <c r="L219" i="2"/>
  <c r="H209" i="2" s="1"/>
  <c r="AA11" i="20" s="1"/>
  <c r="L336" i="2"/>
  <c r="L257" i="2"/>
  <c r="L259" i="2"/>
  <c r="H249" i="2" s="1"/>
  <c r="S11" i="20" s="1"/>
  <c r="N155" i="2"/>
  <c r="I150" i="2"/>
  <c r="T20" i="20" s="1"/>
  <c r="U362" i="4"/>
  <c r="U361" i="4" s="1"/>
  <c r="U360" i="4" s="1"/>
  <c r="U359" i="4" s="1"/>
  <c r="U358" i="4" s="1"/>
  <c r="U357" i="4" s="1"/>
  <c r="U356" i="4" s="1"/>
  <c r="U355" i="4" s="1"/>
  <c r="U354" i="4" s="1"/>
  <c r="U353" i="4" s="1"/>
  <c r="U352" i="4" s="1"/>
  <c r="U351" i="4" s="1"/>
  <c r="U350" i="4" s="1"/>
  <c r="U349" i="4" s="1"/>
  <c r="U348" i="4" s="1"/>
  <c r="U347" i="4" s="1"/>
  <c r="U346" i="4" s="1"/>
  <c r="U345" i="4" s="1"/>
  <c r="U344" i="4" s="1"/>
  <c r="U343" i="4" s="1"/>
  <c r="U342" i="4" s="1"/>
  <c r="U341" i="4" s="1"/>
  <c r="U340" i="4" s="1"/>
  <c r="U339" i="4" s="1"/>
  <c r="U338" i="4" s="1"/>
  <c r="U337" i="4" s="1"/>
  <c r="U336" i="4" s="1"/>
  <c r="U335" i="4" s="1"/>
  <c r="U334" i="4" s="1"/>
  <c r="U333" i="4" s="1"/>
  <c r="U332" i="4" s="1"/>
  <c r="U331" i="4" s="1"/>
  <c r="U330" i="4" s="1"/>
  <c r="U329" i="4" s="1"/>
  <c r="U328" i="4" s="1"/>
  <c r="U327" i="4" s="1"/>
  <c r="U326" i="4" s="1"/>
  <c r="U325" i="4" s="1"/>
  <c r="U324" i="4" s="1"/>
  <c r="U323" i="4" s="1"/>
  <c r="U322" i="4" s="1"/>
  <c r="U321" i="4" s="1"/>
  <c r="U320" i="4" s="1"/>
  <c r="U319" i="4" s="1"/>
  <c r="U318" i="4" s="1"/>
  <c r="U317" i="4" s="1"/>
  <c r="U316" i="4" s="1"/>
  <c r="U315" i="4" s="1"/>
  <c r="U314" i="4" s="1"/>
  <c r="U313" i="4" s="1"/>
  <c r="U312" i="4" s="1"/>
  <c r="U311" i="4" s="1"/>
  <c r="U310" i="4" s="1"/>
  <c r="U309" i="4" s="1"/>
  <c r="U308" i="4" s="1"/>
  <c r="U307" i="4" s="1"/>
  <c r="U306" i="4" s="1"/>
  <c r="U305" i="4" s="1"/>
  <c r="U304" i="4" s="1"/>
  <c r="U303" i="4" s="1"/>
  <c r="U302" i="4" s="1"/>
  <c r="U301" i="4" s="1"/>
  <c r="U300" i="4" s="1"/>
  <c r="U299" i="4" s="1"/>
  <c r="U298" i="4" s="1"/>
  <c r="U297" i="4" s="1"/>
  <c r="U296" i="4" s="1"/>
  <c r="U295" i="4" s="1"/>
  <c r="U294" i="4" s="1"/>
  <c r="U293" i="4" s="1"/>
  <c r="U292" i="4" s="1"/>
  <c r="U291" i="4" s="1"/>
  <c r="U290" i="4" s="1"/>
  <c r="U289" i="4" s="1"/>
  <c r="U288" i="4" s="1"/>
  <c r="U287" i="4" s="1"/>
  <c r="U286" i="4" s="1"/>
  <c r="U285" i="4" s="1"/>
  <c r="U284" i="4" s="1"/>
  <c r="U283" i="4" s="1"/>
  <c r="U282" i="4" s="1"/>
  <c r="U281" i="4" s="1"/>
  <c r="U280" i="4" s="1"/>
  <c r="U279" i="4" s="1"/>
  <c r="U278" i="4" s="1"/>
  <c r="U277" i="4" s="1"/>
  <c r="U276" i="4" s="1"/>
  <c r="U275" i="4" s="1"/>
  <c r="U274" i="4" s="1"/>
  <c r="U273" i="4" s="1"/>
  <c r="U272" i="4" s="1"/>
  <c r="U271" i="4" s="1"/>
  <c r="U270" i="4" s="1"/>
  <c r="U269" i="4" s="1"/>
  <c r="U268" i="4" s="1"/>
  <c r="U267" i="4" s="1"/>
  <c r="U266" i="4" s="1"/>
  <c r="U265" i="4" s="1"/>
  <c r="U264" i="4" s="1"/>
  <c r="U263" i="4" s="1"/>
  <c r="U262" i="4" s="1"/>
  <c r="U261" i="4" s="1"/>
  <c r="U260" i="4" s="1"/>
  <c r="U259" i="4" s="1"/>
  <c r="U258" i="4" s="1"/>
  <c r="U257" i="4" s="1"/>
  <c r="U256" i="4" s="1"/>
  <c r="U255" i="4" s="1"/>
  <c r="U254" i="4" s="1"/>
  <c r="U253" i="4" s="1"/>
  <c r="U252" i="4" s="1"/>
  <c r="U251" i="4" s="1"/>
  <c r="U250" i="4" s="1"/>
  <c r="U249" i="4" s="1"/>
  <c r="U248" i="4" s="1"/>
  <c r="U247" i="4" s="1"/>
  <c r="U246" i="4" s="1"/>
  <c r="U245" i="4" s="1"/>
  <c r="U244" i="4" s="1"/>
  <c r="U243" i="4" s="1"/>
  <c r="U242" i="4" s="1"/>
  <c r="U241" i="4" s="1"/>
  <c r="U240" i="4" s="1"/>
  <c r="U239" i="4" s="1"/>
  <c r="U238" i="4" s="1"/>
  <c r="U237" i="4" s="1"/>
  <c r="U236" i="4" s="1"/>
  <c r="U235" i="4" s="1"/>
  <c r="U234" i="4" s="1"/>
  <c r="U233" i="4" s="1"/>
  <c r="U232" i="4" s="1"/>
  <c r="U231" i="4" s="1"/>
  <c r="U230" i="4" s="1"/>
  <c r="U229" i="4" s="1"/>
  <c r="U228" i="4" s="1"/>
  <c r="U227" i="4" s="1"/>
  <c r="U226" i="4" s="1"/>
  <c r="U225" i="4" s="1"/>
  <c r="U224" i="4" s="1"/>
  <c r="U223" i="4" s="1"/>
  <c r="U222" i="4" s="1"/>
  <c r="U221" i="4" s="1"/>
  <c r="U220" i="4" s="1"/>
  <c r="U219" i="4" s="1"/>
  <c r="U218" i="4" s="1"/>
  <c r="U217" i="4" s="1"/>
  <c r="U216" i="4" s="1"/>
  <c r="U215" i="4" s="1"/>
  <c r="U214" i="4" s="1"/>
  <c r="U213" i="4" s="1"/>
  <c r="U212" i="4" s="1"/>
  <c r="U211" i="4" s="1"/>
  <c r="U210" i="4" s="1"/>
  <c r="U209" i="4" s="1"/>
  <c r="U208" i="4" s="1"/>
  <c r="U207" i="4" s="1"/>
  <c r="U206" i="4" s="1"/>
  <c r="U205" i="4" s="1"/>
  <c r="U204" i="4" s="1"/>
  <c r="U203" i="4" s="1"/>
  <c r="U202" i="4" s="1"/>
  <c r="U201" i="4" s="1"/>
  <c r="U200" i="4" s="1"/>
  <c r="U199" i="4" s="1"/>
  <c r="U198" i="4" s="1"/>
  <c r="U197" i="4" s="1"/>
  <c r="U196" i="4" s="1"/>
  <c r="U195" i="4" s="1"/>
  <c r="U194" i="4" s="1"/>
  <c r="U193" i="4" s="1"/>
  <c r="U192" i="4" s="1"/>
  <c r="U191" i="4" s="1"/>
  <c r="U190" i="4" s="1"/>
  <c r="U189" i="4" s="1"/>
  <c r="U188" i="4" s="1"/>
  <c r="U187" i="4" s="1"/>
  <c r="U186" i="4" s="1"/>
  <c r="U185" i="4" s="1"/>
  <c r="U184" i="4" s="1"/>
  <c r="U183" i="4" s="1"/>
  <c r="U182" i="4" s="1"/>
  <c r="U181" i="4" s="1"/>
  <c r="U180" i="4" s="1"/>
  <c r="U179" i="4" s="1"/>
  <c r="U178" i="4" s="1"/>
  <c r="U177" i="4" s="1"/>
  <c r="U176" i="4" s="1"/>
  <c r="U175" i="4" s="1"/>
  <c r="U174" i="4" s="1"/>
  <c r="U173" i="4" s="1"/>
  <c r="U172" i="4" s="1"/>
  <c r="U171" i="4" s="1"/>
  <c r="U170" i="4" s="1"/>
  <c r="U169" i="4" s="1"/>
  <c r="U168" i="4" s="1"/>
  <c r="U167" i="4" s="1"/>
  <c r="U166" i="4" s="1"/>
  <c r="U165" i="4" s="1"/>
  <c r="U164" i="4" s="1"/>
  <c r="U163" i="4" s="1"/>
  <c r="U162" i="4" s="1"/>
  <c r="U161" i="4" s="1"/>
  <c r="U160" i="4" s="1"/>
  <c r="U159" i="4" s="1"/>
  <c r="U158" i="4" s="1"/>
  <c r="U157" i="4" s="1"/>
  <c r="U156" i="4" s="1"/>
  <c r="U155" i="4" s="1"/>
  <c r="U154" i="4" s="1"/>
  <c r="U153" i="4" s="1"/>
  <c r="U152" i="4" s="1"/>
  <c r="U151" i="4" s="1"/>
  <c r="U150" i="4" s="1"/>
  <c r="U149" i="4" s="1"/>
  <c r="U148" i="4" s="1"/>
  <c r="U147" i="4" s="1"/>
  <c r="U146" i="4" s="1"/>
  <c r="U145" i="4" s="1"/>
  <c r="U144" i="4" s="1"/>
  <c r="U143" i="4" s="1"/>
  <c r="U142" i="4" s="1"/>
  <c r="U141" i="4" s="1"/>
  <c r="U140" i="4" s="1"/>
  <c r="U139" i="4" s="1"/>
  <c r="U138" i="4" s="1"/>
  <c r="U137" i="4" s="1"/>
  <c r="U136" i="4" s="1"/>
  <c r="U135" i="4" s="1"/>
  <c r="U134" i="4" s="1"/>
  <c r="U133" i="4" s="1"/>
  <c r="U132" i="4" s="1"/>
  <c r="U131" i="4" s="1"/>
  <c r="U130" i="4" s="1"/>
  <c r="U129" i="4" s="1"/>
  <c r="U128" i="4" s="1"/>
  <c r="U127" i="4" s="1"/>
  <c r="U126" i="4" s="1"/>
  <c r="U125" i="4" s="1"/>
  <c r="U124" i="4" s="1"/>
  <c r="U123" i="4" s="1"/>
  <c r="U122" i="4" s="1"/>
  <c r="U121" i="4" s="1"/>
  <c r="U120" i="4" s="1"/>
  <c r="U119" i="4" s="1"/>
  <c r="U118" i="4" s="1"/>
  <c r="U117" i="4" s="1"/>
  <c r="U116" i="4" s="1"/>
  <c r="U115" i="4" s="1"/>
  <c r="U114" i="4" s="1"/>
  <c r="U113" i="4" s="1"/>
  <c r="U112" i="4" s="1"/>
  <c r="U111" i="4" s="1"/>
  <c r="U110" i="4" s="1"/>
  <c r="U109" i="4" s="1"/>
  <c r="U108" i="4" s="1"/>
  <c r="U107" i="4" s="1"/>
  <c r="U106" i="4" s="1"/>
  <c r="U105" i="4" s="1"/>
  <c r="U104" i="4" s="1"/>
  <c r="U103" i="4" s="1"/>
  <c r="U102" i="4" s="1"/>
  <c r="U101" i="4" s="1"/>
  <c r="U100" i="4" s="1"/>
  <c r="U99" i="4" s="1"/>
  <c r="U98" i="4" s="1"/>
  <c r="U97" i="4" s="1"/>
  <c r="U96" i="4" s="1"/>
  <c r="U95" i="4" s="1"/>
  <c r="U94" i="4" s="1"/>
  <c r="U93" i="4" s="1"/>
  <c r="U92" i="4" s="1"/>
  <c r="U91" i="4" s="1"/>
  <c r="U90" i="4" s="1"/>
  <c r="U89" i="4" s="1"/>
  <c r="U88" i="4" s="1"/>
  <c r="U87" i="4" s="1"/>
  <c r="U86" i="4" s="1"/>
  <c r="U85" i="4" s="1"/>
  <c r="U84" i="4" s="1"/>
  <c r="U83" i="4" s="1"/>
  <c r="U82" i="4" s="1"/>
  <c r="U81" i="4" s="1"/>
  <c r="U80" i="4" s="1"/>
  <c r="U79" i="4" s="1"/>
  <c r="U78" i="4" s="1"/>
  <c r="U77" i="4" s="1"/>
  <c r="U76" i="4" s="1"/>
  <c r="U75" i="4" s="1"/>
  <c r="U74" i="4" s="1"/>
  <c r="U73" i="4" s="1"/>
  <c r="U72" i="4" s="1"/>
  <c r="U71" i="4" s="1"/>
  <c r="U70" i="4" s="1"/>
  <c r="U69" i="4" s="1"/>
  <c r="U68" i="4" s="1"/>
  <c r="U67" i="4" s="1"/>
  <c r="U66" i="4" s="1"/>
  <c r="U65" i="4" s="1"/>
  <c r="U64" i="4" s="1"/>
  <c r="U63" i="4" s="1"/>
  <c r="U62" i="4" s="1"/>
  <c r="U61" i="4" s="1"/>
  <c r="U60" i="4" s="1"/>
  <c r="U59" i="4" s="1"/>
  <c r="U58" i="4" s="1"/>
  <c r="U57" i="4" s="1"/>
  <c r="U56" i="4" s="1"/>
  <c r="U55" i="4" s="1"/>
  <c r="U54" i="4" s="1"/>
  <c r="U53" i="4" s="1"/>
  <c r="U52" i="4" s="1"/>
  <c r="U51" i="4" s="1"/>
  <c r="U50" i="4" s="1"/>
  <c r="U49" i="4" s="1"/>
  <c r="U48" i="4" s="1"/>
  <c r="U47" i="4" s="1"/>
  <c r="U46" i="4" s="1"/>
  <c r="U45" i="4" s="1"/>
  <c r="U44" i="4" s="1"/>
  <c r="U43" i="4" s="1"/>
  <c r="U42" i="4" s="1"/>
  <c r="U41" i="4" s="1"/>
  <c r="U40" i="4" s="1"/>
  <c r="U39" i="4" s="1"/>
  <c r="U38" i="4" s="1"/>
  <c r="U37" i="4" s="1"/>
  <c r="U36" i="4" s="1"/>
  <c r="U35" i="4" s="1"/>
  <c r="U34" i="4" s="1"/>
  <c r="U33" i="4" s="1"/>
  <c r="U32" i="4" s="1"/>
  <c r="U31" i="4" s="1"/>
  <c r="U30" i="4" s="1"/>
  <c r="U29" i="4" s="1"/>
  <c r="U28" i="4" s="1"/>
  <c r="U27" i="4" s="1"/>
  <c r="U26" i="4" s="1"/>
  <c r="U25" i="4" s="1"/>
  <c r="U24" i="4" s="1"/>
  <c r="U23" i="4" s="1"/>
  <c r="U22" i="4" s="1"/>
  <c r="U21" i="4" s="1"/>
  <c r="U20" i="4" s="1"/>
  <c r="U19" i="4" s="1"/>
  <c r="U18" i="4" s="1"/>
  <c r="U17" i="4" s="1"/>
  <c r="U16" i="4" s="1"/>
  <c r="U15" i="4" s="1"/>
  <c r="U14" i="4" s="1"/>
  <c r="U13" i="4" s="1"/>
  <c r="U12" i="4" s="1"/>
  <c r="U11" i="4" s="1"/>
  <c r="U10" i="4" s="1"/>
  <c r="U9" i="4" s="1"/>
  <c r="U8" i="4" s="1"/>
  <c r="U7" i="4" s="1"/>
  <c r="U6" i="4" s="1"/>
  <c r="U5" i="4" s="1"/>
  <c r="U4" i="4" s="1"/>
  <c r="U3" i="4" s="1"/>
  <c r="X363" i="4"/>
  <c r="W362" i="4"/>
  <c r="W361" i="4" s="1"/>
  <c r="W360" i="4" s="1"/>
  <c r="W359" i="4" s="1"/>
  <c r="W358" i="4" s="1"/>
  <c r="W357" i="4" s="1"/>
  <c r="W356" i="4" s="1"/>
  <c r="W355" i="4" s="1"/>
  <c r="W354" i="4" s="1"/>
  <c r="W353" i="4" s="1"/>
  <c r="W352" i="4" s="1"/>
  <c r="W351" i="4" s="1"/>
  <c r="W350" i="4" s="1"/>
  <c r="W349" i="4" s="1"/>
  <c r="W348" i="4" s="1"/>
  <c r="W347" i="4" s="1"/>
  <c r="W346" i="4" s="1"/>
  <c r="W345" i="4" s="1"/>
  <c r="W344" i="4" s="1"/>
  <c r="W343" i="4" s="1"/>
  <c r="W342" i="4" s="1"/>
  <c r="W341" i="4" s="1"/>
  <c r="W340" i="4" s="1"/>
  <c r="W339" i="4" s="1"/>
  <c r="W338" i="4" s="1"/>
  <c r="W337" i="4" s="1"/>
  <c r="W336" i="4" s="1"/>
  <c r="W335" i="4" s="1"/>
  <c r="W334" i="4" s="1"/>
  <c r="W333" i="4" s="1"/>
  <c r="W332" i="4" s="1"/>
  <c r="W331" i="4" s="1"/>
  <c r="W330" i="4" s="1"/>
  <c r="W329" i="4" s="1"/>
  <c r="W328" i="4" s="1"/>
  <c r="W327" i="4" s="1"/>
  <c r="W326" i="4" s="1"/>
  <c r="W325" i="4" s="1"/>
  <c r="W324" i="4" s="1"/>
  <c r="W323" i="4" s="1"/>
  <c r="W322" i="4" s="1"/>
  <c r="W321" i="4" s="1"/>
  <c r="W320" i="4" s="1"/>
  <c r="W319" i="4" s="1"/>
  <c r="W318" i="4" s="1"/>
  <c r="W317" i="4" s="1"/>
  <c r="W316" i="4" s="1"/>
  <c r="W315" i="4" s="1"/>
  <c r="W314" i="4" s="1"/>
  <c r="W313" i="4" s="1"/>
  <c r="W312" i="4" s="1"/>
  <c r="W311" i="4" s="1"/>
  <c r="W310" i="4" s="1"/>
  <c r="W309" i="4" s="1"/>
  <c r="W308" i="4" s="1"/>
  <c r="W307" i="4" s="1"/>
  <c r="W306" i="4" s="1"/>
  <c r="W305" i="4" s="1"/>
  <c r="W304" i="4" s="1"/>
  <c r="W303" i="4" s="1"/>
  <c r="W302" i="4" s="1"/>
  <c r="W301" i="4" s="1"/>
  <c r="W300" i="4" s="1"/>
  <c r="W299" i="4" s="1"/>
  <c r="W298" i="4" s="1"/>
  <c r="W297" i="4" s="1"/>
  <c r="W296" i="4" s="1"/>
  <c r="W295" i="4" s="1"/>
  <c r="W294" i="4" s="1"/>
  <c r="W293" i="4" s="1"/>
  <c r="W292" i="4" s="1"/>
  <c r="W291" i="4" s="1"/>
  <c r="W290" i="4" s="1"/>
  <c r="W289" i="4" s="1"/>
  <c r="W288" i="4" s="1"/>
  <c r="W287" i="4" s="1"/>
  <c r="W286" i="4" s="1"/>
  <c r="W285" i="4" s="1"/>
  <c r="W284" i="4" s="1"/>
  <c r="W283" i="4" s="1"/>
  <c r="W282" i="4" s="1"/>
  <c r="W281" i="4" s="1"/>
  <c r="W280" i="4" s="1"/>
  <c r="W279" i="4" s="1"/>
  <c r="W278" i="4" s="1"/>
  <c r="W277" i="4" s="1"/>
  <c r="W276" i="4" s="1"/>
  <c r="W275" i="4" s="1"/>
  <c r="W274" i="4" s="1"/>
  <c r="W273" i="4" s="1"/>
  <c r="W272" i="4" s="1"/>
  <c r="W271" i="4" s="1"/>
  <c r="W270" i="4" s="1"/>
  <c r="W269" i="4" s="1"/>
  <c r="W268" i="4" s="1"/>
  <c r="W267" i="4" s="1"/>
  <c r="W266" i="4" s="1"/>
  <c r="W265" i="4" s="1"/>
  <c r="W264" i="4" s="1"/>
  <c r="W263" i="4" s="1"/>
  <c r="W262" i="4" s="1"/>
  <c r="W261" i="4" s="1"/>
  <c r="W260" i="4" s="1"/>
  <c r="W259" i="4" s="1"/>
  <c r="W258" i="4" s="1"/>
  <c r="W257" i="4" s="1"/>
  <c r="W256" i="4" s="1"/>
  <c r="W255" i="4" s="1"/>
  <c r="W254" i="4" s="1"/>
  <c r="W253" i="4" s="1"/>
  <c r="W252" i="4" s="1"/>
  <c r="W251" i="4" s="1"/>
  <c r="W250" i="4" s="1"/>
  <c r="W249" i="4" s="1"/>
  <c r="W248" i="4" s="1"/>
  <c r="W247" i="4" s="1"/>
  <c r="W246" i="4" s="1"/>
  <c r="W245" i="4" s="1"/>
  <c r="W244" i="4" s="1"/>
  <c r="W243" i="4" s="1"/>
  <c r="W242" i="4" s="1"/>
  <c r="W241" i="4" s="1"/>
  <c r="W240" i="4" s="1"/>
  <c r="W239" i="4" s="1"/>
  <c r="W238" i="4" s="1"/>
  <c r="W237" i="4" s="1"/>
  <c r="W236" i="4" s="1"/>
  <c r="W235" i="4" s="1"/>
  <c r="W234" i="4" s="1"/>
  <c r="W233" i="4" s="1"/>
  <c r="W232" i="4" s="1"/>
  <c r="W231" i="4" s="1"/>
  <c r="W230" i="4" s="1"/>
  <c r="W229" i="4" s="1"/>
  <c r="W228" i="4" s="1"/>
  <c r="W227" i="4" s="1"/>
  <c r="W226" i="4" s="1"/>
  <c r="W225" i="4" s="1"/>
  <c r="W224" i="4" s="1"/>
  <c r="W223" i="4" s="1"/>
  <c r="W222" i="4" s="1"/>
  <c r="W221" i="4" s="1"/>
  <c r="W220" i="4" s="1"/>
  <c r="W219" i="4" s="1"/>
  <c r="W218" i="4" s="1"/>
  <c r="W217" i="4" s="1"/>
  <c r="W216" i="4" s="1"/>
  <c r="W215" i="4" s="1"/>
  <c r="W214" i="4" s="1"/>
  <c r="W213" i="4" s="1"/>
  <c r="W212" i="4" s="1"/>
  <c r="W211" i="4" s="1"/>
  <c r="W210" i="4" s="1"/>
  <c r="W209" i="4" s="1"/>
  <c r="W208" i="4" s="1"/>
  <c r="W207" i="4" s="1"/>
  <c r="W206" i="4" s="1"/>
  <c r="W205" i="4" s="1"/>
  <c r="W204" i="4" s="1"/>
  <c r="W203" i="4" s="1"/>
  <c r="W202" i="4" s="1"/>
  <c r="W201" i="4" s="1"/>
  <c r="W200" i="4" s="1"/>
  <c r="W199" i="4" s="1"/>
  <c r="W198" i="4" s="1"/>
  <c r="W197" i="4" s="1"/>
  <c r="W196" i="4" s="1"/>
  <c r="W195" i="4" s="1"/>
  <c r="W194" i="4" s="1"/>
  <c r="W193" i="4" s="1"/>
  <c r="W192" i="4" s="1"/>
  <c r="W191" i="4" s="1"/>
  <c r="W190" i="4" s="1"/>
  <c r="W189" i="4" s="1"/>
  <c r="W188" i="4" s="1"/>
  <c r="W187" i="4" s="1"/>
  <c r="W186" i="4" s="1"/>
  <c r="W185" i="4" s="1"/>
  <c r="W184" i="4" s="1"/>
  <c r="W183" i="4" s="1"/>
  <c r="W182" i="4" s="1"/>
  <c r="W181" i="4" s="1"/>
  <c r="W180" i="4" s="1"/>
  <c r="W179" i="4" s="1"/>
  <c r="W178" i="4" s="1"/>
  <c r="W177" i="4" s="1"/>
  <c r="W176" i="4" s="1"/>
  <c r="W175" i="4" s="1"/>
  <c r="W174" i="4" s="1"/>
  <c r="W173" i="4" s="1"/>
  <c r="W172" i="4" s="1"/>
  <c r="W171" i="4" s="1"/>
  <c r="W170" i="4" s="1"/>
  <c r="W169" i="4" s="1"/>
  <c r="W168" i="4" s="1"/>
  <c r="W167" i="4" s="1"/>
  <c r="W166" i="4" s="1"/>
  <c r="W165" i="4" s="1"/>
  <c r="W164" i="4" s="1"/>
  <c r="W163" i="4" s="1"/>
  <c r="W162" i="4" s="1"/>
  <c r="W161" i="4" s="1"/>
  <c r="W160" i="4" s="1"/>
  <c r="W159" i="4" s="1"/>
  <c r="W158" i="4" s="1"/>
  <c r="W157" i="4" s="1"/>
  <c r="W156" i="4" s="1"/>
  <c r="W155" i="4" s="1"/>
  <c r="W154" i="4" s="1"/>
  <c r="W153" i="4" s="1"/>
  <c r="W152" i="4" s="1"/>
  <c r="W151" i="4" s="1"/>
  <c r="W150" i="4" s="1"/>
  <c r="W149" i="4" s="1"/>
  <c r="W148" i="4" s="1"/>
  <c r="W147" i="4" s="1"/>
  <c r="W146" i="4" s="1"/>
  <c r="W145" i="4" s="1"/>
  <c r="W144" i="4" s="1"/>
  <c r="W143" i="4" s="1"/>
  <c r="W142" i="4" s="1"/>
  <c r="W141" i="4" s="1"/>
  <c r="W140" i="4" s="1"/>
  <c r="W139" i="4" s="1"/>
  <c r="W138" i="4" s="1"/>
  <c r="W137" i="4" s="1"/>
  <c r="W136" i="4" s="1"/>
  <c r="W135" i="4" s="1"/>
  <c r="W134" i="4" s="1"/>
  <c r="W133" i="4" s="1"/>
  <c r="W132" i="4" s="1"/>
  <c r="W131" i="4" s="1"/>
  <c r="W130" i="4" s="1"/>
  <c r="W129" i="4" s="1"/>
  <c r="W128" i="4" s="1"/>
  <c r="W127" i="4" s="1"/>
  <c r="W126" i="4" s="1"/>
  <c r="W125" i="4" s="1"/>
  <c r="W124" i="4" s="1"/>
  <c r="W123" i="4" s="1"/>
  <c r="W122" i="4" s="1"/>
  <c r="W121" i="4" s="1"/>
  <c r="W120" i="4" s="1"/>
  <c r="W119" i="4" s="1"/>
  <c r="W118" i="4" s="1"/>
  <c r="W117" i="4" s="1"/>
  <c r="W116" i="4" s="1"/>
  <c r="W115" i="4" s="1"/>
  <c r="W114" i="4" s="1"/>
  <c r="W113" i="4" s="1"/>
  <c r="W112" i="4" s="1"/>
  <c r="W111" i="4" s="1"/>
  <c r="W110" i="4" s="1"/>
  <c r="W109" i="4" s="1"/>
  <c r="W108" i="4" s="1"/>
  <c r="W107" i="4" s="1"/>
  <c r="W106" i="4" s="1"/>
  <c r="W105" i="4" s="1"/>
  <c r="W104" i="4" s="1"/>
  <c r="W103" i="4" s="1"/>
  <c r="W102" i="4" s="1"/>
  <c r="W101" i="4" s="1"/>
  <c r="W100" i="4" s="1"/>
  <c r="W99" i="4" s="1"/>
  <c r="W98" i="4" s="1"/>
  <c r="W97" i="4" s="1"/>
  <c r="W96" i="4" s="1"/>
  <c r="W95" i="4" s="1"/>
  <c r="W94" i="4" s="1"/>
  <c r="W93" i="4" s="1"/>
  <c r="W92" i="4" s="1"/>
  <c r="W91" i="4" s="1"/>
  <c r="W90" i="4" s="1"/>
  <c r="W89" i="4" s="1"/>
  <c r="W88" i="4" s="1"/>
  <c r="W87" i="4" s="1"/>
  <c r="W86" i="4" s="1"/>
  <c r="W85" i="4" s="1"/>
  <c r="W84" i="4" s="1"/>
  <c r="W83" i="4" s="1"/>
  <c r="W82" i="4" s="1"/>
  <c r="W81" i="4" s="1"/>
  <c r="W80" i="4" s="1"/>
  <c r="W79" i="4" s="1"/>
  <c r="W78" i="4" s="1"/>
  <c r="W77" i="4" s="1"/>
  <c r="W76" i="4" s="1"/>
  <c r="W75" i="4" s="1"/>
  <c r="W74" i="4" s="1"/>
  <c r="W73" i="4" s="1"/>
  <c r="W72" i="4" s="1"/>
  <c r="W71" i="4" s="1"/>
  <c r="W70" i="4" s="1"/>
  <c r="W69" i="4" s="1"/>
  <c r="W68" i="4" s="1"/>
  <c r="W67" i="4" s="1"/>
  <c r="W66" i="4" s="1"/>
  <c r="W65" i="4" s="1"/>
  <c r="W64" i="4" s="1"/>
  <c r="W63" i="4" s="1"/>
  <c r="W62" i="4" s="1"/>
  <c r="W61" i="4" s="1"/>
  <c r="W60" i="4" s="1"/>
  <c r="W59" i="4" s="1"/>
  <c r="W58" i="4" s="1"/>
  <c r="W57" i="4" s="1"/>
  <c r="W56" i="4" s="1"/>
  <c r="W55" i="4" s="1"/>
  <c r="W54" i="4" s="1"/>
  <c r="W53" i="4" s="1"/>
  <c r="W52" i="4" s="1"/>
  <c r="W51" i="4" s="1"/>
  <c r="W50" i="4" s="1"/>
  <c r="W49" i="4" s="1"/>
  <c r="W48" i="4" s="1"/>
  <c r="W47" i="4" s="1"/>
  <c r="W46" i="4" s="1"/>
  <c r="W45" i="4" s="1"/>
  <c r="W44" i="4" s="1"/>
  <c r="W43" i="4" s="1"/>
  <c r="W42" i="4" s="1"/>
  <c r="W41" i="4" s="1"/>
  <c r="W40" i="4" s="1"/>
  <c r="W39" i="4" s="1"/>
  <c r="W38" i="4" s="1"/>
  <c r="W37" i="4" s="1"/>
  <c r="W36" i="4" s="1"/>
  <c r="W35" i="4" s="1"/>
  <c r="W34" i="4" s="1"/>
  <c r="W33" i="4" s="1"/>
  <c r="W32" i="4" s="1"/>
  <c r="W31" i="4" s="1"/>
  <c r="W30" i="4" s="1"/>
  <c r="W29" i="4" s="1"/>
  <c r="W28" i="4" s="1"/>
  <c r="W27" i="4" s="1"/>
  <c r="W26" i="4" s="1"/>
  <c r="W25" i="4" s="1"/>
  <c r="W24" i="4" s="1"/>
  <c r="W23" i="4" s="1"/>
  <c r="W22" i="4" s="1"/>
  <c r="W21" i="4" s="1"/>
  <c r="W20" i="4" s="1"/>
  <c r="W19" i="4" s="1"/>
  <c r="W18" i="4" s="1"/>
  <c r="W17" i="4" s="1"/>
  <c r="W16" i="4" s="1"/>
  <c r="W15" i="4" s="1"/>
  <c r="W14" i="4" s="1"/>
  <c r="W13" i="4" s="1"/>
  <c r="W12" i="4" s="1"/>
  <c r="W11" i="4" s="1"/>
  <c r="W10" i="4" s="1"/>
  <c r="W9" i="4" s="1"/>
  <c r="W8" i="4" s="1"/>
  <c r="W7" i="4" s="1"/>
  <c r="W6" i="4" s="1"/>
  <c r="W5" i="4" s="1"/>
  <c r="W4" i="4" s="1"/>
  <c r="W3" i="4" s="1"/>
  <c r="Z363" i="4"/>
  <c r="S362" i="4"/>
  <c r="S361" i="4" s="1"/>
  <c r="S360" i="4" s="1"/>
  <c r="S359" i="4" s="1"/>
  <c r="S358" i="4" s="1"/>
  <c r="S357" i="4" s="1"/>
  <c r="S356" i="4" s="1"/>
  <c r="S355" i="4" s="1"/>
  <c r="S354" i="4" s="1"/>
  <c r="S353" i="4" s="1"/>
  <c r="S352" i="4" s="1"/>
  <c r="S351" i="4" s="1"/>
  <c r="S350" i="4" s="1"/>
  <c r="S349" i="4" s="1"/>
  <c r="S348" i="4" s="1"/>
  <c r="S347" i="4" s="1"/>
  <c r="S346" i="4" s="1"/>
  <c r="S345" i="4" s="1"/>
  <c r="S344" i="4" s="1"/>
  <c r="S343" i="4" s="1"/>
  <c r="S342" i="4" s="1"/>
  <c r="S341" i="4" s="1"/>
  <c r="S340" i="4" s="1"/>
  <c r="S339" i="4" s="1"/>
  <c r="S338" i="4" s="1"/>
  <c r="S337" i="4" s="1"/>
  <c r="S336" i="4" s="1"/>
  <c r="S335" i="4" s="1"/>
  <c r="S334" i="4" s="1"/>
  <c r="S333" i="4" s="1"/>
  <c r="S332" i="4" s="1"/>
  <c r="S331" i="4" s="1"/>
  <c r="S330" i="4" s="1"/>
  <c r="S329" i="4" s="1"/>
  <c r="S328" i="4" s="1"/>
  <c r="S327" i="4" s="1"/>
  <c r="S326" i="4" s="1"/>
  <c r="S325" i="4" s="1"/>
  <c r="S324" i="4" s="1"/>
  <c r="S323" i="4" s="1"/>
  <c r="S322" i="4" s="1"/>
  <c r="S321" i="4" s="1"/>
  <c r="S320" i="4" s="1"/>
  <c r="S319" i="4" s="1"/>
  <c r="S318" i="4" s="1"/>
  <c r="S317" i="4" s="1"/>
  <c r="S316" i="4" s="1"/>
  <c r="S315" i="4" s="1"/>
  <c r="S314" i="4" s="1"/>
  <c r="S313" i="4" s="1"/>
  <c r="S312" i="4" s="1"/>
  <c r="S311" i="4" s="1"/>
  <c r="S310" i="4" s="1"/>
  <c r="S309" i="4" s="1"/>
  <c r="S308" i="4" s="1"/>
  <c r="S307" i="4" s="1"/>
  <c r="S306" i="4" s="1"/>
  <c r="S305" i="4" s="1"/>
  <c r="S304" i="4" s="1"/>
  <c r="S303" i="4" s="1"/>
  <c r="S302" i="4" s="1"/>
  <c r="S301" i="4" s="1"/>
  <c r="S300" i="4" s="1"/>
  <c r="S299" i="4" s="1"/>
  <c r="S298" i="4" s="1"/>
  <c r="S297" i="4" s="1"/>
  <c r="S296" i="4" s="1"/>
  <c r="S295" i="4" s="1"/>
  <c r="S294" i="4" s="1"/>
  <c r="S293" i="4" s="1"/>
  <c r="S292" i="4" s="1"/>
  <c r="S291" i="4" s="1"/>
  <c r="S290" i="4" s="1"/>
  <c r="S289" i="4" s="1"/>
  <c r="S288" i="4" s="1"/>
  <c r="S287" i="4" s="1"/>
  <c r="S286" i="4" s="1"/>
  <c r="S285" i="4" s="1"/>
  <c r="S284" i="4" s="1"/>
  <c r="S283" i="4" s="1"/>
  <c r="S282" i="4" s="1"/>
  <c r="S281" i="4" s="1"/>
  <c r="S280" i="4" s="1"/>
  <c r="S279" i="4" s="1"/>
  <c r="S278" i="4" s="1"/>
  <c r="S277" i="4" s="1"/>
  <c r="S276" i="4" s="1"/>
  <c r="S275" i="4" s="1"/>
  <c r="S274" i="4" s="1"/>
  <c r="S273" i="4" s="1"/>
  <c r="S272" i="4" s="1"/>
  <c r="S271" i="4" s="1"/>
  <c r="S270" i="4" s="1"/>
  <c r="S269" i="4" s="1"/>
  <c r="S268" i="4" s="1"/>
  <c r="S267" i="4" s="1"/>
  <c r="S266" i="4" s="1"/>
  <c r="S265" i="4" s="1"/>
  <c r="S264" i="4" s="1"/>
  <c r="S263" i="4" s="1"/>
  <c r="S262" i="4" s="1"/>
  <c r="S261" i="4" s="1"/>
  <c r="S260" i="4" s="1"/>
  <c r="S259" i="4" s="1"/>
  <c r="S258" i="4" s="1"/>
  <c r="S257" i="4" s="1"/>
  <c r="S256" i="4" s="1"/>
  <c r="S255" i="4" s="1"/>
  <c r="S254" i="4" s="1"/>
  <c r="S253" i="4" s="1"/>
  <c r="S252" i="4" s="1"/>
  <c r="S251" i="4" s="1"/>
  <c r="S250" i="4" s="1"/>
  <c r="S249" i="4" s="1"/>
  <c r="S248" i="4" s="1"/>
  <c r="S247" i="4" s="1"/>
  <c r="S246" i="4" s="1"/>
  <c r="S245" i="4" s="1"/>
  <c r="S244" i="4" s="1"/>
  <c r="S243" i="4" s="1"/>
  <c r="S242" i="4" s="1"/>
  <c r="S241" i="4" s="1"/>
  <c r="S240" i="4" s="1"/>
  <c r="S239" i="4" s="1"/>
  <c r="S238" i="4" s="1"/>
  <c r="S237" i="4" s="1"/>
  <c r="S236" i="4" s="1"/>
  <c r="S235" i="4" s="1"/>
  <c r="S234" i="4" s="1"/>
  <c r="S233" i="4" s="1"/>
  <c r="S232" i="4" s="1"/>
  <c r="S231" i="4" s="1"/>
  <c r="S230" i="4" s="1"/>
  <c r="S229" i="4" s="1"/>
  <c r="S228" i="4" s="1"/>
  <c r="S227" i="4" s="1"/>
  <c r="S226" i="4" s="1"/>
  <c r="S225" i="4" s="1"/>
  <c r="S224" i="4" s="1"/>
  <c r="S223" i="4" s="1"/>
  <c r="S222" i="4" s="1"/>
  <c r="S221" i="4" s="1"/>
  <c r="S220" i="4" s="1"/>
  <c r="S219" i="4" s="1"/>
  <c r="S218" i="4" s="1"/>
  <c r="S217" i="4" s="1"/>
  <c r="S216" i="4" s="1"/>
  <c r="S215" i="4" s="1"/>
  <c r="S214" i="4" s="1"/>
  <c r="S213" i="4" s="1"/>
  <c r="S212" i="4" s="1"/>
  <c r="S211" i="4" s="1"/>
  <c r="S210" i="4" s="1"/>
  <c r="S209" i="4" s="1"/>
  <c r="S208" i="4" s="1"/>
  <c r="S207" i="4" s="1"/>
  <c r="S206" i="4" s="1"/>
  <c r="S205" i="4" s="1"/>
  <c r="S204" i="4" s="1"/>
  <c r="S203" i="4" s="1"/>
  <c r="S202" i="4" s="1"/>
  <c r="S201" i="4" s="1"/>
  <c r="S200" i="4" s="1"/>
  <c r="S199" i="4" s="1"/>
  <c r="S198" i="4" s="1"/>
  <c r="S197" i="4" s="1"/>
  <c r="S196" i="4" s="1"/>
  <c r="S195" i="4" s="1"/>
  <c r="S194" i="4" s="1"/>
  <c r="S193" i="4" s="1"/>
  <c r="S192" i="4" s="1"/>
  <c r="S191" i="4" s="1"/>
  <c r="S190" i="4" s="1"/>
  <c r="S189" i="4" s="1"/>
  <c r="S188" i="4" s="1"/>
  <c r="S187" i="4" s="1"/>
  <c r="S186" i="4" s="1"/>
  <c r="S185" i="4" s="1"/>
  <c r="S184" i="4" s="1"/>
  <c r="S183" i="4" s="1"/>
  <c r="S182" i="4" s="1"/>
  <c r="S181" i="4" s="1"/>
  <c r="S180" i="4" s="1"/>
  <c r="S179" i="4" s="1"/>
  <c r="S178" i="4" s="1"/>
  <c r="S177" i="4" s="1"/>
  <c r="S176" i="4" s="1"/>
  <c r="S175" i="4" s="1"/>
  <c r="S174" i="4" s="1"/>
  <c r="S173" i="4" s="1"/>
  <c r="S172" i="4" s="1"/>
  <c r="S171" i="4" s="1"/>
  <c r="S170" i="4" s="1"/>
  <c r="S169" i="4" s="1"/>
  <c r="S168" i="4" s="1"/>
  <c r="S167" i="4" s="1"/>
  <c r="S166" i="4" s="1"/>
  <c r="S165" i="4" s="1"/>
  <c r="S164" i="4" s="1"/>
  <c r="S163" i="4" s="1"/>
  <c r="S162" i="4" s="1"/>
  <c r="S161" i="4" s="1"/>
  <c r="S160" i="4" s="1"/>
  <c r="S159" i="4" s="1"/>
  <c r="S158" i="4" s="1"/>
  <c r="S157" i="4" s="1"/>
  <c r="S156" i="4" s="1"/>
  <c r="S155" i="4" s="1"/>
  <c r="S154" i="4" s="1"/>
  <c r="S153" i="4" s="1"/>
  <c r="S152" i="4" s="1"/>
  <c r="S151" i="4" s="1"/>
  <c r="S150" i="4" s="1"/>
  <c r="S149" i="4" s="1"/>
  <c r="S148" i="4" s="1"/>
  <c r="S147" i="4" s="1"/>
  <c r="S146" i="4" s="1"/>
  <c r="S145" i="4" s="1"/>
  <c r="S144" i="4" s="1"/>
  <c r="S143" i="4" s="1"/>
  <c r="S142" i="4" s="1"/>
  <c r="S141" i="4" s="1"/>
  <c r="S140" i="4" s="1"/>
  <c r="S139" i="4" s="1"/>
  <c r="S138" i="4" s="1"/>
  <c r="S137" i="4" s="1"/>
  <c r="S136" i="4" s="1"/>
  <c r="S135" i="4" s="1"/>
  <c r="S134" i="4" s="1"/>
  <c r="S133" i="4" s="1"/>
  <c r="S132" i="4" s="1"/>
  <c r="S131" i="4" s="1"/>
  <c r="S130" i="4" s="1"/>
  <c r="S129" i="4" s="1"/>
  <c r="S128" i="4" s="1"/>
  <c r="S127" i="4" s="1"/>
  <c r="S126" i="4" s="1"/>
  <c r="S125" i="4" s="1"/>
  <c r="S124" i="4" s="1"/>
  <c r="S123" i="4" s="1"/>
  <c r="S122" i="4" s="1"/>
  <c r="S121" i="4" s="1"/>
  <c r="S120" i="4" s="1"/>
  <c r="S119" i="4" s="1"/>
  <c r="S118" i="4" s="1"/>
  <c r="S117" i="4" s="1"/>
  <c r="S116" i="4" s="1"/>
  <c r="S115" i="4" s="1"/>
  <c r="S114" i="4" s="1"/>
  <c r="S113" i="4" s="1"/>
  <c r="S112" i="4" s="1"/>
  <c r="S111" i="4" s="1"/>
  <c r="S110" i="4" s="1"/>
  <c r="S109" i="4" s="1"/>
  <c r="S108" i="4" s="1"/>
  <c r="S107" i="4" s="1"/>
  <c r="S106" i="4" s="1"/>
  <c r="S105" i="4" s="1"/>
  <c r="S104" i="4" s="1"/>
  <c r="S103" i="4" s="1"/>
  <c r="S102" i="4" s="1"/>
  <c r="S101" i="4" s="1"/>
  <c r="S100" i="4" s="1"/>
  <c r="S99" i="4" s="1"/>
  <c r="S98" i="4" s="1"/>
  <c r="S97" i="4" s="1"/>
  <c r="S96" i="4" s="1"/>
  <c r="S95" i="4" s="1"/>
  <c r="S94" i="4" s="1"/>
  <c r="S93" i="4" s="1"/>
  <c r="S92" i="4" s="1"/>
  <c r="S91" i="4" s="1"/>
  <c r="S90" i="4" s="1"/>
  <c r="S89" i="4" s="1"/>
  <c r="S88" i="4" s="1"/>
  <c r="S87" i="4" s="1"/>
  <c r="S86" i="4" s="1"/>
  <c r="S85" i="4" s="1"/>
  <c r="S84" i="4" s="1"/>
  <c r="S83" i="4" s="1"/>
  <c r="S82" i="4" s="1"/>
  <c r="S81" i="4" s="1"/>
  <c r="S80" i="4" s="1"/>
  <c r="S79" i="4" s="1"/>
  <c r="S78" i="4" s="1"/>
  <c r="S77" i="4" s="1"/>
  <c r="S76" i="4" s="1"/>
  <c r="S75" i="4" s="1"/>
  <c r="S74" i="4" s="1"/>
  <c r="S73" i="4" s="1"/>
  <c r="S72" i="4" s="1"/>
  <c r="S71" i="4" s="1"/>
  <c r="S70" i="4" s="1"/>
  <c r="S69" i="4" s="1"/>
  <c r="S68" i="4" s="1"/>
  <c r="S67" i="4" s="1"/>
  <c r="S66" i="4" s="1"/>
  <c r="S65" i="4" s="1"/>
  <c r="S64" i="4" s="1"/>
  <c r="S63" i="4" s="1"/>
  <c r="S62" i="4" s="1"/>
  <c r="S61" i="4" s="1"/>
  <c r="S60" i="4" s="1"/>
  <c r="S59" i="4" s="1"/>
  <c r="S58" i="4" s="1"/>
  <c r="S57" i="4" s="1"/>
  <c r="S56" i="4" s="1"/>
  <c r="S55" i="4" s="1"/>
  <c r="S54" i="4" s="1"/>
  <c r="S53" i="4" s="1"/>
  <c r="S52" i="4" s="1"/>
  <c r="S51" i="4" s="1"/>
  <c r="S50" i="4" s="1"/>
  <c r="S49" i="4" s="1"/>
  <c r="S48" i="4" s="1"/>
  <c r="S47" i="4" s="1"/>
  <c r="S46" i="4" s="1"/>
  <c r="S45" i="4" s="1"/>
  <c r="S44" i="4" s="1"/>
  <c r="S43" i="4" s="1"/>
  <c r="S42" i="4" s="1"/>
  <c r="S41" i="4" s="1"/>
  <c r="S40" i="4" s="1"/>
  <c r="S39" i="4" s="1"/>
  <c r="S38" i="4" s="1"/>
  <c r="S37" i="4" s="1"/>
  <c r="S36" i="4" s="1"/>
  <c r="S35" i="4" s="1"/>
  <c r="S34" i="4" s="1"/>
  <c r="S33" i="4" s="1"/>
  <c r="S32" i="4" s="1"/>
  <c r="S31" i="4" s="1"/>
  <c r="S30" i="4" s="1"/>
  <c r="S29" i="4" s="1"/>
  <c r="S28" i="4" s="1"/>
  <c r="S27" i="4" s="1"/>
  <c r="S26" i="4" s="1"/>
  <c r="S25" i="4" s="1"/>
  <c r="S24" i="4" s="1"/>
  <c r="S23" i="4" s="1"/>
  <c r="S22" i="4" s="1"/>
  <c r="S21" i="4" s="1"/>
  <c r="S20" i="4" s="1"/>
  <c r="S19" i="4" s="1"/>
  <c r="S18" i="4" s="1"/>
  <c r="S17" i="4" s="1"/>
  <c r="S16" i="4" s="1"/>
  <c r="S15" i="4" s="1"/>
  <c r="S14" i="4" s="1"/>
  <c r="S13" i="4" s="1"/>
  <c r="S12" i="4" s="1"/>
  <c r="S11" i="4" s="1"/>
  <c r="S10" i="4" s="1"/>
  <c r="S9" i="4" s="1"/>
  <c r="S8" i="4" s="1"/>
  <c r="S7" i="4" s="1"/>
  <c r="S6" i="4" s="1"/>
  <c r="S5" i="4" s="1"/>
  <c r="S4" i="4" s="1"/>
  <c r="S3" i="4" s="1"/>
  <c r="V363" i="4"/>
  <c r="S18" i="20" l="1"/>
  <c r="S19" i="20"/>
  <c r="B294" i="2"/>
  <c r="B234" i="2"/>
  <c r="B214" i="2"/>
  <c r="O158" i="2"/>
  <c r="B254" i="2"/>
  <c r="C214" i="2"/>
  <c r="C254" i="2"/>
  <c r="C234" i="2"/>
  <c r="O73" i="2"/>
  <c r="L132" i="2"/>
  <c r="L136" i="2" s="1"/>
  <c r="O238" i="2"/>
  <c r="O242" i="2" s="1"/>
  <c r="O241" i="2" s="1"/>
  <c r="I231" i="2" s="1"/>
  <c r="P13" i="20" s="1"/>
  <c r="L111" i="2"/>
  <c r="I109" i="2" s="1"/>
  <c r="L73" i="2"/>
  <c r="L74" i="2"/>
  <c r="H64" i="2" s="1"/>
  <c r="G29" i="20" s="1"/>
  <c r="I65" i="2"/>
  <c r="H30" i="20" s="1"/>
  <c r="L138" i="2"/>
  <c r="J11" i="3" s="1"/>
  <c r="K11" i="3" s="1"/>
  <c r="L92" i="2"/>
  <c r="H82" i="2" s="1"/>
  <c r="K29" i="20" s="1"/>
  <c r="L258" i="2"/>
  <c r="L135" i="2"/>
  <c r="H134" i="2" s="1"/>
  <c r="L93" i="2"/>
  <c r="I82" i="2" s="1"/>
  <c r="L29" i="20" s="1"/>
  <c r="I214" i="2"/>
  <c r="O211" i="2" s="1"/>
  <c r="L208" i="2" s="1"/>
  <c r="L151" i="2"/>
  <c r="L268" i="2"/>
  <c r="L269" i="2" s="1"/>
  <c r="L110" i="2"/>
  <c r="H108" i="2" s="1"/>
  <c r="L310" i="2"/>
  <c r="I308" i="2" s="1"/>
  <c r="I307" i="2" s="1"/>
  <c r="I312" i="2" s="1"/>
  <c r="L81" i="2"/>
  <c r="L82" i="2" s="1"/>
  <c r="F19" i="3"/>
  <c r="H19" i="3" s="1"/>
  <c r="N298" i="2"/>
  <c r="N302" i="2" s="1"/>
  <c r="N301" i="2" s="1"/>
  <c r="H291" i="2" s="1"/>
  <c r="W31" i="20" s="1"/>
  <c r="O258" i="2"/>
  <c r="O262" i="2" s="1"/>
  <c r="O261" i="2" s="1"/>
  <c r="I251" i="2" s="1"/>
  <c r="T13" i="20" s="1"/>
  <c r="N258" i="2"/>
  <c r="N262" i="2" s="1"/>
  <c r="N238" i="2"/>
  <c r="N239" i="2" s="1"/>
  <c r="N240" i="2" s="1"/>
  <c r="H230" i="2" s="1"/>
  <c r="O12" i="20" s="1"/>
  <c r="N218" i="2"/>
  <c r="N222" i="2" s="1"/>
  <c r="O218" i="2"/>
  <c r="O222" i="2" s="1"/>
  <c r="I151" i="2"/>
  <c r="T21" i="20" s="1"/>
  <c r="H148" i="2"/>
  <c r="H152" i="2" s="1"/>
  <c r="H37" i="3"/>
  <c r="I254" i="2" s="1"/>
  <c r="O251" i="2" s="1"/>
  <c r="G37" i="3"/>
  <c r="H254" i="2" s="1"/>
  <c r="O250" i="2" s="1"/>
  <c r="P21" i="3"/>
  <c r="I354" i="2" s="1"/>
  <c r="O351" i="2" s="1"/>
  <c r="O21" i="3"/>
  <c r="H354" i="2" s="1"/>
  <c r="O350" i="2" s="1"/>
  <c r="H234" i="2"/>
  <c r="O230" i="2" s="1"/>
  <c r="O65" i="2"/>
  <c r="P15" i="3"/>
  <c r="I334" i="2" s="1"/>
  <c r="O331" i="2" s="1"/>
  <c r="O15" i="3"/>
  <c r="H334" i="2" s="1"/>
  <c r="O330" i="2" s="1"/>
  <c r="L37" i="3"/>
  <c r="I294" i="2" s="1"/>
  <c r="O291" i="2" s="1"/>
  <c r="K37" i="3"/>
  <c r="H294" i="2" s="1"/>
  <c r="O290" i="2" s="1"/>
  <c r="I234" i="2"/>
  <c r="O231" i="2" s="1"/>
  <c r="O66" i="2"/>
  <c r="H11" i="3"/>
  <c r="G11" i="3"/>
  <c r="L300" i="2"/>
  <c r="I289" i="2" s="1"/>
  <c r="X29" i="20" s="1"/>
  <c r="O361" i="2"/>
  <c r="I351" i="2" s="1"/>
  <c r="L279" i="2"/>
  <c r="H269" i="2" s="1"/>
  <c r="S29" i="20" s="1"/>
  <c r="L319" i="2"/>
  <c r="H309" i="2" s="1"/>
  <c r="O359" i="2"/>
  <c r="O360" i="2" s="1"/>
  <c r="I350" i="2" s="1"/>
  <c r="L297" i="2"/>
  <c r="L320" i="2"/>
  <c r="I309" i="2" s="1"/>
  <c r="L350" i="2"/>
  <c r="I348" i="2" s="1"/>
  <c r="I347" i="2" s="1"/>
  <c r="I352" i="2" s="1"/>
  <c r="L309" i="2"/>
  <c r="H308" i="2" s="1"/>
  <c r="L278" i="2"/>
  <c r="L280" i="2"/>
  <c r="I269" i="2" s="1"/>
  <c r="T29" i="20" s="1"/>
  <c r="L357" i="2"/>
  <c r="L349" i="2" s="1"/>
  <c r="H348" i="2" s="1"/>
  <c r="H347" i="2" s="1"/>
  <c r="H352" i="2" s="1"/>
  <c r="L359" i="2"/>
  <c r="H349" i="2" s="1"/>
  <c r="N358" i="2" s="1"/>
  <c r="L338" i="2"/>
  <c r="L330" i="2" s="1"/>
  <c r="I328" i="2" s="1"/>
  <c r="I327" i="2" s="1"/>
  <c r="I332" i="2" s="1"/>
  <c r="L340" i="2"/>
  <c r="I329" i="2" s="1"/>
  <c r="O338" i="2" s="1"/>
  <c r="L337" i="2"/>
  <c r="L329" i="2" s="1"/>
  <c r="H328" i="2" s="1"/>
  <c r="H327" i="2" s="1"/>
  <c r="H332" i="2" s="1"/>
  <c r="L339" i="2"/>
  <c r="H329" i="2" s="1"/>
  <c r="N338" i="2" s="1"/>
  <c r="Y363" i="4"/>
  <c r="V362" i="4"/>
  <c r="V361" i="4" s="1"/>
  <c r="V360" i="4" s="1"/>
  <c r="V359" i="4" s="1"/>
  <c r="V358" i="4" s="1"/>
  <c r="V357" i="4" s="1"/>
  <c r="V356" i="4" s="1"/>
  <c r="V355" i="4" s="1"/>
  <c r="V354" i="4" s="1"/>
  <c r="V353" i="4" s="1"/>
  <c r="V352" i="4" s="1"/>
  <c r="V351" i="4" s="1"/>
  <c r="V350" i="4" s="1"/>
  <c r="V349" i="4" s="1"/>
  <c r="V348" i="4" s="1"/>
  <c r="V347" i="4" s="1"/>
  <c r="V346" i="4" s="1"/>
  <c r="V345" i="4" s="1"/>
  <c r="V344" i="4" s="1"/>
  <c r="V343" i="4" s="1"/>
  <c r="V342" i="4" s="1"/>
  <c r="V341" i="4" s="1"/>
  <c r="V340" i="4" s="1"/>
  <c r="V339" i="4" s="1"/>
  <c r="V338" i="4" s="1"/>
  <c r="V337" i="4" s="1"/>
  <c r="V336" i="4" s="1"/>
  <c r="V335" i="4" s="1"/>
  <c r="V334" i="4" s="1"/>
  <c r="V333" i="4" s="1"/>
  <c r="V332" i="4" s="1"/>
  <c r="V331" i="4" s="1"/>
  <c r="V330" i="4" s="1"/>
  <c r="V329" i="4" s="1"/>
  <c r="V328" i="4" s="1"/>
  <c r="V327" i="4" s="1"/>
  <c r="V326" i="4" s="1"/>
  <c r="V325" i="4" s="1"/>
  <c r="V324" i="4" s="1"/>
  <c r="V323" i="4" s="1"/>
  <c r="V322" i="4" s="1"/>
  <c r="V321" i="4" s="1"/>
  <c r="V320" i="4" s="1"/>
  <c r="V319" i="4" s="1"/>
  <c r="V318" i="4" s="1"/>
  <c r="V317" i="4" s="1"/>
  <c r="V316" i="4" s="1"/>
  <c r="V315" i="4" s="1"/>
  <c r="V314" i="4" s="1"/>
  <c r="V313" i="4" s="1"/>
  <c r="V312" i="4" s="1"/>
  <c r="V311" i="4" s="1"/>
  <c r="V310" i="4" s="1"/>
  <c r="V309" i="4" s="1"/>
  <c r="V308" i="4" s="1"/>
  <c r="V307" i="4" s="1"/>
  <c r="V306" i="4" s="1"/>
  <c r="V305" i="4" s="1"/>
  <c r="V304" i="4" s="1"/>
  <c r="V303" i="4" s="1"/>
  <c r="V302" i="4" s="1"/>
  <c r="V301" i="4" s="1"/>
  <c r="V300" i="4" s="1"/>
  <c r="V299" i="4" s="1"/>
  <c r="V298" i="4" s="1"/>
  <c r="V297" i="4" s="1"/>
  <c r="V296" i="4" s="1"/>
  <c r="V295" i="4" s="1"/>
  <c r="V294" i="4" s="1"/>
  <c r="V293" i="4" s="1"/>
  <c r="V292" i="4" s="1"/>
  <c r="V291" i="4" s="1"/>
  <c r="V290" i="4" s="1"/>
  <c r="V289" i="4" s="1"/>
  <c r="V288" i="4" s="1"/>
  <c r="V287" i="4" s="1"/>
  <c r="V286" i="4" s="1"/>
  <c r="V285" i="4" s="1"/>
  <c r="V284" i="4" s="1"/>
  <c r="V283" i="4" s="1"/>
  <c r="V282" i="4" s="1"/>
  <c r="V281" i="4" s="1"/>
  <c r="V280" i="4" s="1"/>
  <c r="V279" i="4" s="1"/>
  <c r="V278" i="4" s="1"/>
  <c r="V277" i="4" s="1"/>
  <c r="V276" i="4" s="1"/>
  <c r="V275" i="4" s="1"/>
  <c r="V274" i="4" s="1"/>
  <c r="V273" i="4" s="1"/>
  <c r="V272" i="4" s="1"/>
  <c r="V271" i="4" s="1"/>
  <c r="V270" i="4" s="1"/>
  <c r="V269" i="4" s="1"/>
  <c r="V268" i="4" s="1"/>
  <c r="V267" i="4" s="1"/>
  <c r="V266" i="4" s="1"/>
  <c r="V265" i="4" s="1"/>
  <c r="V264" i="4" s="1"/>
  <c r="V263" i="4" s="1"/>
  <c r="V262" i="4" s="1"/>
  <c r="V261" i="4" s="1"/>
  <c r="V260" i="4" s="1"/>
  <c r="V259" i="4" s="1"/>
  <c r="V258" i="4" s="1"/>
  <c r="V257" i="4" s="1"/>
  <c r="V256" i="4" s="1"/>
  <c r="V255" i="4" s="1"/>
  <c r="V254" i="4" s="1"/>
  <c r="V253" i="4" s="1"/>
  <c r="V252" i="4" s="1"/>
  <c r="V251" i="4" s="1"/>
  <c r="V250" i="4" s="1"/>
  <c r="V249" i="4" s="1"/>
  <c r="V248" i="4" s="1"/>
  <c r="V247" i="4" s="1"/>
  <c r="V246" i="4" s="1"/>
  <c r="V245" i="4" s="1"/>
  <c r="V244" i="4" s="1"/>
  <c r="V243" i="4" s="1"/>
  <c r="V242" i="4" s="1"/>
  <c r="V241" i="4" s="1"/>
  <c r="V240" i="4" s="1"/>
  <c r="V239" i="4" s="1"/>
  <c r="V238" i="4" s="1"/>
  <c r="V237" i="4" s="1"/>
  <c r="V236" i="4" s="1"/>
  <c r="V235" i="4" s="1"/>
  <c r="V234" i="4" s="1"/>
  <c r="V233" i="4" s="1"/>
  <c r="V232" i="4" s="1"/>
  <c r="V231" i="4" s="1"/>
  <c r="V230" i="4" s="1"/>
  <c r="V229" i="4" s="1"/>
  <c r="V228" i="4" s="1"/>
  <c r="V227" i="4" s="1"/>
  <c r="V226" i="4" s="1"/>
  <c r="V225" i="4" s="1"/>
  <c r="V224" i="4" s="1"/>
  <c r="V223" i="4" s="1"/>
  <c r="V222" i="4" s="1"/>
  <c r="V221" i="4" s="1"/>
  <c r="V220" i="4" s="1"/>
  <c r="V219" i="4" s="1"/>
  <c r="V218" i="4" s="1"/>
  <c r="V217" i="4" s="1"/>
  <c r="V216" i="4" s="1"/>
  <c r="V215" i="4" s="1"/>
  <c r="V214" i="4" s="1"/>
  <c r="V213" i="4" s="1"/>
  <c r="V212" i="4" s="1"/>
  <c r="V211" i="4" s="1"/>
  <c r="V210" i="4" s="1"/>
  <c r="V209" i="4" s="1"/>
  <c r="V208" i="4" s="1"/>
  <c r="V207" i="4" s="1"/>
  <c r="V206" i="4" s="1"/>
  <c r="V205" i="4" s="1"/>
  <c r="V204" i="4" s="1"/>
  <c r="V203" i="4" s="1"/>
  <c r="V202" i="4" s="1"/>
  <c r="V201" i="4" s="1"/>
  <c r="V200" i="4" s="1"/>
  <c r="V199" i="4" s="1"/>
  <c r="V198" i="4" s="1"/>
  <c r="V197" i="4" s="1"/>
  <c r="V196" i="4" s="1"/>
  <c r="V195" i="4" s="1"/>
  <c r="V194" i="4" s="1"/>
  <c r="V193" i="4" s="1"/>
  <c r="V192" i="4" s="1"/>
  <c r="V191" i="4" s="1"/>
  <c r="V190" i="4" s="1"/>
  <c r="V189" i="4" s="1"/>
  <c r="V188" i="4" s="1"/>
  <c r="V187" i="4" s="1"/>
  <c r="V186" i="4" s="1"/>
  <c r="V185" i="4" s="1"/>
  <c r="V184" i="4" s="1"/>
  <c r="V183" i="4" s="1"/>
  <c r="V182" i="4" s="1"/>
  <c r="V181" i="4" s="1"/>
  <c r="V180" i="4" s="1"/>
  <c r="V179" i="4" s="1"/>
  <c r="V178" i="4" s="1"/>
  <c r="V177" i="4" s="1"/>
  <c r="V176" i="4" s="1"/>
  <c r="V175" i="4" s="1"/>
  <c r="V174" i="4" s="1"/>
  <c r="V173" i="4" s="1"/>
  <c r="V172" i="4" s="1"/>
  <c r="V171" i="4" s="1"/>
  <c r="V170" i="4" s="1"/>
  <c r="V169" i="4" s="1"/>
  <c r="V168" i="4" s="1"/>
  <c r="V167" i="4" s="1"/>
  <c r="V166" i="4" s="1"/>
  <c r="V165" i="4" s="1"/>
  <c r="V164" i="4" s="1"/>
  <c r="V163" i="4" s="1"/>
  <c r="V162" i="4" s="1"/>
  <c r="V161" i="4" s="1"/>
  <c r="V160" i="4" s="1"/>
  <c r="V159" i="4" s="1"/>
  <c r="V158" i="4" s="1"/>
  <c r="V157" i="4" s="1"/>
  <c r="V156" i="4" s="1"/>
  <c r="V155" i="4" s="1"/>
  <c r="V154" i="4" s="1"/>
  <c r="V153" i="4" s="1"/>
  <c r="V152" i="4" s="1"/>
  <c r="V151" i="4" s="1"/>
  <c r="V150" i="4" s="1"/>
  <c r="V149" i="4" s="1"/>
  <c r="V148" i="4" s="1"/>
  <c r="V147" i="4" s="1"/>
  <c r="V146" i="4" s="1"/>
  <c r="V145" i="4" s="1"/>
  <c r="V144" i="4" s="1"/>
  <c r="V143" i="4" s="1"/>
  <c r="V142" i="4" s="1"/>
  <c r="V141" i="4" s="1"/>
  <c r="V140" i="4" s="1"/>
  <c r="V139" i="4" s="1"/>
  <c r="V138" i="4" s="1"/>
  <c r="V137" i="4" s="1"/>
  <c r="V136" i="4" s="1"/>
  <c r="V135" i="4" s="1"/>
  <c r="V134" i="4" s="1"/>
  <c r="V133" i="4" s="1"/>
  <c r="V132" i="4" s="1"/>
  <c r="V131" i="4" s="1"/>
  <c r="V130" i="4" s="1"/>
  <c r="V129" i="4" s="1"/>
  <c r="V128" i="4" s="1"/>
  <c r="V127" i="4" s="1"/>
  <c r="V126" i="4" s="1"/>
  <c r="V125" i="4" s="1"/>
  <c r="V124" i="4" s="1"/>
  <c r="V123" i="4" s="1"/>
  <c r="V122" i="4" s="1"/>
  <c r="V121" i="4" s="1"/>
  <c r="V120" i="4" s="1"/>
  <c r="V119" i="4" s="1"/>
  <c r="V118" i="4" s="1"/>
  <c r="V117" i="4" s="1"/>
  <c r="V116" i="4" s="1"/>
  <c r="V115" i="4" s="1"/>
  <c r="V114" i="4" s="1"/>
  <c r="V113" i="4" s="1"/>
  <c r="V112" i="4" s="1"/>
  <c r="V111" i="4" s="1"/>
  <c r="V110" i="4" s="1"/>
  <c r="V109" i="4" s="1"/>
  <c r="V108" i="4" s="1"/>
  <c r="V107" i="4" s="1"/>
  <c r="V106" i="4" s="1"/>
  <c r="V105" i="4" s="1"/>
  <c r="V104" i="4" s="1"/>
  <c r="V103" i="4" s="1"/>
  <c r="V102" i="4" s="1"/>
  <c r="V101" i="4" s="1"/>
  <c r="V100" i="4" s="1"/>
  <c r="V99" i="4" s="1"/>
  <c r="V98" i="4" s="1"/>
  <c r="V97" i="4" s="1"/>
  <c r="V96" i="4" s="1"/>
  <c r="V95" i="4" s="1"/>
  <c r="V94" i="4" s="1"/>
  <c r="V93" i="4" s="1"/>
  <c r="V92" i="4" s="1"/>
  <c r="V91" i="4" s="1"/>
  <c r="V90" i="4" s="1"/>
  <c r="V89" i="4" s="1"/>
  <c r="V88" i="4" s="1"/>
  <c r="V87" i="4" s="1"/>
  <c r="V86" i="4" s="1"/>
  <c r="V85" i="4" s="1"/>
  <c r="V84" i="4" s="1"/>
  <c r="V83" i="4" s="1"/>
  <c r="V82" i="4" s="1"/>
  <c r="V81" i="4" s="1"/>
  <c r="V80" i="4" s="1"/>
  <c r="V79" i="4" s="1"/>
  <c r="V78" i="4" s="1"/>
  <c r="V77" i="4" s="1"/>
  <c r="V76" i="4" s="1"/>
  <c r="V75" i="4" s="1"/>
  <c r="V74" i="4" s="1"/>
  <c r="V73" i="4" s="1"/>
  <c r="V72" i="4" s="1"/>
  <c r="V71" i="4" s="1"/>
  <c r="V70" i="4" s="1"/>
  <c r="V69" i="4" s="1"/>
  <c r="V68" i="4" s="1"/>
  <c r="V67" i="4" s="1"/>
  <c r="V66" i="4" s="1"/>
  <c r="V65" i="4" s="1"/>
  <c r="V64" i="4" s="1"/>
  <c r="V63" i="4" s="1"/>
  <c r="V62" i="4" s="1"/>
  <c r="V61" i="4" s="1"/>
  <c r="V60" i="4" s="1"/>
  <c r="V59" i="4" s="1"/>
  <c r="V58" i="4" s="1"/>
  <c r="V57" i="4" s="1"/>
  <c r="V56" i="4" s="1"/>
  <c r="V55" i="4" s="1"/>
  <c r="V54" i="4" s="1"/>
  <c r="V53" i="4" s="1"/>
  <c r="V52" i="4" s="1"/>
  <c r="V51" i="4" s="1"/>
  <c r="V50" i="4" s="1"/>
  <c r="V49" i="4" s="1"/>
  <c r="V48" i="4" s="1"/>
  <c r="V47" i="4" s="1"/>
  <c r="V46" i="4" s="1"/>
  <c r="V45" i="4" s="1"/>
  <c r="V44" i="4" s="1"/>
  <c r="V43" i="4" s="1"/>
  <c r="V42" i="4" s="1"/>
  <c r="V41" i="4" s="1"/>
  <c r="V40" i="4" s="1"/>
  <c r="V39" i="4" s="1"/>
  <c r="V38" i="4" s="1"/>
  <c r="V37" i="4" s="1"/>
  <c r="V36" i="4" s="1"/>
  <c r="V35" i="4" s="1"/>
  <c r="V34" i="4" s="1"/>
  <c r="V33" i="4" s="1"/>
  <c r="V32" i="4" s="1"/>
  <c r="V31" i="4" s="1"/>
  <c r="V30" i="4" s="1"/>
  <c r="V29" i="4" s="1"/>
  <c r="V28" i="4" s="1"/>
  <c r="V27" i="4" s="1"/>
  <c r="V26" i="4" s="1"/>
  <c r="V25" i="4" s="1"/>
  <c r="V24" i="4" s="1"/>
  <c r="V23" i="4" s="1"/>
  <c r="V22" i="4" s="1"/>
  <c r="V21" i="4" s="1"/>
  <c r="V20" i="4" s="1"/>
  <c r="V19" i="4" s="1"/>
  <c r="V18" i="4" s="1"/>
  <c r="V17" i="4" s="1"/>
  <c r="V16" i="4" s="1"/>
  <c r="V15" i="4" s="1"/>
  <c r="V14" i="4" s="1"/>
  <c r="V13" i="4" s="1"/>
  <c r="V12" i="4" s="1"/>
  <c r="V11" i="4" s="1"/>
  <c r="V10" i="4" s="1"/>
  <c r="V9" i="4" s="1"/>
  <c r="V8" i="4" s="1"/>
  <c r="V7" i="4" s="1"/>
  <c r="V6" i="4" s="1"/>
  <c r="V5" i="4" s="1"/>
  <c r="V4" i="4" s="1"/>
  <c r="V3" i="4" s="1"/>
  <c r="AC363" i="4"/>
  <c r="Z362" i="4"/>
  <c r="Z361" i="4" s="1"/>
  <c r="Z360" i="4" s="1"/>
  <c r="Z359" i="4" s="1"/>
  <c r="Z358" i="4" s="1"/>
  <c r="Z357" i="4" s="1"/>
  <c r="Z356" i="4" s="1"/>
  <c r="Z355" i="4" s="1"/>
  <c r="Z354" i="4" s="1"/>
  <c r="Z353" i="4" s="1"/>
  <c r="Z352" i="4" s="1"/>
  <c r="Z351" i="4" s="1"/>
  <c r="Z350" i="4" s="1"/>
  <c r="Z349" i="4" s="1"/>
  <c r="Z348" i="4" s="1"/>
  <c r="Z347" i="4" s="1"/>
  <c r="Z346" i="4" s="1"/>
  <c r="Z345" i="4" s="1"/>
  <c r="Z344" i="4" s="1"/>
  <c r="Z343" i="4" s="1"/>
  <c r="Z342" i="4" s="1"/>
  <c r="Z341" i="4" s="1"/>
  <c r="Z340" i="4" s="1"/>
  <c r="Z339" i="4" s="1"/>
  <c r="Z338" i="4" s="1"/>
  <c r="Z337" i="4" s="1"/>
  <c r="Z336" i="4" s="1"/>
  <c r="Z335" i="4" s="1"/>
  <c r="Z334" i="4" s="1"/>
  <c r="Z333" i="4" s="1"/>
  <c r="Z332" i="4" s="1"/>
  <c r="Z331" i="4" s="1"/>
  <c r="Z330" i="4" s="1"/>
  <c r="Z329" i="4" s="1"/>
  <c r="Z328" i="4" s="1"/>
  <c r="Z327" i="4" s="1"/>
  <c r="Z326" i="4" s="1"/>
  <c r="Z325" i="4" s="1"/>
  <c r="Z324" i="4" s="1"/>
  <c r="Z323" i="4" s="1"/>
  <c r="Z322" i="4" s="1"/>
  <c r="Z321" i="4" s="1"/>
  <c r="Z320" i="4" s="1"/>
  <c r="Z319" i="4" s="1"/>
  <c r="Z318" i="4" s="1"/>
  <c r="Z317" i="4" s="1"/>
  <c r="Z316" i="4" s="1"/>
  <c r="Z315" i="4" s="1"/>
  <c r="Z314" i="4" s="1"/>
  <c r="Z313" i="4" s="1"/>
  <c r="Z312" i="4" s="1"/>
  <c r="Z311" i="4" s="1"/>
  <c r="Z310" i="4" s="1"/>
  <c r="Z309" i="4" s="1"/>
  <c r="Z308" i="4" s="1"/>
  <c r="Z307" i="4" s="1"/>
  <c r="Z306" i="4" s="1"/>
  <c r="Z305" i="4" s="1"/>
  <c r="Z304" i="4" s="1"/>
  <c r="Z303" i="4" s="1"/>
  <c r="Z302" i="4" s="1"/>
  <c r="Z301" i="4" s="1"/>
  <c r="Z300" i="4" s="1"/>
  <c r="Z299" i="4" s="1"/>
  <c r="Z298" i="4" s="1"/>
  <c r="Z297" i="4" s="1"/>
  <c r="Z296" i="4" s="1"/>
  <c r="Z295" i="4" s="1"/>
  <c r="Z294" i="4" s="1"/>
  <c r="Z293" i="4" s="1"/>
  <c r="Z292" i="4" s="1"/>
  <c r="Z291" i="4" s="1"/>
  <c r="Z290" i="4" s="1"/>
  <c r="Z289" i="4" s="1"/>
  <c r="Z288" i="4" s="1"/>
  <c r="Z287" i="4" s="1"/>
  <c r="Z286" i="4" s="1"/>
  <c r="Z285" i="4" s="1"/>
  <c r="Z284" i="4" s="1"/>
  <c r="Z283" i="4" s="1"/>
  <c r="Z282" i="4" s="1"/>
  <c r="Z281" i="4" s="1"/>
  <c r="Z280" i="4" s="1"/>
  <c r="Z279" i="4" s="1"/>
  <c r="Z278" i="4" s="1"/>
  <c r="Z277" i="4" s="1"/>
  <c r="Z276" i="4" s="1"/>
  <c r="Z275" i="4" s="1"/>
  <c r="Z274" i="4" s="1"/>
  <c r="Z273" i="4" s="1"/>
  <c r="Z272" i="4" s="1"/>
  <c r="Z271" i="4" s="1"/>
  <c r="Z270" i="4" s="1"/>
  <c r="Z269" i="4" s="1"/>
  <c r="Z268" i="4" s="1"/>
  <c r="Z267" i="4" s="1"/>
  <c r="Z266" i="4" s="1"/>
  <c r="Z265" i="4" s="1"/>
  <c r="Z264" i="4" s="1"/>
  <c r="Z263" i="4" s="1"/>
  <c r="Z262" i="4" s="1"/>
  <c r="Z261" i="4" s="1"/>
  <c r="Z260" i="4" s="1"/>
  <c r="Z259" i="4" s="1"/>
  <c r="Z258" i="4" s="1"/>
  <c r="Z257" i="4" s="1"/>
  <c r="Z256" i="4" s="1"/>
  <c r="Z255" i="4" s="1"/>
  <c r="Z254" i="4" s="1"/>
  <c r="Z253" i="4" s="1"/>
  <c r="Z252" i="4" s="1"/>
  <c r="Z251" i="4" s="1"/>
  <c r="Z250" i="4" s="1"/>
  <c r="Z249" i="4" s="1"/>
  <c r="Z248" i="4" s="1"/>
  <c r="Z247" i="4" s="1"/>
  <c r="Z246" i="4" s="1"/>
  <c r="Z245" i="4" s="1"/>
  <c r="Z244" i="4" s="1"/>
  <c r="Z243" i="4" s="1"/>
  <c r="Z242" i="4" s="1"/>
  <c r="Z241" i="4" s="1"/>
  <c r="Z240" i="4" s="1"/>
  <c r="Z239" i="4" s="1"/>
  <c r="Z238" i="4" s="1"/>
  <c r="Z237" i="4" s="1"/>
  <c r="Z236" i="4" s="1"/>
  <c r="Z235" i="4" s="1"/>
  <c r="Z234" i="4" s="1"/>
  <c r="Z233" i="4" s="1"/>
  <c r="Z232" i="4" s="1"/>
  <c r="Z231" i="4" s="1"/>
  <c r="Z230" i="4" s="1"/>
  <c r="Z229" i="4" s="1"/>
  <c r="Z228" i="4" s="1"/>
  <c r="Z227" i="4" s="1"/>
  <c r="Z226" i="4" s="1"/>
  <c r="Z225" i="4" s="1"/>
  <c r="Z224" i="4" s="1"/>
  <c r="Z223" i="4" s="1"/>
  <c r="Z222" i="4" s="1"/>
  <c r="Z221" i="4" s="1"/>
  <c r="Z220" i="4" s="1"/>
  <c r="Z219" i="4" s="1"/>
  <c r="Z218" i="4" s="1"/>
  <c r="Z217" i="4" s="1"/>
  <c r="Z216" i="4" s="1"/>
  <c r="Z215" i="4" s="1"/>
  <c r="Z214" i="4" s="1"/>
  <c r="Z213" i="4" s="1"/>
  <c r="Z212" i="4" s="1"/>
  <c r="Z211" i="4" s="1"/>
  <c r="Z210" i="4" s="1"/>
  <c r="Z209" i="4" s="1"/>
  <c r="Z208" i="4" s="1"/>
  <c r="Z207" i="4" s="1"/>
  <c r="Z206" i="4" s="1"/>
  <c r="Z205" i="4" s="1"/>
  <c r="Z204" i="4" s="1"/>
  <c r="Z203" i="4" s="1"/>
  <c r="Z202" i="4" s="1"/>
  <c r="Z201" i="4" s="1"/>
  <c r="Z200" i="4" s="1"/>
  <c r="Z199" i="4" s="1"/>
  <c r="Z198" i="4" s="1"/>
  <c r="Z197" i="4" s="1"/>
  <c r="Z196" i="4" s="1"/>
  <c r="Z195" i="4" s="1"/>
  <c r="Z194" i="4" s="1"/>
  <c r="Z193" i="4" s="1"/>
  <c r="Z192" i="4" s="1"/>
  <c r="Z191" i="4" s="1"/>
  <c r="Z190" i="4" s="1"/>
  <c r="Z189" i="4" s="1"/>
  <c r="Z188" i="4" s="1"/>
  <c r="Z187" i="4" s="1"/>
  <c r="Z186" i="4" s="1"/>
  <c r="Z185" i="4" s="1"/>
  <c r="Z184" i="4" s="1"/>
  <c r="Z183" i="4" s="1"/>
  <c r="Z182" i="4" s="1"/>
  <c r="Z181" i="4" s="1"/>
  <c r="Z180" i="4" s="1"/>
  <c r="Z179" i="4" s="1"/>
  <c r="Z178" i="4" s="1"/>
  <c r="Z177" i="4" s="1"/>
  <c r="Z176" i="4" s="1"/>
  <c r="Z175" i="4" s="1"/>
  <c r="Z174" i="4" s="1"/>
  <c r="Z173" i="4" s="1"/>
  <c r="Z172" i="4" s="1"/>
  <c r="Z171" i="4" s="1"/>
  <c r="Z170" i="4" s="1"/>
  <c r="Z169" i="4" s="1"/>
  <c r="Z168" i="4" s="1"/>
  <c r="Z167" i="4" s="1"/>
  <c r="Z166" i="4" s="1"/>
  <c r="Z165" i="4" s="1"/>
  <c r="Z164" i="4" s="1"/>
  <c r="Z163" i="4" s="1"/>
  <c r="Z162" i="4" s="1"/>
  <c r="Z161" i="4" s="1"/>
  <c r="Z160" i="4" s="1"/>
  <c r="Z159" i="4" s="1"/>
  <c r="Z158" i="4" s="1"/>
  <c r="Z157" i="4" s="1"/>
  <c r="Z156" i="4" s="1"/>
  <c r="Z155" i="4" s="1"/>
  <c r="Z154" i="4" s="1"/>
  <c r="Z153" i="4" s="1"/>
  <c r="Z152" i="4" s="1"/>
  <c r="Z151" i="4" s="1"/>
  <c r="Z150" i="4" s="1"/>
  <c r="Z149" i="4" s="1"/>
  <c r="Z148" i="4" s="1"/>
  <c r="Z147" i="4" s="1"/>
  <c r="Z146" i="4" s="1"/>
  <c r="Z145" i="4" s="1"/>
  <c r="Z144" i="4" s="1"/>
  <c r="Z143" i="4" s="1"/>
  <c r="Z142" i="4" s="1"/>
  <c r="Z141" i="4" s="1"/>
  <c r="Z140" i="4" s="1"/>
  <c r="Z139" i="4" s="1"/>
  <c r="Z138" i="4" s="1"/>
  <c r="Z137" i="4" s="1"/>
  <c r="Z136" i="4" s="1"/>
  <c r="Z135" i="4" s="1"/>
  <c r="Z134" i="4" s="1"/>
  <c r="Z133" i="4" s="1"/>
  <c r="Z132" i="4" s="1"/>
  <c r="Z131" i="4" s="1"/>
  <c r="Z130" i="4" s="1"/>
  <c r="Z129" i="4" s="1"/>
  <c r="Z128" i="4" s="1"/>
  <c r="Z127" i="4" s="1"/>
  <c r="Z126" i="4" s="1"/>
  <c r="Z125" i="4" s="1"/>
  <c r="Z124" i="4" s="1"/>
  <c r="Z123" i="4" s="1"/>
  <c r="Z122" i="4" s="1"/>
  <c r="Z121" i="4" s="1"/>
  <c r="Z120" i="4" s="1"/>
  <c r="Z119" i="4" s="1"/>
  <c r="Z118" i="4" s="1"/>
  <c r="Z117" i="4" s="1"/>
  <c r="Z116" i="4" s="1"/>
  <c r="Z115" i="4" s="1"/>
  <c r="Z114" i="4" s="1"/>
  <c r="Z113" i="4" s="1"/>
  <c r="Z112" i="4" s="1"/>
  <c r="Z111" i="4" s="1"/>
  <c r="Z110" i="4" s="1"/>
  <c r="Z109" i="4" s="1"/>
  <c r="Z108" i="4" s="1"/>
  <c r="Z107" i="4" s="1"/>
  <c r="Z106" i="4" s="1"/>
  <c r="Z105" i="4" s="1"/>
  <c r="Z104" i="4" s="1"/>
  <c r="Z103" i="4" s="1"/>
  <c r="Z102" i="4" s="1"/>
  <c r="Z101" i="4" s="1"/>
  <c r="Z100" i="4" s="1"/>
  <c r="Z99" i="4" s="1"/>
  <c r="Z98" i="4" s="1"/>
  <c r="Z97" i="4" s="1"/>
  <c r="Z96" i="4" s="1"/>
  <c r="Z95" i="4" s="1"/>
  <c r="Z94" i="4" s="1"/>
  <c r="Z93" i="4" s="1"/>
  <c r="Z92" i="4" s="1"/>
  <c r="Z91" i="4" s="1"/>
  <c r="Z90" i="4" s="1"/>
  <c r="Z89" i="4" s="1"/>
  <c r="Z88" i="4" s="1"/>
  <c r="Z87" i="4" s="1"/>
  <c r="Z86" i="4" s="1"/>
  <c r="Z85" i="4" s="1"/>
  <c r="Z84" i="4" s="1"/>
  <c r="Z83" i="4" s="1"/>
  <c r="Z82" i="4" s="1"/>
  <c r="Z81" i="4" s="1"/>
  <c r="Z80" i="4" s="1"/>
  <c r="Z79" i="4" s="1"/>
  <c r="Z78" i="4" s="1"/>
  <c r="Z77" i="4" s="1"/>
  <c r="Z76" i="4" s="1"/>
  <c r="Z75" i="4" s="1"/>
  <c r="Z74" i="4" s="1"/>
  <c r="Z73" i="4" s="1"/>
  <c r="Z72" i="4" s="1"/>
  <c r="Z71" i="4" s="1"/>
  <c r="Z70" i="4" s="1"/>
  <c r="Z69" i="4" s="1"/>
  <c r="Z68" i="4" s="1"/>
  <c r="Z67" i="4" s="1"/>
  <c r="Z66" i="4" s="1"/>
  <c r="Z65" i="4" s="1"/>
  <c r="Z64" i="4" s="1"/>
  <c r="Z63" i="4" s="1"/>
  <c r="Z62" i="4" s="1"/>
  <c r="Z61" i="4" s="1"/>
  <c r="Z60" i="4" s="1"/>
  <c r="Z59" i="4" s="1"/>
  <c r="Z58" i="4" s="1"/>
  <c r="Z57" i="4" s="1"/>
  <c r="Z56" i="4" s="1"/>
  <c r="Z55" i="4" s="1"/>
  <c r="Z54" i="4" s="1"/>
  <c r="Z53" i="4" s="1"/>
  <c r="Z52" i="4" s="1"/>
  <c r="Z51" i="4" s="1"/>
  <c r="Z50" i="4" s="1"/>
  <c r="Z49" i="4" s="1"/>
  <c r="Z48" i="4" s="1"/>
  <c r="Z47" i="4" s="1"/>
  <c r="Z46" i="4" s="1"/>
  <c r="Z45" i="4" s="1"/>
  <c r="Z44" i="4" s="1"/>
  <c r="Z43" i="4" s="1"/>
  <c r="Z42" i="4" s="1"/>
  <c r="Z41" i="4" s="1"/>
  <c r="Z40" i="4" s="1"/>
  <c r="Z39" i="4" s="1"/>
  <c r="Z38" i="4" s="1"/>
  <c r="Z37" i="4" s="1"/>
  <c r="Z36" i="4" s="1"/>
  <c r="Z35" i="4" s="1"/>
  <c r="Z34" i="4" s="1"/>
  <c r="Z33" i="4" s="1"/>
  <c r="Z32" i="4" s="1"/>
  <c r="Z31" i="4" s="1"/>
  <c r="Z30" i="4" s="1"/>
  <c r="Z29" i="4" s="1"/>
  <c r="Z28" i="4" s="1"/>
  <c r="Z27" i="4" s="1"/>
  <c r="Z26" i="4" s="1"/>
  <c r="Z25" i="4" s="1"/>
  <c r="Z24" i="4" s="1"/>
  <c r="Z23" i="4" s="1"/>
  <c r="Z22" i="4" s="1"/>
  <c r="Z21" i="4" s="1"/>
  <c r="Z20" i="4" s="1"/>
  <c r="Z19" i="4" s="1"/>
  <c r="Z18" i="4" s="1"/>
  <c r="Z17" i="4" s="1"/>
  <c r="Z16" i="4" s="1"/>
  <c r="Z15" i="4" s="1"/>
  <c r="Z14" i="4" s="1"/>
  <c r="Z13" i="4" s="1"/>
  <c r="Z12" i="4" s="1"/>
  <c r="Z11" i="4" s="1"/>
  <c r="Z10" i="4" s="1"/>
  <c r="Z9" i="4" s="1"/>
  <c r="Z8" i="4" s="1"/>
  <c r="Z7" i="4" s="1"/>
  <c r="Z6" i="4" s="1"/>
  <c r="Z5" i="4" s="1"/>
  <c r="Z4" i="4" s="1"/>
  <c r="Z3" i="4" s="1"/>
  <c r="AA363" i="4"/>
  <c r="X362" i="4"/>
  <c r="X361" i="4" s="1"/>
  <c r="X360" i="4" s="1"/>
  <c r="X359" i="4" s="1"/>
  <c r="X358" i="4" s="1"/>
  <c r="X357" i="4" s="1"/>
  <c r="X356" i="4" s="1"/>
  <c r="X355" i="4" s="1"/>
  <c r="X354" i="4" s="1"/>
  <c r="X353" i="4" s="1"/>
  <c r="X352" i="4" s="1"/>
  <c r="X351" i="4" s="1"/>
  <c r="X350" i="4" s="1"/>
  <c r="X349" i="4" s="1"/>
  <c r="X348" i="4" s="1"/>
  <c r="X347" i="4" s="1"/>
  <c r="X346" i="4" s="1"/>
  <c r="X345" i="4" s="1"/>
  <c r="X344" i="4" s="1"/>
  <c r="X343" i="4" s="1"/>
  <c r="X342" i="4" s="1"/>
  <c r="X341" i="4" s="1"/>
  <c r="X340" i="4" s="1"/>
  <c r="X339" i="4" s="1"/>
  <c r="X338" i="4" s="1"/>
  <c r="X337" i="4" s="1"/>
  <c r="X336" i="4" s="1"/>
  <c r="X335" i="4" s="1"/>
  <c r="X334" i="4" s="1"/>
  <c r="X333" i="4" s="1"/>
  <c r="X332" i="4" s="1"/>
  <c r="X331" i="4" s="1"/>
  <c r="X330" i="4" s="1"/>
  <c r="X329" i="4" s="1"/>
  <c r="X328" i="4" s="1"/>
  <c r="X327" i="4" s="1"/>
  <c r="X326" i="4" s="1"/>
  <c r="X325" i="4" s="1"/>
  <c r="X324" i="4" s="1"/>
  <c r="X323" i="4" s="1"/>
  <c r="X322" i="4" s="1"/>
  <c r="X321" i="4" s="1"/>
  <c r="X320" i="4" s="1"/>
  <c r="X319" i="4" s="1"/>
  <c r="X318" i="4" s="1"/>
  <c r="X317" i="4" s="1"/>
  <c r="X316" i="4" s="1"/>
  <c r="X315" i="4" s="1"/>
  <c r="X314" i="4" s="1"/>
  <c r="X313" i="4" s="1"/>
  <c r="X312" i="4" s="1"/>
  <c r="X311" i="4" s="1"/>
  <c r="X310" i="4" s="1"/>
  <c r="X309" i="4" s="1"/>
  <c r="X308" i="4" s="1"/>
  <c r="X307" i="4" s="1"/>
  <c r="X306" i="4" s="1"/>
  <c r="X305" i="4" s="1"/>
  <c r="X304" i="4" s="1"/>
  <c r="X303" i="4" s="1"/>
  <c r="X302" i="4" s="1"/>
  <c r="X301" i="4" s="1"/>
  <c r="X300" i="4" s="1"/>
  <c r="X299" i="4" s="1"/>
  <c r="X298" i="4" s="1"/>
  <c r="X297" i="4" s="1"/>
  <c r="X296" i="4" s="1"/>
  <c r="X295" i="4" s="1"/>
  <c r="X294" i="4" s="1"/>
  <c r="X293" i="4" s="1"/>
  <c r="X292" i="4" s="1"/>
  <c r="X291" i="4" s="1"/>
  <c r="X290" i="4" s="1"/>
  <c r="X289" i="4" s="1"/>
  <c r="X288" i="4" s="1"/>
  <c r="X287" i="4" s="1"/>
  <c r="X286" i="4" s="1"/>
  <c r="X285" i="4" s="1"/>
  <c r="X284" i="4" s="1"/>
  <c r="X283" i="4" s="1"/>
  <c r="X282" i="4" s="1"/>
  <c r="X281" i="4" s="1"/>
  <c r="X280" i="4" s="1"/>
  <c r="X279" i="4" s="1"/>
  <c r="X278" i="4" s="1"/>
  <c r="X277" i="4" s="1"/>
  <c r="X276" i="4" s="1"/>
  <c r="X275" i="4" s="1"/>
  <c r="X274" i="4" s="1"/>
  <c r="X273" i="4" s="1"/>
  <c r="X272" i="4" s="1"/>
  <c r="X271" i="4" s="1"/>
  <c r="X270" i="4" s="1"/>
  <c r="X269" i="4" s="1"/>
  <c r="X268" i="4" s="1"/>
  <c r="X267" i="4" s="1"/>
  <c r="X266" i="4" s="1"/>
  <c r="X265" i="4" s="1"/>
  <c r="X264" i="4" s="1"/>
  <c r="X263" i="4" s="1"/>
  <c r="X262" i="4" s="1"/>
  <c r="X261" i="4" s="1"/>
  <c r="X260" i="4" s="1"/>
  <c r="X259" i="4" s="1"/>
  <c r="X258" i="4" s="1"/>
  <c r="X257" i="4" s="1"/>
  <c r="X256" i="4" s="1"/>
  <c r="X255" i="4" s="1"/>
  <c r="X254" i="4" s="1"/>
  <c r="X253" i="4" s="1"/>
  <c r="X252" i="4" s="1"/>
  <c r="X251" i="4" s="1"/>
  <c r="X250" i="4" s="1"/>
  <c r="X249" i="4" s="1"/>
  <c r="X248" i="4" s="1"/>
  <c r="X247" i="4" s="1"/>
  <c r="X246" i="4" s="1"/>
  <c r="X245" i="4" s="1"/>
  <c r="X244" i="4" s="1"/>
  <c r="X243" i="4" s="1"/>
  <c r="X242" i="4" s="1"/>
  <c r="X241" i="4" s="1"/>
  <c r="X240" i="4" s="1"/>
  <c r="X239" i="4" s="1"/>
  <c r="X238" i="4" s="1"/>
  <c r="X237" i="4" s="1"/>
  <c r="X236" i="4" s="1"/>
  <c r="X235" i="4" s="1"/>
  <c r="X234" i="4" s="1"/>
  <c r="X233" i="4" s="1"/>
  <c r="X232" i="4" s="1"/>
  <c r="X231" i="4" s="1"/>
  <c r="X230" i="4" s="1"/>
  <c r="X229" i="4" s="1"/>
  <c r="X228" i="4" s="1"/>
  <c r="X227" i="4" s="1"/>
  <c r="X226" i="4" s="1"/>
  <c r="X225" i="4" s="1"/>
  <c r="X224" i="4" s="1"/>
  <c r="X223" i="4" s="1"/>
  <c r="X222" i="4" s="1"/>
  <c r="X221" i="4" s="1"/>
  <c r="X220" i="4" s="1"/>
  <c r="X219" i="4" s="1"/>
  <c r="X218" i="4" s="1"/>
  <c r="X217" i="4" s="1"/>
  <c r="X216" i="4" s="1"/>
  <c r="X215" i="4" s="1"/>
  <c r="X214" i="4" s="1"/>
  <c r="X213" i="4" s="1"/>
  <c r="X212" i="4" s="1"/>
  <c r="X211" i="4" s="1"/>
  <c r="X210" i="4" s="1"/>
  <c r="X209" i="4" s="1"/>
  <c r="X208" i="4" s="1"/>
  <c r="X207" i="4" s="1"/>
  <c r="X206" i="4" s="1"/>
  <c r="X205" i="4" s="1"/>
  <c r="X204" i="4" s="1"/>
  <c r="X203" i="4" s="1"/>
  <c r="X202" i="4" s="1"/>
  <c r="X201" i="4" s="1"/>
  <c r="X200" i="4" s="1"/>
  <c r="X199" i="4" s="1"/>
  <c r="X198" i="4" s="1"/>
  <c r="X197" i="4" s="1"/>
  <c r="X196" i="4" s="1"/>
  <c r="X195" i="4" s="1"/>
  <c r="X194" i="4" s="1"/>
  <c r="X193" i="4" s="1"/>
  <c r="X192" i="4" s="1"/>
  <c r="X191" i="4" s="1"/>
  <c r="X190" i="4" s="1"/>
  <c r="X189" i="4" s="1"/>
  <c r="X188" i="4" s="1"/>
  <c r="X187" i="4" s="1"/>
  <c r="X186" i="4" s="1"/>
  <c r="X185" i="4" s="1"/>
  <c r="X184" i="4" s="1"/>
  <c r="X183" i="4" s="1"/>
  <c r="X182" i="4" s="1"/>
  <c r="X181" i="4" s="1"/>
  <c r="X180" i="4" s="1"/>
  <c r="X179" i="4" s="1"/>
  <c r="X178" i="4" s="1"/>
  <c r="X177" i="4" s="1"/>
  <c r="X176" i="4" s="1"/>
  <c r="X175" i="4" s="1"/>
  <c r="X174" i="4" s="1"/>
  <c r="X173" i="4" s="1"/>
  <c r="X172" i="4" s="1"/>
  <c r="X171" i="4" s="1"/>
  <c r="X170" i="4" s="1"/>
  <c r="X169" i="4" s="1"/>
  <c r="X168" i="4" s="1"/>
  <c r="X167" i="4" s="1"/>
  <c r="X166" i="4" s="1"/>
  <c r="X165" i="4" s="1"/>
  <c r="X164" i="4" s="1"/>
  <c r="X163" i="4" s="1"/>
  <c r="X162" i="4" s="1"/>
  <c r="X161" i="4" s="1"/>
  <c r="X160" i="4" s="1"/>
  <c r="X159" i="4" s="1"/>
  <c r="X158" i="4" s="1"/>
  <c r="X157" i="4" s="1"/>
  <c r="X156" i="4" s="1"/>
  <c r="X155" i="4" s="1"/>
  <c r="X154" i="4" s="1"/>
  <c r="X153" i="4" s="1"/>
  <c r="X152" i="4" s="1"/>
  <c r="X151" i="4" s="1"/>
  <c r="X150" i="4" s="1"/>
  <c r="X149" i="4" s="1"/>
  <c r="X148" i="4" s="1"/>
  <c r="X147" i="4" s="1"/>
  <c r="X146" i="4" s="1"/>
  <c r="X145" i="4" s="1"/>
  <c r="X144" i="4" s="1"/>
  <c r="X143" i="4" s="1"/>
  <c r="X142" i="4" s="1"/>
  <c r="X141" i="4" s="1"/>
  <c r="X140" i="4" s="1"/>
  <c r="X139" i="4" s="1"/>
  <c r="X138" i="4" s="1"/>
  <c r="X137" i="4" s="1"/>
  <c r="X136" i="4" s="1"/>
  <c r="X135" i="4" s="1"/>
  <c r="X134" i="4" s="1"/>
  <c r="X133" i="4" s="1"/>
  <c r="X132" i="4" s="1"/>
  <c r="X131" i="4" s="1"/>
  <c r="X130" i="4" s="1"/>
  <c r="X129" i="4" s="1"/>
  <c r="X128" i="4" s="1"/>
  <c r="X127" i="4" s="1"/>
  <c r="X126" i="4" s="1"/>
  <c r="X125" i="4" s="1"/>
  <c r="X124" i="4" s="1"/>
  <c r="X123" i="4" s="1"/>
  <c r="X122" i="4" s="1"/>
  <c r="X121" i="4" s="1"/>
  <c r="X120" i="4" s="1"/>
  <c r="X119" i="4" s="1"/>
  <c r="X118" i="4" s="1"/>
  <c r="X117" i="4" s="1"/>
  <c r="X116" i="4" s="1"/>
  <c r="X115" i="4" s="1"/>
  <c r="X114" i="4" s="1"/>
  <c r="X113" i="4" s="1"/>
  <c r="X112" i="4" s="1"/>
  <c r="X111" i="4" s="1"/>
  <c r="X110" i="4" s="1"/>
  <c r="X109" i="4" s="1"/>
  <c r="X108" i="4" s="1"/>
  <c r="X107" i="4" s="1"/>
  <c r="X106" i="4" s="1"/>
  <c r="X105" i="4" s="1"/>
  <c r="X104" i="4" s="1"/>
  <c r="X103" i="4" s="1"/>
  <c r="X102" i="4" s="1"/>
  <c r="X101" i="4" s="1"/>
  <c r="X100" i="4" s="1"/>
  <c r="X99" i="4" s="1"/>
  <c r="X98" i="4" s="1"/>
  <c r="X97" i="4" s="1"/>
  <c r="X96" i="4" s="1"/>
  <c r="X95" i="4" s="1"/>
  <c r="X94" i="4" s="1"/>
  <c r="X93" i="4" s="1"/>
  <c r="X92" i="4" s="1"/>
  <c r="X91" i="4" s="1"/>
  <c r="X90" i="4" s="1"/>
  <c r="X89" i="4" s="1"/>
  <c r="X88" i="4" s="1"/>
  <c r="X87" i="4" s="1"/>
  <c r="X86" i="4" s="1"/>
  <c r="X85" i="4" s="1"/>
  <c r="X84" i="4" s="1"/>
  <c r="X83" i="4" s="1"/>
  <c r="X82" i="4" s="1"/>
  <c r="X81" i="4" s="1"/>
  <c r="X80" i="4" s="1"/>
  <c r="X79" i="4" s="1"/>
  <c r="X78" i="4" s="1"/>
  <c r="X77" i="4" s="1"/>
  <c r="X76" i="4" s="1"/>
  <c r="X75" i="4" s="1"/>
  <c r="X74" i="4" s="1"/>
  <c r="X73" i="4" s="1"/>
  <c r="X72" i="4" s="1"/>
  <c r="X71" i="4" s="1"/>
  <c r="X70" i="4" s="1"/>
  <c r="X69" i="4" s="1"/>
  <c r="X68" i="4" s="1"/>
  <c r="X67" i="4" s="1"/>
  <c r="X66" i="4" s="1"/>
  <c r="X65" i="4" s="1"/>
  <c r="X64" i="4" s="1"/>
  <c r="X63" i="4" s="1"/>
  <c r="X62" i="4" s="1"/>
  <c r="X61" i="4" s="1"/>
  <c r="X60" i="4" s="1"/>
  <c r="X59" i="4" s="1"/>
  <c r="X58" i="4" s="1"/>
  <c r="X57" i="4" s="1"/>
  <c r="X56" i="4" s="1"/>
  <c r="X55" i="4" s="1"/>
  <c r="X54" i="4" s="1"/>
  <c r="X53" i="4" s="1"/>
  <c r="X52" i="4" s="1"/>
  <c r="X51" i="4" s="1"/>
  <c r="X50" i="4" s="1"/>
  <c r="X49" i="4" s="1"/>
  <c r="X48" i="4" s="1"/>
  <c r="X47" i="4" s="1"/>
  <c r="X46" i="4" s="1"/>
  <c r="X45" i="4" s="1"/>
  <c r="X44" i="4" s="1"/>
  <c r="X43" i="4" s="1"/>
  <c r="X42" i="4" s="1"/>
  <c r="X41" i="4" s="1"/>
  <c r="X40" i="4" s="1"/>
  <c r="X39" i="4" s="1"/>
  <c r="X38" i="4" s="1"/>
  <c r="X37" i="4" s="1"/>
  <c r="X36" i="4" s="1"/>
  <c r="X35" i="4" s="1"/>
  <c r="X34" i="4" s="1"/>
  <c r="X33" i="4" s="1"/>
  <c r="X32" i="4" s="1"/>
  <c r="X31" i="4" s="1"/>
  <c r="X30" i="4" s="1"/>
  <c r="X29" i="4" s="1"/>
  <c r="X28" i="4" s="1"/>
  <c r="X27" i="4" s="1"/>
  <c r="X26" i="4" s="1"/>
  <c r="X25" i="4" s="1"/>
  <c r="X24" i="4" s="1"/>
  <c r="X23" i="4" s="1"/>
  <c r="X22" i="4" s="1"/>
  <c r="X21" i="4" s="1"/>
  <c r="X20" i="4" s="1"/>
  <c r="X19" i="4" s="1"/>
  <c r="X18" i="4" s="1"/>
  <c r="X17" i="4" s="1"/>
  <c r="X16" i="4" s="1"/>
  <c r="X15" i="4" s="1"/>
  <c r="X14" i="4" s="1"/>
  <c r="X13" i="4" s="1"/>
  <c r="X12" i="4" s="1"/>
  <c r="X11" i="4" s="1"/>
  <c r="X10" i="4" s="1"/>
  <c r="X9" i="4" s="1"/>
  <c r="X8" i="4" s="1"/>
  <c r="X7" i="4" s="1"/>
  <c r="X6" i="4" s="1"/>
  <c r="X5" i="4" s="1"/>
  <c r="X4" i="4" s="1"/>
  <c r="X3" i="4" s="1"/>
  <c r="C274" i="2" l="1"/>
  <c r="B274" i="2"/>
  <c r="H268" i="2" s="1"/>
  <c r="S26" i="20" s="1"/>
  <c r="N91" i="2"/>
  <c r="H81" i="2" s="1"/>
  <c r="K26" i="20" s="1"/>
  <c r="O91" i="2"/>
  <c r="C294" i="2"/>
  <c r="I149" i="2"/>
  <c r="T17" i="20" s="1"/>
  <c r="N73" i="2"/>
  <c r="O239" i="2"/>
  <c r="O240" i="2" s="1"/>
  <c r="I230" i="2" s="1"/>
  <c r="P12" i="20" s="1"/>
  <c r="I105" i="2"/>
  <c r="O102" i="2" s="1"/>
  <c r="H65" i="2"/>
  <c r="G30" i="20" s="1"/>
  <c r="L134" i="2"/>
  <c r="J19" i="3"/>
  <c r="K19" i="3" s="1"/>
  <c r="H130" i="2" s="1"/>
  <c r="O126" i="2" s="1"/>
  <c r="I108" i="2"/>
  <c r="I100" i="2" s="1"/>
  <c r="H20" i="20" s="1"/>
  <c r="H83" i="2"/>
  <c r="K30" i="20" s="1"/>
  <c r="I83" i="2"/>
  <c r="L30" i="20" s="1"/>
  <c r="H133" i="2"/>
  <c r="H125" i="2" s="1"/>
  <c r="K20" i="20" s="1"/>
  <c r="N259" i="2"/>
  <c r="N260" i="2" s="1"/>
  <c r="H250" i="2" s="1"/>
  <c r="S12" i="20" s="1"/>
  <c r="H109" i="2"/>
  <c r="H100" i="2" s="1"/>
  <c r="G20" i="20" s="1"/>
  <c r="G19" i="3"/>
  <c r="H105" i="2" s="1"/>
  <c r="O101" i="2" s="1"/>
  <c r="N219" i="2"/>
  <c r="N220" i="2" s="1"/>
  <c r="H210" i="2" s="1"/>
  <c r="AA12" i="20" s="1"/>
  <c r="N221" i="2"/>
  <c r="H211" i="2" s="1"/>
  <c r="AA13" i="20" s="1"/>
  <c r="L209" i="2"/>
  <c r="L210" i="2"/>
  <c r="L270" i="2"/>
  <c r="O219" i="2"/>
  <c r="O220" i="2" s="1"/>
  <c r="I210" i="2" s="1"/>
  <c r="AB12" i="20" s="1"/>
  <c r="L83" i="2"/>
  <c r="O318" i="2"/>
  <c r="O319" i="2" s="1"/>
  <c r="O320" i="2" s="1"/>
  <c r="I310" i="2" s="1"/>
  <c r="N318" i="2"/>
  <c r="N322" i="2" s="1"/>
  <c r="H307" i="2"/>
  <c r="H312" i="2" s="1"/>
  <c r="L288" i="2"/>
  <c r="L290" i="2" s="1"/>
  <c r="N299" i="2"/>
  <c r="N300" i="2" s="1"/>
  <c r="H290" i="2" s="1"/>
  <c r="W30" i="20" s="1"/>
  <c r="O259" i="2"/>
  <c r="O260" i="2" s="1"/>
  <c r="I250" i="2" s="1"/>
  <c r="T12" i="20" s="1"/>
  <c r="L248" i="2"/>
  <c r="L228" i="2"/>
  <c r="L230" i="2" s="1"/>
  <c r="I228" i="2" s="1"/>
  <c r="P8" i="20" s="1"/>
  <c r="L63" i="2"/>
  <c r="L64" i="2" s="1"/>
  <c r="O221" i="2"/>
  <c r="I211" i="2" s="1"/>
  <c r="AB13" i="20" s="1"/>
  <c r="O298" i="2"/>
  <c r="O278" i="2"/>
  <c r="O279" i="2" s="1"/>
  <c r="O280" i="2" s="1"/>
  <c r="I270" i="2" s="1"/>
  <c r="T30" i="20" s="1"/>
  <c r="N278" i="2"/>
  <c r="N261" i="2"/>
  <c r="H251" i="2" s="1"/>
  <c r="S13" i="20" s="1"/>
  <c r="N242" i="2"/>
  <c r="N241" i="2" s="1"/>
  <c r="H231" i="2" s="1"/>
  <c r="O13" i="20" s="1"/>
  <c r="L11" i="3"/>
  <c r="I134" i="2"/>
  <c r="I133" i="2"/>
  <c r="N362" i="2"/>
  <c r="N361" i="2"/>
  <c r="H351" i="2" s="1"/>
  <c r="N359" i="2"/>
  <c r="N360" i="2" s="1"/>
  <c r="H350" i="2" s="1"/>
  <c r="O341" i="2"/>
  <c r="I331" i="2" s="1"/>
  <c r="O339" i="2"/>
  <c r="O340" i="2" s="1"/>
  <c r="I330" i="2" s="1"/>
  <c r="O342" i="2"/>
  <c r="N339" i="2"/>
  <c r="N340" i="2" s="1"/>
  <c r="H330" i="2" s="1"/>
  <c r="N342" i="2"/>
  <c r="N341" i="2"/>
  <c r="H331" i="2" s="1"/>
  <c r="AA362" i="4"/>
  <c r="AA361" i="4" s="1"/>
  <c r="AA360" i="4" s="1"/>
  <c r="AA359" i="4" s="1"/>
  <c r="AA358" i="4" s="1"/>
  <c r="AA357" i="4" s="1"/>
  <c r="AA356" i="4" s="1"/>
  <c r="AA355" i="4" s="1"/>
  <c r="AA354" i="4" s="1"/>
  <c r="AA353" i="4" s="1"/>
  <c r="AA352" i="4" s="1"/>
  <c r="AA351" i="4" s="1"/>
  <c r="AA350" i="4" s="1"/>
  <c r="AA349" i="4" s="1"/>
  <c r="AA348" i="4" s="1"/>
  <c r="AA347" i="4" s="1"/>
  <c r="AA346" i="4" s="1"/>
  <c r="AA345" i="4" s="1"/>
  <c r="AA344" i="4" s="1"/>
  <c r="AA343" i="4" s="1"/>
  <c r="AA342" i="4" s="1"/>
  <c r="AA341" i="4" s="1"/>
  <c r="AA340" i="4" s="1"/>
  <c r="AA339" i="4" s="1"/>
  <c r="AA338" i="4" s="1"/>
  <c r="AA337" i="4" s="1"/>
  <c r="AA336" i="4" s="1"/>
  <c r="AA335" i="4" s="1"/>
  <c r="AA334" i="4" s="1"/>
  <c r="AA333" i="4" s="1"/>
  <c r="AA332" i="4" s="1"/>
  <c r="AA331" i="4" s="1"/>
  <c r="AA330" i="4" s="1"/>
  <c r="AA329" i="4" s="1"/>
  <c r="AA328" i="4" s="1"/>
  <c r="AA327" i="4" s="1"/>
  <c r="AA326" i="4" s="1"/>
  <c r="AA325" i="4" s="1"/>
  <c r="AA324" i="4" s="1"/>
  <c r="AA323" i="4" s="1"/>
  <c r="AA322" i="4" s="1"/>
  <c r="AA321" i="4" s="1"/>
  <c r="AA320" i="4" s="1"/>
  <c r="AA319" i="4" s="1"/>
  <c r="AA318" i="4" s="1"/>
  <c r="AA317" i="4" s="1"/>
  <c r="AA316" i="4" s="1"/>
  <c r="AA315" i="4" s="1"/>
  <c r="AA314" i="4" s="1"/>
  <c r="AA313" i="4" s="1"/>
  <c r="AA312" i="4" s="1"/>
  <c r="AA311" i="4" s="1"/>
  <c r="AA310" i="4" s="1"/>
  <c r="AA309" i="4" s="1"/>
  <c r="AA308" i="4" s="1"/>
  <c r="AA307" i="4" s="1"/>
  <c r="AA306" i="4" s="1"/>
  <c r="AA305" i="4" s="1"/>
  <c r="AA304" i="4" s="1"/>
  <c r="AA303" i="4" s="1"/>
  <c r="AA302" i="4" s="1"/>
  <c r="AA301" i="4" s="1"/>
  <c r="AA300" i="4" s="1"/>
  <c r="AA299" i="4" s="1"/>
  <c r="AA298" i="4" s="1"/>
  <c r="AA297" i="4" s="1"/>
  <c r="AA296" i="4" s="1"/>
  <c r="AA295" i="4" s="1"/>
  <c r="AA294" i="4" s="1"/>
  <c r="AA293" i="4" s="1"/>
  <c r="AA292" i="4" s="1"/>
  <c r="AA291" i="4" s="1"/>
  <c r="AA290" i="4" s="1"/>
  <c r="AA289" i="4" s="1"/>
  <c r="AA288" i="4" s="1"/>
  <c r="AA287" i="4" s="1"/>
  <c r="AA286" i="4" s="1"/>
  <c r="AA285" i="4" s="1"/>
  <c r="AA284" i="4" s="1"/>
  <c r="AA283" i="4" s="1"/>
  <c r="AA282" i="4" s="1"/>
  <c r="AA281" i="4" s="1"/>
  <c r="AA280" i="4" s="1"/>
  <c r="AA279" i="4" s="1"/>
  <c r="AA278" i="4" s="1"/>
  <c r="AA277" i="4" s="1"/>
  <c r="AA276" i="4" s="1"/>
  <c r="AA275" i="4" s="1"/>
  <c r="AA274" i="4" s="1"/>
  <c r="AA273" i="4" s="1"/>
  <c r="AA272" i="4" s="1"/>
  <c r="AA271" i="4" s="1"/>
  <c r="AA270" i="4" s="1"/>
  <c r="AA269" i="4" s="1"/>
  <c r="AA268" i="4" s="1"/>
  <c r="AA267" i="4" s="1"/>
  <c r="AA266" i="4" s="1"/>
  <c r="AA265" i="4" s="1"/>
  <c r="AA264" i="4" s="1"/>
  <c r="AA263" i="4" s="1"/>
  <c r="AA262" i="4" s="1"/>
  <c r="AA261" i="4" s="1"/>
  <c r="AA260" i="4" s="1"/>
  <c r="AA259" i="4" s="1"/>
  <c r="AA258" i="4" s="1"/>
  <c r="AA257" i="4" s="1"/>
  <c r="AA256" i="4" s="1"/>
  <c r="AA255" i="4" s="1"/>
  <c r="AA254" i="4" s="1"/>
  <c r="AA253" i="4" s="1"/>
  <c r="AA252" i="4" s="1"/>
  <c r="AA251" i="4" s="1"/>
  <c r="AA250" i="4" s="1"/>
  <c r="AA249" i="4" s="1"/>
  <c r="AA248" i="4" s="1"/>
  <c r="AA247" i="4" s="1"/>
  <c r="AA246" i="4" s="1"/>
  <c r="AA245" i="4" s="1"/>
  <c r="AA244" i="4" s="1"/>
  <c r="AA243" i="4" s="1"/>
  <c r="AA242" i="4" s="1"/>
  <c r="AA241" i="4" s="1"/>
  <c r="AA240" i="4" s="1"/>
  <c r="AA239" i="4" s="1"/>
  <c r="AA238" i="4" s="1"/>
  <c r="AA237" i="4" s="1"/>
  <c r="AA236" i="4" s="1"/>
  <c r="AA235" i="4" s="1"/>
  <c r="AA234" i="4" s="1"/>
  <c r="AA233" i="4" s="1"/>
  <c r="AA232" i="4" s="1"/>
  <c r="AA231" i="4" s="1"/>
  <c r="AA230" i="4" s="1"/>
  <c r="AA229" i="4" s="1"/>
  <c r="AA228" i="4" s="1"/>
  <c r="AA227" i="4" s="1"/>
  <c r="AA226" i="4" s="1"/>
  <c r="AA225" i="4" s="1"/>
  <c r="AA224" i="4" s="1"/>
  <c r="AA223" i="4" s="1"/>
  <c r="AA222" i="4" s="1"/>
  <c r="AA221" i="4" s="1"/>
  <c r="AA220" i="4" s="1"/>
  <c r="AA219" i="4" s="1"/>
  <c r="AA218" i="4" s="1"/>
  <c r="AA217" i="4" s="1"/>
  <c r="AA216" i="4" s="1"/>
  <c r="AA215" i="4" s="1"/>
  <c r="AA214" i="4" s="1"/>
  <c r="AA213" i="4" s="1"/>
  <c r="AA212" i="4" s="1"/>
  <c r="AA211" i="4" s="1"/>
  <c r="AA210" i="4" s="1"/>
  <c r="AA209" i="4" s="1"/>
  <c r="AA208" i="4" s="1"/>
  <c r="AA207" i="4" s="1"/>
  <c r="AA206" i="4" s="1"/>
  <c r="AA205" i="4" s="1"/>
  <c r="AA204" i="4" s="1"/>
  <c r="AA203" i="4" s="1"/>
  <c r="AA202" i="4" s="1"/>
  <c r="AA201" i="4" s="1"/>
  <c r="AA200" i="4" s="1"/>
  <c r="AA199" i="4" s="1"/>
  <c r="AA198" i="4" s="1"/>
  <c r="AA197" i="4" s="1"/>
  <c r="AA196" i="4" s="1"/>
  <c r="AA195" i="4" s="1"/>
  <c r="AA194" i="4" s="1"/>
  <c r="AA193" i="4" s="1"/>
  <c r="AA192" i="4" s="1"/>
  <c r="AA191" i="4" s="1"/>
  <c r="AA190" i="4" s="1"/>
  <c r="AA189" i="4" s="1"/>
  <c r="AA188" i="4" s="1"/>
  <c r="AA187" i="4" s="1"/>
  <c r="AA186" i="4" s="1"/>
  <c r="AA185" i="4" s="1"/>
  <c r="AA184" i="4" s="1"/>
  <c r="AA183" i="4" s="1"/>
  <c r="AA182" i="4" s="1"/>
  <c r="AA181" i="4" s="1"/>
  <c r="AA180" i="4" s="1"/>
  <c r="AA179" i="4" s="1"/>
  <c r="AA178" i="4" s="1"/>
  <c r="AA177" i="4" s="1"/>
  <c r="AA176" i="4" s="1"/>
  <c r="AA175" i="4" s="1"/>
  <c r="AA174" i="4" s="1"/>
  <c r="AA173" i="4" s="1"/>
  <c r="AA172" i="4" s="1"/>
  <c r="AA171" i="4" s="1"/>
  <c r="AA170" i="4" s="1"/>
  <c r="AA169" i="4" s="1"/>
  <c r="AA168" i="4" s="1"/>
  <c r="AA167" i="4" s="1"/>
  <c r="AA166" i="4" s="1"/>
  <c r="AA165" i="4" s="1"/>
  <c r="AA164" i="4" s="1"/>
  <c r="AA163" i="4" s="1"/>
  <c r="AA162" i="4" s="1"/>
  <c r="AA161" i="4" s="1"/>
  <c r="AA160" i="4" s="1"/>
  <c r="AA159" i="4" s="1"/>
  <c r="AA158" i="4" s="1"/>
  <c r="AA157" i="4" s="1"/>
  <c r="AA156" i="4" s="1"/>
  <c r="AA155" i="4" s="1"/>
  <c r="AA154" i="4" s="1"/>
  <c r="AA153" i="4" s="1"/>
  <c r="AA152" i="4" s="1"/>
  <c r="AA151" i="4" s="1"/>
  <c r="AA150" i="4" s="1"/>
  <c r="AA149" i="4" s="1"/>
  <c r="AA148" i="4" s="1"/>
  <c r="AA147" i="4" s="1"/>
  <c r="AA146" i="4" s="1"/>
  <c r="AA145" i="4" s="1"/>
  <c r="AA144" i="4" s="1"/>
  <c r="AA143" i="4" s="1"/>
  <c r="AA142" i="4" s="1"/>
  <c r="AA141" i="4" s="1"/>
  <c r="AA140" i="4" s="1"/>
  <c r="AA139" i="4" s="1"/>
  <c r="AA138" i="4" s="1"/>
  <c r="AA137" i="4" s="1"/>
  <c r="AA136" i="4" s="1"/>
  <c r="AA135" i="4" s="1"/>
  <c r="AA134" i="4" s="1"/>
  <c r="AA133" i="4" s="1"/>
  <c r="AA132" i="4" s="1"/>
  <c r="AA131" i="4" s="1"/>
  <c r="AA130" i="4" s="1"/>
  <c r="AA129" i="4" s="1"/>
  <c r="AA128" i="4" s="1"/>
  <c r="AA127" i="4" s="1"/>
  <c r="AA126" i="4" s="1"/>
  <c r="AA125" i="4" s="1"/>
  <c r="AA124" i="4" s="1"/>
  <c r="AA123" i="4" s="1"/>
  <c r="AA122" i="4" s="1"/>
  <c r="AA121" i="4" s="1"/>
  <c r="AA120" i="4" s="1"/>
  <c r="AA119" i="4" s="1"/>
  <c r="AA118" i="4" s="1"/>
  <c r="AA117" i="4" s="1"/>
  <c r="AA116" i="4" s="1"/>
  <c r="AA115" i="4" s="1"/>
  <c r="AA114" i="4" s="1"/>
  <c r="AA113" i="4" s="1"/>
  <c r="AA112" i="4" s="1"/>
  <c r="AA111" i="4" s="1"/>
  <c r="AA110" i="4" s="1"/>
  <c r="AA109" i="4" s="1"/>
  <c r="AA108" i="4" s="1"/>
  <c r="AA107" i="4" s="1"/>
  <c r="AA106" i="4" s="1"/>
  <c r="AA105" i="4" s="1"/>
  <c r="AA104" i="4" s="1"/>
  <c r="AA103" i="4" s="1"/>
  <c r="AA102" i="4" s="1"/>
  <c r="AA101" i="4" s="1"/>
  <c r="AA100" i="4" s="1"/>
  <c r="AA99" i="4" s="1"/>
  <c r="AA98" i="4" s="1"/>
  <c r="AA97" i="4" s="1"/>
  <c r="AA96" i="4" s="1"/>
  <c r="AA95" i="4" s="1"/>
  <c r="AA94" i="4" s="1"/>
  <c r="AA93" i="4" s="1"/>
  <c r="AA92" i="4" s="1"/>
  <c r="AA91" i="4" s="1"/>
  <c r="AA90" i="4" s="1"/>
  <c r="AA89" i="4" s="1"/>
  <c r="AA88" i="4" s="1"/>
  <c r="AA87" i="4" s="1"/>
  <c r="AA86" i="4" s="1"/>
  <c r="AA85" i="4" s="1"/>
  <c r="AA84" i="4" s="1"/>
  <c r="AA83" i="4" s="1"/>
  <c r="AA82" i="4" s="1"/>
  <c r="AA81" i="4" s="1"/>
  <c r="AA80" i="4" s="1"/>
  <c r="AA79" i="4" s="1"/>
  <c r="AA78" i="4" s="1"/>
  <c r="AA77" i="4" s="1"/>
  <c r="AA76" i="4" s="1"/>
  <c r="AA75" i="4" s="1"/>
  <c r="AA74" i="4" s="1"/>
  <c r="AA73" i="4" s="1"/>
  <c r="AA72" i="4" s="1"/>
  <c r="AA71" i="4" s="1"/>
  <c r="AA70" i="4" s="1"/>
  <c r="AA69" i="4" s="1"/>
  <c r="AA68" i="4" s="1"/>
  <c r="AA67" i="4" s="1"/>
  <c r="AA66" i="4" s="1"/>
  <c r="AA65" i="4" s="1"/>
  <c r="AA64" i="4" s="1"/>
  <c r="AA63" i="4" s="1"/>
  <c r="AA62" i="4" s="1"/>
  <c r="AA61" i="4" s="1"/>
  <c r="AA60" i="4" s="1"/>
  <c r="AA59" i="4" s="1"/>
  <c r="AA58" i="4" s="1"/>
  <c r="AA57" i="4" s="1"/>
  <c r="AA56" i="4" s="1"/>
  <c r="AA55" i="4" s="1"/>
  <c r="AA54" i="4" s="1"/>
  <c r="AA53" i="4" s="1"/>
  <c r="AA52" i="4" s="1"/>
  <c r="AA51" i="4" s="1"/>
  <c r="AA50" i="4" s="1"/>
  <c r="AA49" i="4" s="1"/>
  <c r="AA48" i="4" s="1"/>
  <c r="AA47" i="4" s="1"/>
  <c r="AA46" i="4" s="1"/>
  <c r="AA45" i="4" s="1"/>
  <c r="AA44" i="4" s="1"/>
  <c r="AA43" i="4" s="1"/>
  <c r="AA42" i="4" s="1"/>
  <c r="AA41" i="4" s="1"/>
  <c r="AA40" i="4" s="1"/>
  <c r="AA39" i="4" s="1"/>
  <c r="AA38" i="4" s="1"/>
  <c r="AA37" i="4" s="1"/>
  <c r="AA36" i="4" s="1"/>
  <c r="AA35" i="4" s="1"/>
  <c r="AA34" i="4" s="1"/>
  <c r="AA33" i="4" s="1"/>
  <c r="AA32" i="4" s="1"/>
  <c r="AA31" i="4" s="1"/>
  <c r="AA30" i="4" s="1"/>
  <c r="AA29" i="4" s="1"/>
  <c r="AA28" i="4" s="1"/>
  <c r="AA27" i="4" s="1"/>
  <c r="AA26" i="4" s="1"/>
  <c r="AA25" i="4" s="1"/>
  <c r="AA24" i="4" s="1"/>
  <c r="AA23" i="4" s="1"/>
  <c r="AA22" i="4" s="1"/>
  <c r="AA21" i="4" s="1"/>
  <c r="AA20" i="4" s="1"/>
  <c r="AA19" i="4" s="1"/>
  <c r="AA18" i="4" s="1"/>
  <c r="AA17" i="4" s="1"/>
  <c r="AA16" i="4" s="1"/>
  <c r="AA15" i="4" s="1"/>
  <c r="AA14" i="4" s="1"/>
  <c r="AA13" i="4" s="1"/>
  <c r="AA12" i="4" s="1"/>
  <c r="AA11" i="4" s="1"/>
  <c r="AA10" i="4" s="1"/>
  <c r="AA9" i="4" s="1"/>
  <c r="AA8" i="4" s="1"/>
  <c r="AA7" i="4" s="1"/>
  <c r="AA6" i="4" s="1"/>
  <c r="AA5" i="4" s="1"/>
  <c r="AA4" i="4" s="1"/>
  <c r="AA3" i="4" s="1"/>
  <c r="AD363" i="4"/>
  <c r="AC362" i="4"/>
  <c r="AC361" i="4" s="1"/>
  <c r="AC360" i="4" s="1"/>
  <c r="AC359" i="4" s="1"/>
  <c r="AC358" i="4" s="1"/>
  <c r="AC357" i="4" s="1"/>
  <c r="AC356" i="4" s="1"/>
  <c r="AC355" i="4" s="1"/>
  <c r="AC354" i="4" s="1"/>
  <c r="AC353" i="4" s="1"/>
  <c r="AC352" i="4" s="1"/>
  <c r="AC351" i="4" s="1"/>
  <c r="AC350" i="4" s="1"/>
  <c r="AC349" i="4" s="1"/>
  <c r="AC348" i="4" s="1"/>
  <c r="AC347" i="4" s="1"/>
  <c r="AC346" i="4" s="1"/>
  <c r="AC345" i="4" s="1"/>
  <c r="AC344" i="4" s="1"/>
  <c r="AC343" i="4" s="1"/>
  <c r="AC342" i="4" s="1"/>
  <c r="AC341" i="4" s="1"/>
  <c r="AC340" i="4" s="1"/>
  <c r="AC339" i="4" s="1"/>
  <c r="AC338" i="4" s="1"/>
  <c r="AC337" i="4" s="1"/>
  <c r="AC336" i="4" s="1"/>
  <c r="AC335" i="4" s="1"/>
  <c r="AC334" i="4" s="1"/>
  <c r="AC333" i="4" s="1"/>
  <c r="AC332" i="4" s="1"/>
  <c r="AC331" i="4" s="1"/>
  <c r="AC330" i="4" s="1"/>
  <c r="AC329" i="4" s="1"/>
  <c r="AC328" i="4" s="1"/>
  <c r="AC327" i="4" s="1"/>
  <c r="AC326" i="4" s="1"/>
  <c r="AC325" i="4" s="1"/>
  <c r="AC324" i="4" s="1"/>
  <c r="AC323" i="4" s="1"/>
  <c r="AC322" i="4" s="1"/>
  <c r="AC321" i="4" s="1"/>
  <c r="AC320" i="4" s="1"/>
  <c r="AC319" i="4" s="1"/>
  <c r="AC318" i="4" s="1"/>
  <c r="AC317" i="4" s="1"/>
  <c r="AC316" i="4" s="1"/>
  <c r="AC315" i="4" s="1"/>
  <c r="AC314" i="4" s="1"/>
  <c r="AC313" i="4" s="1"/>
  <c r="AC312" i="4" s="1"/>
  <c r="AC311" i="4" s="1"/>
  <c r="AC310" i="4" s="1"/>
  <c r="AC309" i="4" s="1"/>
  <c r="AC308" i="4" s="1"/>
  <c r="AC307" i="4" s="1"/>
  <c r="AC306" i="4" s="1"/>
  <c r="AC305" i="4" s="1"/>
  <c r="AC304" i="4" s="1"/>
  <c r="AC303" i="4" s="1"/>
  <c r="AC302" i="4" s="1"/>
  <c r="AC301" i="4" s="1"/>
  <c r="AC300" i="4" s="1"/>
  <c r="AC299" i="4" s="1"/>
  <c r="AC298" i="4" s="1"/>
  <c r="AC297" i="4" s="1"/>
  <c r="AC296" i="4" s="1"/>
  <c r="AC295" i="4" s="1"/>
  <c r="AC294" i="4" s="1"/>
  <c r="AC293" i="4" s="1"/>
  <c r="AC292" i="4" s="1"/>
  <c r="AC291" i="4" s="1"/>
  <c r="AC290" i="4" s="1"/>
  <c r="AC289" i="4" s="1"/>
  <c r="AC288" i="4" s="1"/>
  <c r="AC287" i="4" s="1"/>
  <c r="AC286" i="4" s="1"/>
  <c r="AC285" i="4" s="1"/>
  <c r="AC284" i="4" s="1"/>
  <c r="AC283" i="4" s="1"/>
  <c r="AC282" i="4" s="1"/>
  <c r="AC281" i="4" s="1"/>
  <c r="AC280" i="4" s="1"/>
  <c r="AC279" i="4" s="1"/>
  <c r="AC278" i="4" s="1"/>
  <c r="AC277" i="4" s="1"/>
  <c r="AC276" i="4" s="1"/>
  <c r="AC275" i="4" s="1"/>
  <c r="AC274" i="4" s="1"/>
  <c r="AC273" i="4" s="1"/>
  <c r="AC272" i="4" s="1"/>
  <c r="AC271" i="4" s="1"/>
  <c r="AC270" i="4" s="1"/>
  <c r="AC269" i="4" s="1"/>
  <c r="AC268" i="4" s="1"/>
  <c r="AC267" i="4" s="1"/>
  <c r="AC266" i="4" s="1"/>
  <c r="AC265" i="4" s="1"/>
  <c r="AC264" i="4" s="1"/>
  <c r="AC263" i="4" s="1"/>
  <c r="AC262" i="4" s="1"/>
  <c r="AC261" i="4" s="1"/>
  <c r="AC260" i="4" s="1"/>
  <c r="AC259" i="4" s="1"/>
  <c r="AC258" i="4" s="1"/>
  <c r="AC257" i="4" s="1"/>
  <c r="AC256" i="4" s="1"/>
  <c r="AC255" i="4" s="1"/>
  <c r="AC254" i="4" s="1"/>
  <c r="AC253" i="4" s="1"/>
  <c r="AC252" i="4" s="1"/>
  <c r="AC251" i="4" s="1"/>
  <c r="AC250" i="4" s="1"/>
  <c r="AC249" i="4" s="1"/>
  <c r="AC248" i="4" s="1"/>
  <c r="AC247" i="4" s="1"/>
  <c r="AC246" i="4" s="1"/>
  <c r="AC245" i="4" s="1"/>
  <c r="AC244" i="4" s="1"/>
  <c r="AC243" i="4" s="1"/>
  <c r="AC242" i="4" s="1"/>
  <c r="AC241" i="4" s="1"/>
  <c r="AC240" i="4" s="1"/>
  <c r="AC239" i="4" s="1"/>
  <c r="AC238" i="4" s="1"/>
  <c r="AC237" i="4" s="1"/>
  <c r="AC236" i="4" s="1"/>
  <c r="AC235" i="4" s="1"/>
  <c r="AC234" i="4" s="1"/>
  <c r="AC233" i="4" s="1"/>
  <c r="AC232" i="4" s="1"/>
  <c r="AC231" i="4" s="1"/>
  <c r="AC230" i="4" s="1"/>
  <c r="AC229" i="4" s="1"/>
  <c r="AC228" i="4" s="1"/>
  <c r="AC227" i="4" s="1"/>
  <c r="AC226" i="4" s="1"/>
  <c r="AC225" i="4" s="1"/>
  <c r="AC224" i="4" s="1"/>
  <c r="AC223" i="4" s="1"/>
  <c r="AC222" i="4" s="1"/>
  <c r="AC221" i="4" s="1"/>
  <c r="AC220" i="4" s="1"/>
  <c r="AC219" i="4" s="1"/>
  <c r="AC218" i="4" s="1"/>
  <c r="AC217" i="4" s="1"/>
  <c r="AC216" i="4" s="1"/>
  <c r="AC215" i="4" s="1"/>
  <c r="AC214" i="4" s="1"/>
  <c r="AC213" i="4" s="1"/>
  <c r="AC212" i="4" s="1"/>
  <c r="AC211" i="4" s="1"/>
  <c r="AC210" i="4" s="1"/>
  <c r="AC209" i="4" s="1"/>
  <c r="AC208" i="4" s="1"/>
  <c r="AC207" i="4" s="1"/>
  <c r="AC206" i="4" s="1"/>
  <c r="AC205" i="4" s="1"/>
  <c r="AC204" i="4" s="1"/>
  <c r="AC203" i="4" s="1"/>
  <c r="AC202" i="4" s="1"/>
  <c r="AC201" i="4" s="1"/>
  <c r="AC200" i="4" s="1"/>
  <c r="AC199" i="4" s="1"/>
  <c r="AC198" i="4" s="1"/>
  <c r="AC197" i="4" s="1"/>
  <c r="AC196" i="4" s="1"/>
  <c r="AC195" i="4" s="1"/>
  <c r="AC194" i="4" s="1"/>
  <c r="AC193" i="4" s="1"/>
  <c r="AC192" i="4" s="1"/>
  <c r="AC191" i="4" s="1"/>
  <c r="AC190" i="4" s="1"/>
  <c r="AC189" i="4" s="1"/>
  <c r="AC188" i="4" s="1"/>
  <c r="AC187" i="4" s="1"/>
  <c r="AC186" i="4" s="1"/>
  <c r="AC185" i="4" s="1"/>
  <c r="AC184" i="4" s="1"/>
  <c r="AC183" i="4" s="1"/>
  <c r="AC182" i="4" s="1"/>
  <c r="AC181" i="4" s="1"/>
  <c r="AC180" i="4" s="1"/>
  <c r="AC179" i="4" s="1"/>
  <c r="AC178" i="4" s="1"/>
  <c r="AC177" i="4" s="1"/>
  <c r="AC176" i="4" s="1"/>
  <c r="AC175" i="4" s="1"/>
  <c r="AC174" i="4" s="1"/>
  <c r="AC173" i="4" s="1"/>
  <c r="AC172" i="4" s="1"/>
  <c r="AC171" i="4" s="1"/>
  <c r="AC170" i="4" s="1"/>
  <c r="AC169" i="4" s="1"/>
  <c r="AC168" i="4" s="1"/>
  <c r="AC167" i="4" s="1"/>
  <c r="AC166" i="4" s="1"/>
  <c r="AC165" i="4" s="1"/>
  <c r="AC164" i="4" s="1"/>
  <c r="AC163" i="4" s="1"/>
  <c r="AC162" i="4" s="1"/>
  <c r="AC161" i="4" s="1"/>
  <c r="AC160" i="4" s="1"/>
  <c r="AC159" i="4" s="1"/>
  <c r="AC158" i="4" s="1"/>
  <c r="AC157" i="4" s="1"/>
  <c r="AC156" i="4" s="1"/>
  <c r="AC155" i="4" s="1"/>
  <c r="AC154" i="4" s="1"/>
  <c r="AC153" i="4" s="1"/>
  <c r="AC152" i="4" s="1"/>
  <c r="AC151" i="4" s="1"/>
  <c r="AC150" i="4" s="1"/>
  <c r="AC149" i="4" s="1"/>
  <c r="AC148" i="4" s="1"/>
  <c r="AC147" i="4" s="1"/>
  <c r="AC146" i="4" s="1"/>
  <c r="AC145" i="4" s="1"/>
  <c r="AC144" i="4" s="1"/>
  <c r="AC143" i="4" s="1"/>
  <c r="AC142" i="4" s="1"/>
  <c r="AC141" i="4" s="1"/>
  <c r="AC140" i="4" s="1"/>
  <c r="AC139" i="4" s="1"/>
  <c r="AC138" i="4" s="1"/>
  <c r="AC137" i="4" s="1"/>
  <c r="AC136" i="4" s="1"/>
  <c r="AC135" i="4" s="1"/>
  <c r="AC134" i="4" s="1"/>
  <c r="AC133" i="4" s="1"/>
  <c r="AC132" i="4" s="1"/>
  <c r="AC131" i="4" s="1"/>
  <c r="AC130" i="4" s="1"/>
  <c r="AC129" i="4" s="1"/>
  <c r="AC128" i="4" s="1"/>
  <c r="AC127" i="4" s="1"/>
  <c r="AC126" i="4" s="1"/>
  <c r="AC125" i="4" s="1"/>
  <c r="AC124" i="4" s="1"/>
  <c r="AC123" i="4" s="1"/>
  <c r="AC122" i="4" s="1"/>
  <c r="AC121" i="4" s="1"/>
  <c r="AC120" i="4" s="1"/>
  <c r="AC119" i="4" s="1"/>
  <c r="AC118" i="4" s="1"/>
  <c r="AC117" i="4" s="1"/>
  <c r="AC116" i="4" s="1"/>
  <c r="AC115" i="4" s="1"/>
  <c r="AC114" i="4" s="1"/>
  <c r="AC113" i="4" s="1"/>
  <c r="AC112" i="4" s="1"/>
  <c r="AC111" i="4" s="1"/>
  <c r="AC110" i="4" s="1"/>
  <c r="AC109" i="4" s="1"/>
  <c r="AC108" i="4" s="1"/>
  <c r="AC107" i="4" s="1"/>
  <c r="AC106" i="4" s="1"/>
  <c r="AC105" i="4" s="1"/>
  <c r="AC104" i="4" s="1"/>
  <c r="AC103" i="4" s="1"/>
  <c r="AC102" i="4" s="1"/>
  <c r="AC101" i="4" s="1"/>
  <c r="AC100" i="4" s="1"/>
  <c r="AC99" i="4" s="1"/>
  <c r="AC98" i="4" s="1"/>
  <c r="AC97" i="4" s="1"/>
  <c r="AC96" i="4" s="1"/>
  <c r="AC95" i="4" s="1"/>
  <c r="AC94" i="4" s="1"/>
  <c r="AC93" i="4" s="1"/>
  <c r="AC92" i="4" s="1"/>
  <c r="AC91" i="4" s="1"/>
  <c r="AC90" i="4" s="1"/>
  <c r="AC89" i="4" s="1"/>
  <c r="AC88" i="4" s="1"/>
  <c r="AC87" i="4" s="1"/>
  <c r="AC86" i="4" s="1"/>
  <c r="AC85" i="4" s="1"/>
  <c r="AC84" i="4" s="1"/>
  <c r="AC83" i="4" s="1"/>
  <c r="AC82" i="4" s="1"/>
  <c r="AC81" i="4" s="1"/>
  <c r="AC80" i="4" s="1"/>
  <c r="AC79" i="4" s="1"/>
  <c r="AC78" i="4" s="1"/>
  <c r="AC77" i="4" s="1"/>
  <c r="AC76" i="4" s="1"/>
  <c r="AC75" i="4" s="1"/>
  <c r="AC74" i="4" s="1"/>
  <c r="AC73" i="4" s="1"/>
  <c r="AC72" i="4" s="1"/>
  <c r="AC71" i="4" s="1"/>
  <c r="AC70" i="4" s="1"/>
  <c r="AC69" i="4" s="1"/>
  <c r="AC68" i="4" s="1"/>
  <c r="AC67" i="4" s="1"/>
  <c r="AC66" i="4" s="1"/>
  <c r="AC65" i="4" s="1"/>
  <c r="AC64" i="4" s="1"/>
  <c r="AC63" i="4" s="1"/>
  <c r="AC62" i="4" s="1"/>
  <c r="AC61" i="4" s="1"/>
  <c r="AC60" i="4" s="1"/>
  <c r="AC59" i="4" s="1"/>
  <c r="AC58" i="4" s="1"/>
  <c r="AC57" i="4" s="1"/>
  <c r="AC56" i="4" s="1"/>
  <c r="AC55" i="4" s="1"/>
  <c r="AC54" i="4" s="1"/>
  <c r="AC53" i="4" s="1"/>
  <c r="AC52" i="4" s="1"/>
  <c r="AC51" i="4" s="1"/>
  <c r="AC50" i="4" s="1"/>
  <c r="AC49" i="4" s="1"/>
  <c r="AC48" i="4" s="1"/>
  <c r="AC47" i="4" s="1"/>
  <c r="AC46" i="4" s="1"/>
  <c r="AC45" i="4" s="1"/>
  <c r="AC44" i="4" s="1"/>
  <c r="AC43" i="4" s="1"/>
  <c r="AC42" i="4" s="1"/>
  <c r="AC41" i="4" s="1"/>
  <c r="AC40" i="4" s="1"/>
  <c r="AC39" i="4" s="1"/>
  <c r="AC38" i="4" s="1"/>
  <c r="AC37" i="4" s="1"/>
  <c r="AC36" i="4" s="1"/>
  <c r="AC35" i="4" s="1"/>
  <c r="AC34" i="4" s="1"/>
  <c r="AC33" i="4" s="1"/>
  <c r="AC32" i="4" s="1"/>
  <c r="AC31" i="4" s="1"/>
  <c r="AC30" i="4" s="1"/>
  <c r="AC29" i="4" s="1"/>
  <c r="AC28" i="4" s="1"/>
  <c r="AC27" i="4" s="1"/>
  <c r="AC26" i="4" s="1"/>
  <c r="AC25" i="4" s="1"/>
  <c r="AC24" i="4" s="1"/>
  <c r="AC23" i="4" s="1"/>
  <c r="AC22" i="4" s="1"/>
  <c r="AC21" i="4" s="1"/>
  <c r="AC20" i="4" s="1"/>
  <c r="AC19" i="4" s="1"/>
  <c r="AC18" i="4" s="1"/>
  <c r="AC17" i="4" s="1"/>
  <c r="AC16" i="4" s="1"/>
  <c r="AC15" i="4" s="1"/>
  <c r="AC14" i="4" s="1"/>
  <c r="AC13" i="4" s="1"/>
  <c r="AC12" i="4" s="1"/>
  <c r="AC11" i="4" s="1"/>
  <c r="AC10" i="4" s="1"/>
  <c r="AC9" i="4" s="1"/>
  <c r="AC8" i="4" s="1"/>
  <c r="AC7" i="4" s="1"/>
  <c r="AC6" i="4" s="1"/>
  <c r="AC5" i="4" s="1"/>
  <c r="AC4" i="4" s="1"/>
  <c r="AC3" i="4" s="1"/>
  <c r="AF363" i="4"/>
  <c r="Y362" i="4"/>
  <c r="Y361" i="4" s="1"/>
  <c r="Y360" i="4" s="1"/>
  <c r="Y359" i="4" s="1"/>
  <c r="Y358" i="4" s="1"/>
  <c r="Y357" i="4" s="1"/>
  <c r="Y356" i="4" s="1"/>
  <c r="Y355" i="4" s="1"/>
  <c r="Y354" i="4" s="1"/>
  <c r="Y353" i="4" s="1"/>
  <c r="Y352" i="4" s="1"/>
  <c r="Y351" i="4" s="1"/>
  <c r="Y350" i="4" s="1"/>
  <c r="Y349" i="4" s="1"/>
  <c r="Y348" i="4" s="1"/>
  <c r="Y347" i="4" s="1"/>
  <c r="Y346" i="4" s="1"/>
  <c r="Y345" i="4" s="1"/>
  <c r="Y344" i="4" s="1"/>
  <c r="Y343" i="4" s="1"/>
  <c r="Y342" i="4" s="1"/>
  <c r="Y341" i="4" s="1"/>
  <c r="Y340" i="4" s="1"/>
  <c r="Y339" i="4" s="1"/>
  <c r="Y338" i="4" s="1"/>
  <c r="Y337" i="4" s="1"/>
  <c r="Y336" i="4" s="1"/>
  <c r="Y335" i="4" s="1"/>
  <c r="Y334" i="4" s="1"/>
  <c r="Y333" i="4" s="1"/>
  <c r="Y332" i="4" s="1"/>
  <c r="Y331" i="4" s="1"/>
  <c r="Y330" i="4" s="1"/>
  <c r="Y329" i="4" s="1"/>
  <c r="Y328" i="4" s="1"/>
  <c r="Y327" i="4" s="1"/>
  <c r="Y326" i="4" s="1"/>
  <c r="Y325" i="4" s="1"/>
  <c r="Y324" i="4" s="1"/>
  <c r="Y323" i="4" s="1"/>
  <c r="Y322" i="4" s="1"/>
  <c r="Y321" i="4" s="1"/>
  <c r="Y320" i="4" s="1"/>
  <c r="Y319" i="4" s="1"/>
  <c r="Y318" i="4" s="1"/>
  <c r="Y317" i="4" s="1"/>
  <c r="Y316" i="4" s="1"/>
  <c r="Y315" i="4" s="1"/>
  <c r="Y314" i="4" s="1"/>
  <c r="Y313" i="4" s="1"/>
  <c r="Y312" i="4" s="1"/>
  <c r="Y311" i="4" s="1"/>
  <c r="Y310" i="4" s="1"/>
  <c r="Y309" i="4" s="1"/>
  <c r="Y308" i="4" s="1"/>
  <c r="Y307" i="4" s="1"/>
  <c r="Y306" i="4" s="1"/>
  <c r="Y305" i="4" s="1"/>
  <c r="Y304" i="4" s="1"/>
  <c r="Y303" i="4" s="1"/>
  <c r="Y302" i="4" s="1"/>
  <c r="Y301" i="4" s="1"/>
  <c r="Y300" i="4" s="1"/>
  <c r="Y299" i="4" s="1"/>
  <c r="Y298" i="4" s="1"/>
  <c r="Y297" i="4" s="1"/>
  <c r="Y296" i="4" s="1"/>
  <c r="Y295" i="4" s="1"/>
  <c r="Y294" i="4" s="1"/>
  <c r="Y293" i="4" s="1"/>
  <c r="Y292" i="4" s="1"/>
  <c r="Y291" i="4" s="1"/>
  <c r="Y290" i="4" s="1"/>
  <c r="Y289" i="4" s="1"/>
  <c r="Y288" i="4" s="1"/>
  <c r="Y287" i="4" s="1"/>
  <c r="Y286" i="4" s="1"/>
  <c r="Y285" i="4" s="1"/>
  <c r="Y284" i="4" s="1"/>
  <c r="Y283" i="4" s="1"/>
  <c r="Y282" i="4" s="1"/>
  <c r="Y281" i="4" s="1"/>
  <c r="Y280" i="4" s="1"/>
  <c r="Y279" i="4" s="1"/>
  <c r="Y278" i="4" s="1"/>
  <c r="Y277" i="4" s="1"/>
  <c r="Y276" i="4" s="1"/>
  <c r="Y275" i="4" s="1"/>
  <c r="Y274" i="4" s="1"/>
  <c r="Y273" i="4" s="1"/>
  <c r="Y272" i="4" s="1"/>
  <c r="Y271" i="4" s="1"/>
  <c r="Y270" i="4" s="1"/>
  <c r="Y269" i="4" s="1"/>
  <c r="Y268" i="4" s="1"/>
  <c r="Y267" i="4" s="1"/>
  <c r="Y266" i="4" s="1"/>
  <c r="Y265" i="4" s="1"/>
  <c r="Y264" i="4" s="1"/>
  <c r="Y263" i="4" s="1"/>
  <c r="Y262" i="4" s="1"/>
  <c r="Y261" i="4" s="1"/>
  <c r="Y260" i="4" s="1"/>
  <c r="Y259" i="4" s="1"/>
  <c r="Y258" i="4" s="1"/>
  <c r="Y257" i="4" s="1"/>
  <c r="Y256" i="4" s="1"/>
  <c r="Y255" i="4" s="1"/>
  <c r="Y254" i="4" s="1"/>
  <c r="Y253" i="4" s="1"/>
  <c r="Y252" i="4" s="1"/>
  <c r="Y251" i="4" s="1"/>
  <c r="Y250" i="4" s="1"/>
  <c r="Y249" i="4" s="1"/>
  <c r="Y248" i="4" s="1"/>
  <c r="Y247" i="4" s="1"/>
  <c r="Y246" i="4" s="1"/>
  <c r="Y245" i="4" s="1"/>
  <c r="Y244" i="4" s="1"/>
  <c r="Y243" i="4" s="1"/>
  <c r="Y242" i="4" s="1"/>
  <c r="Y241" i="4" s="1"/>
  <c r="Y240" i="4" s="1"/>
  <c r="Y239" i="4" s="1"/>
  <c r="Y238" i="4" s="1"/>
  <c r="Y237" i="4" s="1"/>
  <c r="Y236" i="4" s="1"/>
  <c r="Y235" i="4" s="1"/>
  <c r="Y234" i="4" s="1"/>
  <c r="Y233" i="4" s="1"/>
  <c r="Y232" i="4" s="1"/>
  <c r="Y231" i="4" s="1"/>
  <c r="Y230" i="4" s="1"/>
  <c r="Y229" i="4" s="1"/>
  <c r="Y228" i="4" s="1"/>
  <c r="Y227" i="4" s="1"/>
  <c r="Y226" i="4" s="1"/>
  <c r="Y225" i="4" s="1"/>
  <c r="Y224" i="4" s="1"/>
  <c r="Y223" i="4" s="1"/>
  <c r="Y222" i="4" s="1"/>
  <c r="Y221" i="4" s="1"/>
  <c r="Y220" i="4" s="1"/>
  <c r="Y219" i="4" s="1"/>
  <c r="Y218" i="4" s="1"/>
  <c r="Y217" i="4" s="1"/>
  <c r="Y216" i="4" s="1"/>
  <c r="Y215" i="4" s="1"/>
  <c r="Y214" i="4" s="1"/>
  <c r="Y213" i="4" s="1"/>
  <c r="Y212" i="4" s="1"/>
  <c r="Y211" i="4" s="1"/>
  <c r="Y210" i="4" s="1"/>
  <c r="Y209" i="4" s="1"/>
  <c r="Y208" i="4" s="1"/>
  <c r="Y207" i="4" s="1"/>
  <c r="Y206" i="4" s="1"/>
  <c r="Y205" i="4" s="1"/>
  <c r="Y204" i="4" s="1"/>
  <c r="Y203" i="4" s="1"/>
  <c r="Y202" i="4" s="1"/>
  <c r="Y201" i="4" s="1"/>
  <c r="Y200" i="4" s="1"/>
  <c r="Y199" i="4" s="1"/>
  <c r="Y198" i="4" s="1"/>
  <c r="Y197" i="4" s="1"/>
  <c r="Y196" i="4" s="1"/>
  <c r="Y195" i="4" s="1"/>
  <c r="Y194" i="4" s="1"/>
  <c r="Y193" i="4" s="1"/>
  <c r="Y192" i="4" s="1"/>
  <c r="Y191" i="4" s="1"/>
  <c r="Y190" i="4" s="1"/>
  <c r="Y189" i="4" s="1"/>
  <c r="Y188" i="4" s="1"/>
  <c r="Y187" i="4" s="1"/>
  <c r="Y186" i="4" s="1"/>
  <c r="Y185" i="4" s="1"/>
  <c r="Y184" i="4" s="1"/>
  <c r="Y183" i="4" s="1"/>
  <c r="Y182" i="4" s="1"/>
  <c r="Y181" i="4" s="1"/>
  <c r="Y180" i="4" s="1"/>
  <c r="Y179" i="4" s="1"/>
  <c r="Y178" i="4" s="1"/>
  <c r="Y177" i="4" s="1"/>
  <c r="Y176" i="4" s="1"/>
  <c r="Y175" i="4" s="1"/>
  <c r="Y174" i="4" s="1"/>
  <c r="Y173" i="4" s="1"/>
  <c r="Y172" i="4" s="1"/>
  <c r="Y171" i="4" s="1"/>
  <c r="Y170" i="4" s="1"/>
  <c r="Y169" i="4" s="1"/>
  <c r="Y168" i="4" s="1"/>
  <c r="Y167" i="4" s="1"/>
  <c r="Y166" i="4" s="1"/>
  <c r="Y165" i="4" s="1"/>
  <c r="Y164" i="4" s="1"/>
  <c r="Y163" i="4" s="1"/>
  <c r="Y162" i="4" s="1"/>
  <c r="Y161" i="4" s="1"/>
  <c r="Y160" i="4" s="1"/>
  <c r="Y159" i="4" s="1"/>
  <c r="Y158" i="4" s="1"/>
  <c r="Y157" i="4" s="1"/>
  <c r="Y156" i="4" s="1"/>
  <c r="Y155" i="4" s="1"/>
  <c r="Y154" i="4" s="1"/>
  <c r="Y153" i="4" s="1"/>
  <c r="Y152" i="4" s="1"/>
  <c r="Y151" i="4" s="1"/>
  <c r="Y150" i="4" s="1"/>
  <c r="Y149" i="4" s="1"/>
  <c r="Y148" i="4" s="1"/>
  <c r="Y147" i="4" s="1"/>
  <c r="Y146" i="4" s="1"/>
  <c r="Y145" i="4" s="1"/>
  <c r="Y144" i="4" s="1"/>
  <c r="Y143" i="4" s="1"/>
  <c r="Y142" i="4" s="1"/>
  <c r="Y141" i="4" s="1"/>
  <c r="Y140" i="4" s="1"/>
  <c r="Y139" i="4" s="1"/>
  <c r="Y138" i="4" s="1"/>
  <c r="Y137" i="4" s="1"/>
  <c r="Y136" i="4" s="1"/>
  <c r="Y135" i="4" s="1"/>
  <c r="Y134" i="4" s="1"/>
  <c r="Y133" i="4" s="1"/>
  <c r="Y132" i="4" s="1"/>
  <c r="Y131" i="4" s="1"/>
  <c r="Y130" i="4" s="1"/>
  <c r="Y129" i="4" s="1"/>
  <c r="Y128" i="4" s="1"/>
  <c r="Y127" i="4" s="1"/>
  <c r="Y126" i="4" s="1"/>
  <c r="Y125" i="4" s="1"/>
  <c r="Y124" i="4" s="1"/>
  <c r="Y123" i="4" s="1"/>
  <c r="Y122" i="4" s="1"/>
  <c r="Y121" i="4" s="1"/>
  <c r="Y120" i="4" s="1"/>
  <c r="Y119" i="4" s="1"/>
  <c r="Y118" i="4" s="1"/>
  <c r="Y117" i="4" s="1"/>
  <c r="Y116" i="4" s="1"/>
  <c r="Y115" i="4" s="1"/>
  <c r="Y114" i="4" s="1"/>
  <c r="Y113" i="4" s="1"/>
  <c r="Y112" i="4" s="1"/>
  <c r="Y111" i="4" s="1"/>
  <c r="Y110" i="4" s="1"/>
  <c r="Y109" i="4" s="1"/>
  <c r="Y108" i="4" s="1"/>
  <c r="Y107" i="4" s="1"/>
  <c r="Y106" i="4" s="1"/>
  <c r="Y105" i="4" s="1"/>
  <c r="Y104" i="4" s="1"/>
  <c r="Y103" i="4" s="1"/>
  <c r="Y102" i="4" s="1"/>
  <c r="Y101" i="4" s="1"/>
  <c r="Y100" i="4" s="1"/>
  <c r="Y99" i="4" s="1"/>
  <c r="Y98" i="4" s="1"/>
  <c r="Y97" i="4" s="1"/>
  <c r="Y96" i="4" s="1"/>
  <c r="Y95" i="4" s="1"/>
  <c r="Y94" i="4" s="1"/>
  <c r="Y93" i="4" s="1"/>
  <c r="Y92" i="4" s="1"/>
  <c r="Y91" i="4" s="1"/>
  <c r="Y90" i="4" s="1"/>
  <c r="Y89" i="4" s="1"/>
  <c r="Y88" i="4" s="1"/>
  <c r="Y87" i="4" s="1"/>
  <c r="Y86" i="4" s="1"/>
  <c r="Y85" i="4" s="1"/>
  <c r="Y84" i="4" s="1"/>
  <c r="Y83" i="4" s="1"/>
  <c r="Y82" i="4" s="1"/>
  <c r="Y81" i="4" s="1"/>
  <c r="Y80" i="4" s="1"/>
  <c r="Y79" i="4" s="1"/>
  <c r="Y78" i="4" s="1"/>
  <c r="Y77" i="4" s="1"/>
  <c r="Y76" i="4" s="1"/>
  <c r="Y75" i="4" s="1"/>
  <c r="Y74" i="4" s="1"/>
  <c r="Y73" i="4" s="1"/>
  <c r="Y72" i="4" s="1"/>
  <c r="Y71" i="4" s="1"/>
  <c r="Y70" i="4" s="1"/>
  <c r="Y69" i="4" s="1"/>
  <c r="Y68" i="4" s="1"/>
  <c r="Y67" i="4" s="1"/>
  <c r="Y66" i="4" s="1"/>
  <c r="Y65" i="4" s="1"/>
  <c r="Y64" i="4" s="1"/>
  <c r="Y63" i="4" s="1"/>
  <c r="Y62" i="4" s="1"/>
  <c r="Y61" i="4" s="1"/>
  <c r="Y60" i="4" s="1"/>
  <c r="Y59" i="4" s="1"/>
  <c r="Y58" i="4" s="1"/>
  <c r="Y57" i="4" s="1"/>
  <c r="Y56" i="4" s="1"/>
  <c r="Y55" i="4" s="1"/>
  <c r="Y54" i="4" s="1"/>
  <c r="Y53" i="4" s="1"/>
  <c r="Y52" i="4" s="1"/>
  <c r="Y51" i="4" s="1"/>
  <c r="Y50" i="4" s="1"/>
  <c r="Y49" i="4" s="1"/>
  <c r="Y48" i="4" s="1"/>
  <c r="Y47" i="4" s="1"/>
  <c r="Y46" i="4" s="1"/>
  <c r="Y45" i="4" s="1"/>
  <c r="Y44" i="4" s="1"/>
  <c r="Y43" i="4" s="1"/>
  <c r="Y42" i="4" s="1"/>
  <c r="Y41" i="4" s="1"/>
  <c r="Y40" i="4" s="1"/>
  <c r="Y39" i="4" s="1"/>
  <c r="Y38" i="4" s="1"/>
  <c r="Y37" i="4" s="1"/>
  <c r="Y36" i="4" s="1"/>
  <c r="Y35" i="4" s="1"/>
  <c r="Y34" i="4" s="1"/>
  <c r="Y33" i="4" s="1"/>
  <c r="Y32" i="4" s="1"/>
  <c r="Y31" i="4" s="1"/>
  <c r="Y30" i="4" s="1"/>
  <c r="Y29" i="4" s="1"/>
  <c r="Y28" i="4" s="1"/>
  <c r="Y27" i="4" s="1"/>
  <c r="Y26" i="4" s="1"/>
  <c r="Y25" i="4" s="1"/>
  <c r="Y24" i="4" s="1"/>
  <c r="Y23" i="4" s="1"/>
  <c r="Y22" i="4" s="1"/>
  <c r="Y21" i="4" s="1"/>
  <c r="Y20" i="4" s="1"/>
  <c r="Y19" i="4" s="1"/>
  <c r="Y18" i="4" s="1"/>
  <c r="Y17" i="4" s="1"/>
  <c r="Y16" i="4" s="1"/>
  <c r="Y15" i="4" s="1"/>
  <c r="Y14" i="4" s="1"/>
  <c r="Y13" i="4" s="1"/>
  <c r="Y12" i="4" s="1"/>
  <c r="Y11" i="4" s="1"/>
  <c r="Y10" i="4" s="1"/>
  <c r="Y9" i="4" s="1"/>
  <c r="Y8" i="4" s="1"/>
  <c r="Y7" i="4" s="1"/>
  <c r="Y6" i="4" s="1"/>
  <c r="Y5" i="4" s="1"/>
  <c r="Y4" i="4" s="1"/>
  <c r="Y3" i="4" s="1"/>
  <c r="AB363" i="4"/>
  <c r="T19" i="20" l="1"/>
  <c r="T18" i="20"/>
  <c r="K27" i="20"/>
  <c r="K28" i="20"/>
  <c r="P9" i="20"/>
  <c r="P10" i="20"/>
  <c r="S27" i="20"/>
  <c r="S28" i="20"/>
  <c r="I148" i="2"/>
  <c r="I152" i="2" s="1"/>
  <c r="I288" i="2"/>
  <c r="X26" i="20" s="1"/>
  <c r="H267" i="2"/>
  <c r="H272" i="2" s="1"/>
  <c r="I81" i="2"/>
  <c r="L26" i="20" s="1"/>
  <c r="H80" i="2"/>
  <c r="H84" i="2" s="1"/>
  <c r="H63" i="2"/>
  <c r="G26" i="20" s="1"/>
  <c r="B116" i="2"/>
  <c r="I268" i="2"/>
  <c r="T26" i="20" s="1"/>
  <c r="I208" i="2"/>
  <c r="AB8" i="20" s="1"/>
  <c r="B141" i="2"/>
  <c r="C116" i="2"/>
  <c r="H208" i="2"/>
  <c r="AA8" i="20" s="1"/>
  <c r="L99" i="2"/>
  <c r="L101" i="2" s="1"/>
  <c r="L19" i="3"/>
  <c r="I130" i="2" s="1"/>
  <c r="O127" i="2" s="1"/>
  <c r="L124" i="2" s="1"/>
  <c r="L125" i="2" s="1"/>
  <c r="O112" i="2"/>
  <c r="O113" i="2" s="1"/>
  <c r="O114" i="2" s="1"/>
  <c r="I101" i="2" s="1"/>
  <c r="H21" i="20" s="1"/>
  <c r="N112" i="2"/>
  <c r="N116" i="2" s="1"/>
  <c r="N137" i="2"/>
  <c r="N141" i="2" s="1"/>
  <c r="N321" i="2"/>
  <c r="H311" i="2" s="1"/>
  <c r="N319" i="2"/>
  <c r="N320" i="2" s="1"/>
  <c r="H310" i="2" s="1"/>
  <c r="O282" i="2"/>
  <c r="O281" i="2" s="1"/>
  <c r="I271" i="2" s="1"/>
  <c r="T31" i="20" s="1"/>
  <c r="L229" i="2"/>
  <c r="H228" i="2" s="1"/>
  <c r="O8" i="20" s="1"/>
  <c r="L289" i="2"/>
  <c r="H288" i="2" s="1"/>
  <c r="W26" i="20" s="1"/>
  <c r="I125" i="2"/>
  <c r="L20" i="20" s="1"/>
  <c r="O321" i="2"/>
  <c r="I311" i="2" s="1"/>
  <c r="O322" i="2"/>
  <c r="L250" i="2"/>
  <c r="I248" i="2" s="1"/>
  <c r="T8" i="20" s="1"/>
  <c r="L249" i="2"/>
  <c r="H248" i="2" s="1"/>
  <c r="S8" i="20" s="1"/>
  <c r="L65" i="2"/>
  <c r="O302" i="2"/>
  <c r="O301" i="2" s="1"/>
  <c r="I291" i="2" s="1"/>
  <c r="X31" i="20" s="1"/>
  <c r="O299" i="2"/>
  <c r="O300" i="2" s="1"/>
  <c r="I290" i="2" s="1"/>
  <c r="X30" i="20" s="1"/>
  <c r="N282" i="2"/>
  <c r="N281" i="2" s="1"/>
  <c r="H271" i="2" s="1"/>
  <c r="S31" i="20" s="1"/>
  <c r="N279" i="2"/>
  <c r="N280" i="2" s="1"/>
  <c r="H270" i="2" s="1"/>
  <c r="S30" i="20" s="1"/>
  <c r="I227" i="2"/>
  <c r="I232" i="2" s="1"/>
  <c r="AE363" i="4"/>
  <c r="AB362" i="4"/>
  <c r="AB361" i="4" s="1"/>
  <c r="AB360" i="4" s="1"/>
  <c r="AB359" i="4" s="1"/>
  <c r="AB358" i="4" s="1"/>
  <c r="AB357" i="4" s="1"/>
  <c r="AB356" i="4" s="1"/>
  <c r="AB355" i="4" s="1"/>
  <c r="AB354" i="4" s="1"/>
  <c r="AB353" i="4" s="1"/>
  <c r="AB352" i="4" s="1"/>
  <c r="AB351" i="4" s="1"/>
  <c r="AB350" i="4" s="1"/>
  <c r="AB349" i="4" s="1"/>
  <c r="AB348" i="4" s="1"/>
  <c r="AB347" i="4" s="1"/>
  <c r="AB346" i="4" s="1"/>
  <c r="AB345" i="4" s="1"/>
  <c r="AB344" i="4" s="1"/>
  <c r="AB343" i="4" s="1"/>
  <c r="AB342" i="4" s="1"/>
  <c r="AB341" i="4" s="1"/>
  <c r="AB340" i="4" s="1"/>
  <c r="AB339" i="4" s="1"/>
  <c r="AB338" i="4" s="1"/>
  <c r="AB337" i="4" s="1"/>
  <c r="AB336" i="4" s="1"/>
  <c r="AB335" i="4" s="1"/>
  <c r="AB334" i="4" s="1"/>
  <c r="AB333" i="4" s="1"/>
  <c r="AB332" i="4" s="1"/>
  <c r="AB331" i="4" s="1"/>
  <c r="AB330" i="4" s="1"/>
  <c r="AB329" i="4" s="1"/>
  <c r="AB328" i="4" s="1"/>
  <c r="AB327" i="4" s="1"/>
  <c r="AB326" i="4" s="1"/>
  <c r="AB325" i="4" s="1"/>
  <c r="AB324" i="4" s="1"/>
  <c r="AB323" i="4" s="1"/>
  <c r="AB322" i="4" s="1"/>
  <c r="AB321" i="4" s="1"/>
  <c r="AB320" i="4" s="1"/>
  <c r="AB319" i="4" s="1"/>
  <c r="AB318" i="4" s="1"/>
  <c r="AB317" i="4" s="1"/>
  <c r="AB316" i="4" s="1"/>
  <c r="AB315" i="4" s="1"/>
  <c r="AB314" i="4" s="1"/>
  <c r="AB313" i="4" s="1"/>
  <c r="AB312" i="4" s="1"/>
  <c r="AB311" i="4" s="1"/>
  <c r="AB310" i="4" s="1"/>
  <c r="AB309" i="4" s="1"/>
  <c r="AB308" i="4" s="1"/>
  <c r="AB307" i="4" s="1"/>
  <c r="AB306" i="4" s="1"/>
  <c r="AB305" i="4" s="1"/>
  <c r="AB304" i="4" s="1"/>
  <c r="AB303" i="4" s="1"/>
  <c r="AB302" i="4" s="1"/>
  <c r="AB301" i="4" s="1"/>
  <c r="AB300" i="4" s="1"/>
  <c r="AB299" i="4" s="1"/>
  <c r="AB298" i="4" s="1"/>
  <c r="AB297" i="4" s="1"/>
  <c r="AB296" i="4" s="1"/>
  <c r="AB295" i="4" s="1"/>
  <c r="AB294" i="4" s="1"/>
  <c r="AB293" i="4" s="1"/>
  <c r="AB292" i="4" s="1"/>
  <c r="AB291" i="4" s="1"/>
  <c r="AB290" i="4" s="1"/>
  <c r="AB289" i="4" s="1"/>
  <c r="AB288" i="4" s="1"/>
  <c r="AB287" i="4" s="1"/>
  <c r="AB286" i="4" s="1"/>
  <c r="AB285" i="4" s="1"/>
  <c r="AB284" i="4" s="1"/>
  <c r="AB283" i="4" s="1"/>
  <c r="AB282" i="4" s="1"/>
  <c r="AB281" i="4" s="1"/>
  <c r="AB280" i="4" s="1"/>
  <c r="AB279" i="4" s="1"/>
  <c r="AB278" i="4" s="1"/>
  <c r="AB277" i="4" s="1"/>
  <c r="AB276" i="4" s="1"/>
  <c r="AB275" i="4" s="1"/>
  <c r="AB274" i="4" s="1"/>
  <c r="AB273" i="4" s="1"/>
  <c r="AB272" i="4" s="1"/>
  <c r="AB271" i="4" s="1"/>
  <c r="AB270" i="4" s="1"/>
  <c r="AB269" i="4" s="1"/>
  <c r="AB268" i="4" s="1"/>
  <c r="AB267" i="4" s="1"/>
  <c r="AB266" i="4" s="1"/>
  <c r="AB265" i="4" s="1"/>
  <c r="AB264" i="4" s="1"/>
  <c r="AB263" i="4" s="1"/>
  <c r="AB262" i="4" s="1"/>
  <c r="AB261" i="4" s="1"/>
  <c r="AB260" i="4" s="1"/>
  <c r="AB259" i="4" s="1"/>
  <c r="AB258" i="4" s="1"/>
  <c r="AB257" i="4" s="1"/>
  <c r="AB256" i="4" s="1"/>
  <c r="AB255" i="4" s="1"/>
  <c r="AB254" i="4" s="1"/>
  <c r="AB253" i="4" s="1"/>
  <c r="AB252" i="4" s="1"/>
  <c r="AB251" i="4" s="1"/>
  <c r="AB250" i="4" s="1"/>
  <c r="AB249" i="4" s="1"/>
  <c r="AB248" i="4" s="1"/>
  <c r="AB247" i="4" s="1"/>
  <c r="AB246" i="4" s="1"/>
  <c r="AB245" i="4" s="1"/>
  <c r="AB244" i="4" s="1"/>
  <c r="AB243" i="4" s="1"/>
  <c r="AB242" i="4" s="1"/>
  <c r="AB241" i="4" s="1"/>
  <c r="AB240" i="4" s="1"/>
  <c r="AB239" i="4" s="1"/>
  <c r="AB238" i="4" s="1"/>
  <c r="AB237" i="4" s="1"/>
  <c r="AB236" i="4" s="1"/>
  <c r="AB235" i="4" s="1"/>
  <c r="AB234" i="4" s="1"/>
  <c r="AB233" i="4" s="1"/>
  <c r="AB232" i="4" s="1"/>
  <c r="AB231" i="4" s="1"/>
  <c r="AB230" i="4" s="1"/>
  <c r="AB229" i="4" s="1"/>
  <c r="AB228" i="4" s="1"/>
  <c r="AB227" i="4" s="1"/>
  <c r="AB226" i="4" s="1"/>
  <c r="AB225" i="4" s="1"/>
  <c r="AB224" i="4" s="1"/>
  <c r="AB223" i="4" s="1"/>
  <c r="AB222" i="4" s="1"/>
  <c r="AB221" i="4" s="1"/>
  <c r="AB220" i="4" s="1"/>
  <c r="AB219" i="4" s="1"/>
  <c r="AB218" i="4" s="1"/>
  <c r="AB217" i="4" s="1"/>
  <c r="AB216" i="4" s="1"/>
  <c r="AB215" i="4" s="1"/>
  <c r="AB214" i="4" s="1"/>
  <c r="AB213" i="4" s="1"/>
  <c r="AB212" i="4" s="1"/>
  <c r="AB211" i="4" s="1"/>
  <c r="AB210" i="4" s="1"/>
  <c r="AB209" i="4" s="1"/>
  <c r="AB208" i="4" s="1"/>
  <c r="AB207" i="4" s="1"/>
  <c r="AB206" i="4" s="1"/>
  <c r="AB205" i="4" s="1"/>
  <c r="AB204" i="4" s="1"/>
  <c r="AB203" i="4" s="1"/>
  <c r="AB202" i="4" s="1"/>
  <c r="AB201" i="4" s="1"/>
  <c r="AB200" i="4" s="1"/>
  <c r="AB199" i="4" s="1"/>
  <c r="AB198" i="4" s="1"/>
  <c r="AB197" i="4" s="1"/>
  <c r="AB196" i="4" s="1"/>
  <c r="AB195" i="4" s="1"/>
  <c r="AB194" i="4" s="1"/>
  <c r="AB193" i="4" s="1"/>
  <c r="AB192" i="4" s="1"/>
  <c r="AB191" i="4" s="1"/>
  <c r="AB190" i="4" s="1"/>
  <c r="AB189" i="4" s="1"/>
  <c r="AB188" i="4" s="1"/>
  <c r="AB187" i="4" s="1"/>
  <c r="AB186" i="4" s="1"/>
  <c r="AB185" i="4" s="1"/>
  <c r="AB184" i="4" s="1"/>
  <c r="AB183" i="4" s="1"/>
  <c r="AB182" i="4" s="1"/>
  <c r="AB181" i="4" s="1"/>
  <c r="AB180" i="4" s="1"/>
  <c r="AB179" i="4" s="1"/>
  <c r="AB178" i="4" s="1"/>
  <c r="AB177" i="4" s="1"/>
  <c r="AB176" i="4" s="1"/>
  <c r="AB175" i="4" s="1"/>
  <c r="AB174" i="4" s="1"/>
  <c r="AB173" i="4" s="1"/>
  <c r="AB172" i="4" s="1"/>
  <c r="AB171" i="4" s="1"/>
  <c r="AB170" i="4" s="1"/>
  <c r="AB169" i="4" s="1"/>
  <c r="AB168" i="4" s="1"/>
  <c r="AB167" i="4" s="1"/>
  <c r="AB166" i="4" s="1"/>
  <c r="AB165" i="4" s="1"/>
  <c r="AB164" i="4" s="1"/>
  <c r="AB163" i="4" s="1"/>
  <c r="AB162" i="4" s="1"/>
  <c r="AB161" i="4" s="1"/>
  <c r="AB160" i="4" s="1"/>
  <c r="AB159" i="4" s="1"/>
  <c r="AB158" i="4" s="1"/>
  <c r="AB157" i="4" s="1"/>
  <c r="AB156" i="4" s="1"/>
  <c r="AB155" i="4" s="1"/>
  <c r="AB154" i="4" s="1"/>
  <c r="AB153" i="4" s="1"/>
  <c r="AB152" i="4" s="1"/>
  <c r="AB151" i="4" s="1"/>
  <c r="AB150" i="4" s="1"/>
  <c r="AB149" i="4" s="1"/>
  <c r="AB148" i="4" s="1"/>
  <c r="AB147" i="4" s="1"/>
  <c r="AB146" i="4" s="1"/>
  <c r="AB145" i="4" s="1"/>
  <c r="AB144" i="4" s="1"/>
  <c r="AB143" i="4" s="1"/>
  <c r="AB142" i="4" s="1"/>
  <c r="AB141" i="4" s="1"/>
  <c r="AB140" i="4" s="1"/>
  <c r="AB139" i="4" s="1"/>
  <c r="AB138" i="4" s="1"/>
  <c r="AB137" i="4" s="1"/>
  <c r="AB136" i="4" s="1"/>
  <c r="AB135" i="4" s="1"/>
  <c r="AB134" i="4" s="1"/>
  <c r="AB133" i="4" s="1"/>
  <c r="AB132" i="4" s="1"/>
  <c r="AB131" i="4" s="1"/>
  <c r="AB130" i="4" s="1"/>
  <c r="AB129" i="4" s="1"/>
  <c r="AB128" i="4" s="1"/>
  <c r="AB127" i="4" s="1"/>
  <c r="AB126" i="4" s="1"/>
  <c r="AB125" i="4" s="1"/>
  <c r="AB124" i="4" s="1"/>
  <c r="AB123" i="4" s="1"/>
  <c r="AB122" i="4" s="1"/>
  <c r="AB121" i="4" s="1"/>
  <c r="AB120" i="4" s="1"/>
  <c r="AB119" i="4" s="1"/>
  <c r="AB118" i="4" s="1"/>
  <c r="AB117" i="4" s="1"/>
  <c r="AB116" i="4" s="1"/>
  <c r="AB115" i="4" s="1"/>
  <c r="AB114" i="4" s="1"/>
  <c r="AB113" i="4" s="1"/>
  <c r="AB112" i="4" s="1"/>
  <c r="AB111" i="4" s="1"/>
  <c r="AB110" i="4" s="1"/>
  <c r="AB109" i="4" s="1"/>
  <c r="AB108" i="4" s="1"/>
  <c r="AB107" i="4" s="1"/>
  <c r="AB106" i="4" s="1"/>
  <c r="AB105" i="4" s="1"/>
  <c r="AB104" i="4" s="1"/>
  <c r="AB103" i="4" s="1"/>
  <c r="AB102" i="4" s="1"/>
  <c r="AB101" i="4" s="1"/>
  <c r="AB100" i="4" s="1"/>
  <c r="AB99" i="4" s="1"/>
  <c r="AB98" i="4" s="1"/>
  <c r="AB97" i="4" s="1"/>
  <c r="AB96" i="4" s="1"/>
  <c r="AB95" i="4" s="1"/>
  <c r="AB94" i="4" s="1"/>
  <c r="AB93" i="4" s="1"/>
  <c r="AB92" i="4" s="1"/>
  <c r="AB91" i="4" s="1"/>
  <c r="AB90" i="4" s="1"/>
  <c r="AB89" i="4" s="1"/>
  <c r="AB88" i="4" s="1"/>
  <c r="AB87" i="4" s="1"/>
  <c r="AB86" i="4" s="1"/>
  <c r="AB85" i="4" s="1"/>
  <c r="AB84" i="4" s="1"/>
  <c r="AB83" i="4" s="1"/>
  <c r="AB82" i="4" s="1"/>
  <c r="AB81" i="4" s="1"/>
  <c r="AB80" i="4" s="1"/>
  <c r="AB79" i="4" s="1"/>
  <c r="AB78" i="4" s="1"/>
  <c r="AB77" i="4" s="1"/>
  <c r="AB76" i="4" s="1"/>
  <c r="AB75" i="4" s="1"/>
  <c r="AB74" i="4" s="1"/>
  <c r="AB73" i="4" s="1"/>
  <c r="AB72" i="4" s="1"/>
  <c r="AB71" i="4" s="1"/>
  <c r="AB70" i="4" s="1"/>
  <c r="AB69" i="4" s="1"/>
  <c r="AB68" i="4" s="1"/>
  <c r="AB67" i="4" s="1"/>
  <c r="AB66" i="4" s="1"/>
  <c r="AB65" i="4" s="1"/>
  <c r="AB64" i="4" s="1"/>
  <c r="AB63" i="4" s="1"/>
  <c r="AB62" i="4" s="1"/>
  <c r="AB61" i="4" s="1"/>
  <c r="AB60" i="4" s="1"/>
  <c r="AB59" i="4" s="1"/>
  <c r="AB58" i="4" s="1"/>
  <c r="AB57" i="4" s="1"/>
  <c r="AB56" i="4" s="1"/>
  <c r="AB55" i="4" s="1"/>
  <c r="AB54" i="4" s="1"/>
  <c r="AB53" i="4" s="1"/>
  <c r="AB52" i="4" s="1"/>
  <c r="AB51" i="4" s="1"/>
  <c r="AB50" i="4" s="1"/>
  <c r="AB49" i="4" s="1"/>
  <c r="AB48" i="4" s="1"/>
  <c r="AB47" i="4" s="1"/>
  <c r="AB46" i="4" s="1"/>
  <c r="AB45" i="4" s="1"/>
  <c r="AB44" i="4" s="1"/>
  <c r="AB43" i="4" s="1"/>
  <c r="AB42" i="4" s="1"/>
  <c r="AB41" i="4" s="1"/>
  <c r="AB40" i="4" s="1"/>
  <c r="AB39" i="4" s="1"/>
  <c r="AB38" i="4" s="1"/>
  <c r="AB37" i="4" s="1"/>
  <c r="AB36" i="4" s="1"/>
  <c r="AB35" i="4" s="1"/>
  <c r="AB34" i="4" s="1"/>
  <c r="AB33" i="4" s="1"/>
  <c r="AB32" i="4" s="1"/>
  <c r="AB31" i="4" s="1"/>
  <c r="AB30" i="4" s="1"/>
  <c r="AB29" i="4" s="1"/>
  <c r="AB28" i="4" s="1"/>
  <c r="AB27" i="4" s="1"/>
  <c r="AB26" i="4" s="1"/>
  <c r="AB25" i="4" s="1"/>
  <c r="AB24" i="4" s="1"/>
  <c r="AB23" i="4" s="1"/>
  <c r="AB22" i="4" s="1"/>
  <c r="AB21" i="4" s="1"/>
  <c r="AB20" i="4" s="1"/>
  <c r="AB19" i="4" s="1"/>
  <c r="AB18" i="4" s="1"/>
  <c r="AB17" i="4" s="1"/>
  <c r="AB16" i="4" s="1"/>
  <c r="AB15" i="4" s="1"/>
  <c r="AB14" i="4" s="1"/>
  <c r="AB13" i="4" s="1"/>
  <c r="AB12" i="4" s="1"/>
  <c r="AB11" i="4" s="1"/>
  <c r="AB10" i="4" s="1"/>
  <c r="AB9" i="4" s="1"/>
  <c r="AB8" i="4" s="1"/>
  <c r="AB7" i="4" s="1"/>
  <c r="AB6" i="4" s="1"/>
  <c r="AB5" i="4" s="1"/>
  <c r="AB4" i="4" s="1"/>
  <c r="AB3" i="4" s="1"/>
  <c r="AI363" i="4"/>
  <c r="AI362" i="4" s="1"/>
  <c r="AI361" i="4" s="1"/>
  <c r="AI360" i="4" s="1"/>
  <c r="AI359" i="4" s="1"/>
  <c r="AI358" i="4" s="1"/>
  <c r="AI357" i="4" s="1"/>
  <c r="AI356" i="4" s="1"/>
  <c r="AI355" i="4" s="1"/>
  <c r="AI354" i="4" s="1"/>
  <c r="AI353" i="4" s="1"/>
  <c r="AI352" i="4" s="1"/>
  <c r="AI351" i="4" s="1"/>
  <c r="AI350" i="4" s="1"/>
  <c r="AI349" i="4" s="1"/>
  <c r="AI348" i="4" s="1"/>
  <c r="AI347" i="4" s="1"/>
  <c r="AI346" i="4" s="1"/>
  <c r="AI345" i="4" s="1"/>
  <c r="AI344" i="4" s="1"/>
  <c r="AI343" i="4" s="1"/>
  <c r="AI342" i="4" s="1"/>
  <c r="AI341" i="4" s="1"/>
  <c r="AI340" i="4" s="1"/>
  <c r="AI339" i="4" s="1"/>
  <c r="AI338" i="4" s="1"/>
  <c r="AI337" i="4" s="1"/>
  <c r="AI336" i="4" s="1"/>
  <c r="AI335" i="4" s="1"/>
  <c r="AI334" i="4" s="1"/>
  <c r="AI333" i="4" s="1"/>
  <c r="AI332" i="4" s="1"/>
  <c r="AI331" i="4" s="1"/>
  <c r="AI330" i="4" s="1"/>
  <c r="AI329" i="4" s="1"/>
  <c r="AI328" i="4" s="1"/>
  <c r="AI327" i="4" s="1"/>
  <c r="AI326" i="4" s="1"/>
  <c r="AI325" i="4" s="1"/>
  <c r="AI324" i="4" s="1"/>
  <c r="AI323" i="4" s="1"/>
  <c r="AI322" i="4" s="1"/>
  <c r="AI321" i="4" s="1"/>
  <c r="AI320" i="4" s="1"/>
  <c r="AI319" i="4" s="1"/>
  <c r="AI318" i="4" s="1"/>
  <c r="AI317" i="4" s="1"/>
  <c r="AI316" i="4" s="1"/>
  <c r="AI315" i="4" s="1"/>
  <c r="AI314" i="4" s="1"/>
  <c r="AI313" i="4" s="1"/>
  <c r="AI312" i="4" s="1"/>
  <c r="AI311" i="4" s="1"/>
  <c r="AI310" i="4" s="1"/>
  <c r="AI309" i="4" s="1"/>
  <c r="AI308" i="4" s="1"/>
  <c r="AI307" i="4" s="1"/>
  <c r="AI306" i="4" s="1"/>
  <c r="AI305" i="4" s="1"/>
  <c r="AI304" i="4" s="1"/>
  <c r="AI303" i="4" s="1"/>
  <c r="AI302" i="4" s="1"/>
  <c r="AI301" i="4" s="1"/>
  <c r="AI300" i="4" s="1"/>
  <c r="AI299" i="4" s="1"/>
  <c r="AI298" i="4" s="1"/>
  <c r="AI297" i="4" s="1"/>
  <c r="AI296" i="4" s="1"/>
  <c r="AI295" i="4" s="1"/>
  <c r="AI294" i="4" s="1"/>
  <c r="AI293" i="4" s="1"/>
  <c r="AI292" i="4" s="1"/>
  <c r="AI291" i="4" s="1"/>
  <c r="AI290" i="4" s="1"/>
  <c r="AI289" i="4" s="1"/>
  <c r="AI288" i="4" s="1"/>
  <c r="AI287" i="4" s="1"/>
  <c r="AI286" i="4" s="1"/>
  <c r="AI285" i="4" s="1"/>
  <c r="AI284" i="4" s="1"/>
  <c r="AI283" i="4" s="1"/>
  <c r="AI282" i="4" s="1"/>
  <c r="AI281" i="4" s="1"/>
  <c r="AI280" i="4" s="1"/>
  <c r="AI279" i="4" s="1"/>
  <c r="AI278" i="4" s="1"/>
  <c r="AI277" i="4" s="1"/>
  <c r="AI276" i="4" s="1"/>
  <c r="AI275" i="4" s="1"/>
  <c r="AI274" i="4" s="1"/>
  <c r="AI273" i="4" s="1"/>
  <c r="AI272" i="4" s="1"/>
  <c r="AI271" i="4" s="1"/>
  <c r="AI270" i="4" s="1"/>
  <c r="AI269" i="4" s="1"/>
  <c r="AI268" i="4" s="1"/>
  <c r="AI267" i="4" s="1"/>
  <c r="AI266" i="4" s="1"/>
  <c r="AI265" i="4" s="1"/>
  <c r="AI264" i="4" s="1"/>
  <c r="AI263" i="4" s="1"/>
  <c r="AI262" i="4" s="1"/>
  <c r="AI261" i="4" s="1"/>
  <c r="AI260" i="4" s="1"/>
  <c r="AI259" i="4" s="1"/>
  <c r="AI258" i="4" s="1"/>
  <c r="AI257" i="4" s="1"/>
  <c r="AI256" i="4" s="1"/>
  <c r="AI255" i="4" s="1"/>
  <c r="AI254" i="4" s="1"/>
  <c r="AI253" i="4" s="1"/>
  <c r="AI252" i="4" s="1"/>
  <c r="AI251" i="4" s="1"/>
  <c r="AI250" i="4" s="1"/>
  <c r="AI249" i="4" s="1"/>
  <c r="AI248" i="4" s="1"/>
  <c r="AI247" i="4" s="1"/>
  <c r="AI246" i="4" s="1"/>
  <c r="AI245" i="4" s="1"/>
  <c r="AI244" i="4" s="1"/>
  <c r="AI243" i="4" s="1"/>
  <c r="AI242" i="4" s="1"/>
  <c r="AI241" i="4" s="1"/>
  <c r="AI240" i="4" s="1"/>
  <c r="AI239" i="4" s="1"/>
  <c r="AI238" i="4" s="1"/>
  <c r="AI237" i="4" s="1"/>
  <c r="AI236" i="4" s="1"/>
  <c r="AI235" i="4" s="1"/>
  <c r="AI234" i="4" s="1"/>
  <c r="AI233" i="4" s="1"/>
  <c r="AI232" i="4" s="1"/>
  <c r="AI231" i="4" s="1"/>
  <c r="AI230" i="4" s="1"/>
  <c r="AI229" i="4" s="1"/>
  <c r="AI228" i="4" s="1"/>
  <c r="AI227" i="4" s="1"/>
  <c r="AI226" i="4" s="1"/>
  <c r="AI225" i="4" s="1"/>
  <c r="AI224" i="4" s="1"/>
  <c r="AI223" i="4" s="1"/>
  <c r="AI222" i="4" s="1"/>
  <c r="AI221" i="4" s="1"/>
  <c r="AI220" i="4" s="1"/>
  <c r="AI219" i="4" s="1"/>
  <c r="AI218" i="4" s="1"/>
  <c r="AI217" i="4" s="1"/>
  <c r="AI216" i="4" s="1"/>
  <c r="AI215" i="4" s="1"/>
  <c r="AI214" i="4" s="1"/>
  <c r="AI213" i="4" s="1"/>
  <c r="AI212" i="4" s="1"/>
  <c r="AI211" i="4" s="1"/>
  <c r="AI210" i="4" s="1"/>
  <c r="AI209" i="4" s="1"/>
  <c r="AI208" i="4" s="1"/>
  <c r="AI207" i="4" s="1"/>
  <c r="AI206" i="4" s="1"/>
  <c r="AI205" i="4" s="1"/>
  <c r="AI204" i="4" s="1"/>
  <c r="AI203" i="4" s="1"/>
  <c r="AI202" i="4" s="1"/>
  <c r="AI201" i="4" s="1"/>
  <c r="AI200" i="4" s="1"/>
  <c r="AI199" i="4" s="1"/>
  <c r="AI198" i="4" s="1"/>
  <c r="AI197" i="4" s="1"/>
  <c r="AI196" i="4" s="1"/>
  <c r="AI195" i="4" s="1"/>
  <c r="AI194" i="4" s="1"/>
  <c r="AI193" i="4" s="1"/>
  <c r="AI192" i="4" s="1"/>
  <c r="AI191" i="4" s="1"/>
  <c r="AI190" i="4" s="1"/>
  <c r="AI189" i="4" s="1"/>
  <c r="AI188" i="4" s="1"/>
  <c r="AI187" i="4" s="1"/>
  <c r="AI186" i="4" s="1"/>
  <c r="AI185" i="4" s="1"/>
  <c r="AI184" i="4" s="1"/>
  <c r="AI183" i="4" s="1"/>
  <c r="AI182" i="4" s="1"/>
  <c r="AI181" i="4" s="1"/>
  <c r="AI180" i="4" s="1"/>
  <c r="AI179" i="4" s="1"/>
  <c r="AI178" i="4" s="1"/>
  <c r="AI177" i="4" s="1"/>
  <c r="AI176" i="4" s="1"/>
  <c r="AI175" i="4" s="1"/>
  <c r="AI174" i="4" s="1"/>
  <c r="AI173" i="4" s="1"/>
  <c r="AI172" i="4" s="1"/>
  <c r="AI171" i="4" s="1"/>
  <c r="AI170" i="4" s="1"/>
  <c r="AI169" i="4" s="1"/>
  <c r="AI168" i="4" s="1"/>
  <c r="AI167" i="4" s="1"/>
  <c r="AI166" i="4" s="1"/>
  <c r="AI165" i="4" s="1"/>
  <c r="AI164" i="4" s="1"/>
  <c r="AI163" i="4" s="1"/>
  <c r="AI162" i="4" s="1"/>
  <c r="AI161" i="4" s="1"/>
  <c r="AI160" i="4" s="1"/>
  <c r="AI159" i="4" s="1"/>
  <c r="AI158" i="4" s="1"/>
  <c r="AI157" i="4" s="1"/>
  <c r="AI156" i="4" s="1"/>
  <c r="AI155" i="4" s="1"/>
  <c r="AI154" i="4" s="1"/>
  <c r="AI153" i="4" s="1"/>
  <c r="AI152" i="4" s="1"/>
  <c r="AI151" i="4" s="1"/>
  <c r="AI150" i="4" s="1"/>
  <c r="AI149" i="4" s="1"/>
  <c r="AI148" i="4" s="1"/>
  <c r="AI147" i="4" s="1"/>
  <c r="AI146" i="4" s="1"/>
  <c r="AI145" i="4" s="1"/>
  <c r="AI144" i="4" s="1"/>
  <c r="AI143" i="4" s="1"/>
  <c r="AI142" i="4" s="1"/>
  <c r="AI141" i="4" s="1"/>
  <c r="AI140" i="4" s="1"/>
  <c r="AI139" i="4" s="1"/>
  <c r="AI138" i="4" s="1"/>
  <c r="AI137" i="4" s="1"/>
  <c r="AI136" i="4" s="1"/>
  <c r="AI135" i="4" s="1"/>
  <c r="AI134" i="4" s="1"/>
  <c r="AI133" i="4" s="1"/>
  <c r="AI132" i="4" s="1"/>
  <c r="AI131" i="4" s="1"/>
  <c r="AI130" i="4" s="1"/>
  <c r="AI129" i="4" s="1"/>
  <c r="AI128" i="4" s="1"/>
  <c r="AI127" i="4" s="1"/>
  <c r="AI126" i="4" s="1"/>
  <c r="AI125" i="4" s="1"/>
  <c r="AI124" i="4" s="1"/>
  <c r="AI123" i="4" s="1"/>
  <c r="AI122" i="4" s="1"/>
  <c r="AI121" i="4" s="1"/>
  <c r="AI120" i="4" s="1"/>
  <c r="AI119" i="4" s="1"/>
  <c r="AI118" i="4" s="1"/>
  <c r="AI117" i="4" s="1"/>
  <c r="AI116" i="4" s="1"/>
  <c r="AI115" i="4" s="1"/>
  <c r="AI114" i="4" s="1"/>
  <c r="AI113" i="4" s="1"/>
  <c r="AI112" i="4" s="1"/>
  <c r="AI111" i="4" s="1"/>
  <c r="AI110" i="4" s="1"/>
  <c r="AI109" i="4" s="1"/>
  <c r="AI108" i="4" s="1"/>
  <c r="AI107" i="4" s="1"/>
  <c r="AI106" i="4" s="1"/>
  <c r="AI105" i="4" s="1"/>
  <c r="AI104" i="4" s="1"/>
  <c r="AI103" i="4" s="1"/>
  <c r="AI102" i="4" s="1"/>
  <c r="AI101" i="4" s="1"/>
  <c r="AI100" i="4" s="1"/>
  <c r="AI99" i="4" s="1"/>
  <c r="AI98" i="4" s="1"/>
  <c r="AI97" i="4" s="1"/>
  <c r="AI96" i="4" s="1"/>
  <c r="AI95" i="4" s="1"/>
  <c r="AI94" i="4" s="1"/>
  <c r="AI93" i="4" s="1"/>
  <c r="AI92" i="4" s="1"/>
  <c r="AI91" i="4" s="1"/>
  <c r="AI90" i="4" s="1"/>
  <c r="AI89" i="4" s="1"/>
  <c r="AI88" i="4" s="1"/>
  <c r="AI87" i="4" s="1"/>
  <c r="AI86" i="4" s="1"/>
  <c r="AI85" i="4" s="1"/>
  <c r="AI84" i="4" s="1"/>
  <c r="AI83" i="4" s="1"/>
  <c r="AI82" i="4" s="1"/>
  <c r="AI81" i="4" s="1"/>
  <c r="AI80" i="4" s="1"/>
  <c r="AI79" i="4" s="1"/>
  <c r="AI78" i="4" s="1"/>
  <c r="AI77" i="4" s="1"/>
  <c r="AI76" i="4" s="1"/>
  <c r="AI75" i="4" s="1"/>
  <c r="AI74" i="4" s="1"/>
  <c r="AI73" i="4" s="1"/>
  <c r="AI72" i="4" s="1"/>
  <c r="AI71" i="4" s="1"/>
  <c r="AI70" i="4" s="1"/>
  <c r="AI69" i="4" s="1"/>
  <c r="AI68" i="4" s="1"/>
  <c r="AI67" i="4" s="1"/>
  <c r="AI66" i="4" s="1"/>
  <c r="AI65" i="4" s="1"/>
  <c r="AI64" i="4" s="1"/>
  <c r="AI63" i="4" s="1"/>
  <c r="AI62" i="4" s="1"/>
  <c r="AI61" i="4" s="1"/>
  <c r="AI60" i="4" s="1"/>
  <c r="AI59" i="4" s="1"/>
  <c r="AI58" i="4" s="1"/>
  <c r="AI57" i="4" s="1"/>
  <c r="AI56" i="4" s="1"/>
  <c r="AI55" i="4" s="1"/>
  <c r="AI54" i="4" s="1"/>
  <c r="AI53" i="4" s="1"/>
  <c r="AI52" i="4" s="1"/>
  <c r="AI51" i="4" s="1"/>
  <c r="AI50" i="4" s="1"/>
  <c r="AI49" i="4" s="1"/>
  <c r="AI48" i="4" s="1"/>
  <c r="AI47" i="4" s="1"/>
  <c r="AI46" i="4" s="1"/>
  <c r="AI45" i="4" s="1"/>
  <c r="AI44" i="4" s="1"/>
  <c r="AI43" i="4" s="1"/>
  <c r="AI42" i="4" s="1"/>
  <c r="AI41" i="4" s="1"/>
  <c r="AI40" i="4" s="1"/>
  <c r="AI39" i="4" s="1"/>
  <c r="AI38" i="4" s="1"/>
  <c r="AI37" i="4" s="1"/>
  <c r="AI36" i="4" s="1"/>
  <c r="AI35" i="4" s="1"/>
  <c r="AI34" i="4" s="1"/>
  <c r="AI33" i="4" s="1"/>
  <c r="AI32" i="4" s="1"/>
  <c r="AI31" i="4" s="1"/>
  <c r="AI30" i="4" s="1"/>
  <c r="AI29" i="4" s="1"/>
  <c r="AI28" i="4" s="1"/>
  <c r="AI27" i="4" s="1"/>
  <c r="AI26" i="4" s="1"/>
  <c r="AI25" i="4" s="1"/>
  <c r="AI24" i="4" s="1"/>
  <c r="AI23" i="4" s="1"/>
  <c r="AI22" i="4" s="1"/>
  <c r="AI21" i="4" s="1"/>
  <c r="AI20" i="4" s="1"/>
  <c r="AI19" i="4" s="1"/>
  <c r="AI18" i="4" s="1"/>
  <c r="AI17" i="4" s="1"/>
  <c r="AI16" i="4" s="1"/>
  <c r="AI15" i="4" s="1"/>
  <c r="AI14" i="4" s="1"/>
  <c r="AI13" i="4" s="1"/>
  <c r="AI12" i="4" s="1"/>
  <c r="AI11" i="4" s="1"/>
  <c r="AI10" i="4" s="1"/>
  <c r="AI9" i="4" s="1"/>
  <c r="AI8" i="4" s="1"/>
  <c r="AI7" i="4" s="1"/>
  <c r="AI6" i="4" s="1"/>
  <c r="AI5" i="4" s="1"/>
  <c r="AI4" i="4" s="1"/>
  <c r="AI3" i="4" s="1"/>
  <c r="AF362" i="4"/>
  <c r="AF361" i="4" s="1"/>
  <c r="AF360" i="4" s="1"/>
  <c r="AF359" i="4" s="1"/>
  <c r="AF358" i="4" s="1"/>
  <c r="AF357" i="4" s="1"/>
  <c r="AF356" i="4" s="1"/>
  <c r="AF355" i="4" s="1"/>
  <c r="AF354" i="4" s="1"/>
  <c r="AF353" i="4" s="1"/>
  <c r="AF352" i="4" s="1"/>
  <c r="AF351" i="4" s="1"/>
  <c r="AF350" i="4" s="1"/>
  <c r="AF349" i="4" s="1"/>
  <c r="AF348" i="4" s="1"/>
  <c r="AF347" i="4" s="1"/>
  <c r="AF346" i="4" s="1"/>
  <c r="AF345" i="4" s="1"/>
  <c r="AF344" i="4" s="1"/>
  <c r="AF343" i="4" s="1"/>
  <c r="AF342" i="4" s="1"/>
  <c r="AF341" i="4" s="1"/>
  <c r="AF340" i="4" s="1"/>
  <c r="AF339" i="4" s="1"/>
  <c r="AF338" i="4" s="1"/>
  <c r="AF337" i="4" s="1"/>
  <c r="AF336" i="4" s="1"/>
  <c r="AF335" i="4" s="1"/>
  <c r="AF334" i="4" s="1"/>
  <c r="AF333" i="4" s="1"/>
  <c r="AF332" i="4" s="1"/>
  <c r="AF331" i="4" s="1"/>
  <c r="AF330" i="4" s="1"/>
  <c r="AF329" i="4" s="1"/>
  <c r="AF328" i="4" s="1"/>
  <c r="AF327" i="4" s="1"/>
  <c r="AF326" i="4" s="1"/>
  <c r="AF325" i="4" s="1"/>
  <c r="AF324" i="4" s="1"/>
  <c r="AF323" i="4" s="1"/>
  <c r="AF322" i="4" s="1"/>
  <c r="AF321" i="4" s="1"/>
  <c r="AF320" i="4" s="1"/>
  <c r="AF319" i="4" s="1"/>
  <c r="AF318" i="4" s="1"/>
  <c r="AF317" i="4" s="1"/>
  <c r="AF316" i="4" s="1"/>
  <c r="AF315" i="4" s="1"/>
  <c r="AF314" i="4" s="1"/>
  <c r="AF313" i="4" s="1"/>
  <c r="AF312" i="4" s="1"/>
  <c r="AF311" i="4" s="1"/>
  <c r="AF310" i="4" s="1"/>
  <c r="AF309" i="4" s="1"/>
  <c r="AF308" i="4" s="1"/>
  <c r="AF307" i="4" s="1"/>
  <c r="AF306" i="4" s="1"/>
  <c r="AF305" i="4" s="1"/>
  <c r="AF304" i="4" s="1"/>
  <c r="AF303" i="4" s="1"/>
  <c r="AF302" i="4" s="1"/>
  <c r="AF301" i="4" s="1"/>
  <c r="AF300" i="4" s="1"/>
  <c r="AF299" i="4" s="1"/>
  <c r="AF298" i="4" s="1"/>
  <c r="AF297" i="4" s="1"/>
  <c r="AF296" i="4" s="1"/>
  <c r="AF295" i="4" s="1"/>
  <c r="AF294" i="4" s="1"/>
  <c r="AF293" i="4" s="1"/>
  <c r="AF292" i="4" s="1"/>
  <c r="AF291" i="4" s="1"/>
  <c r="AF290" i="4" s="1"/>
  <c r="AF289" i="4" s="1"/>
  <c r="AF288" i="4" s="1"/>
  <c r="AF287" i="4" s="1"/>
  <c r="AF286" i="4" s="1"/>
  <c r="AF285" i="4" s="1"/>
  <c r="AF284" i="4" s="1"/>
  <c r="AF283" i="4" s="1"/>
  <c r="AF282" i="4" s="1"/>
  <c r="AF281" i="4" s="1"/>
  <c r="AF280" i="4" s="1"/>
  <c r="AF279" i="4" s="1"/>
  <c r="AF278" i="4" s="1"/>
  <c r="AF277" i="4" s="1"/>
  <c r="AF276" i="4" s="1"/>
  <c r="AF275" i="4" s="1"/>
  <c r="AF274" i="4" s="1"/>
  <c r="AF273" i="4" s="1"/>
  <c r="AF272" i="4" s="1"/>
  <c r="AF271" i="4" s="1"/>
  <c r="AF270" i="4" s="1"/>
  <c r="AF269" i="4" s="1"/>
  <c r="AF268" i="4" s="1"/>
  <c r="AF267" i="4" s="1"/>
  <c r="AF266" i="4" s="1"/>
  <c r="AF265" i="4" s="1"/>
  <c r="AF264" i="4" s="1"/>
  <c r="AF263" i="4" s="1"/>
  <c r="AF262" i="4" s="1"/>
  <c r="AF261" i="4" s="1"/>
  <c r="AF260" i="4" s="1"/>
  <c r="AF259" i="4" s="1"/>
  <c r="AF258" i="4" s="1"/>
  <c r="AF257" i="4" s="1"/>
  <c r="AF256" i="4" s="1"/>
  <c r="AF255" i="4" s="1"/>
  <c r="AF254" i="4" s="1"/>
  <c r="AF253" i="4" s="1"/>
  <c r="AF252" i="4" s="1"/>
  <c r="AF251" i="4" s="1"/>
  <c r="AF250" i="4" s="1"/>
  <c r="AF249" i="4" s="1"/>
  <c r="AF248" i="4" s="1"/>
  <c r="AF247" i="4" s="1"/>
  <c r="AF246" i="4" s="1"/>
  <c r="AF245" i="4" s="1"/>
  <c r="AF244" i="4" s="1"/>
  <c r="AF243" i="4" s="1"/>
  <c r="AF242" i="4" s="1"/>
  <c r="AF241" i="4" s="1"/>
  <c r="AF240" i="4" s="1"/>
  <c r="AF239" i="4" s="1"/>
  <c r="AF238" i="4" s="1"/>
  <c r="AF237" i="4" s="1"/>
  <c r="AF236" i="4" s="1"/>
  <c r="AF235" i="4" s="1"/>
  <c r="AF234" i="4" s="1"/>
  <c r="AF233" i="4" s="1"/>
  <c r="AF232" i="4" s="1"/>
  <c r="AF231" i="4" s="1"/>
  <c r="AF230" i="4" s="1"/>
  <c r="AF229" i="4" s="1"/>
  <c r="AF228" i="4" s="1"/>
  <c r="AF227" i="4" s="1"/>
  <c r="AF226" i="4" s="1"/>
  <c r="AF225" i="4" s="1"/>
  <c r="AF224" i="4" s="1"/>
  <c r="AF223" i="4" s="1"/>
  <c r="AF222" i="4" s="1"/>
  <c r="AF221" i="4" s="1"/>
  <c r="AF220" i="4" s="1"/>
  <c r="AF219" i="4" s="1"/>
  <c r="AF218" i="4" s="1"/>
  <c r="AF217" i="4" s="1"/>
  <c r="AF216" i="4" s="1"/>
  <c r="AF215" i="4" s="1"/>
  <c r="AF214" i="4" s="1"/>
  <c r="AF213" i="4" s="1"/>
  <c r="AF212" i="4" s="1"/>
  <c r="AF211" i="4" s="1"/>
  <c r="AF210" i="4" s="1"/>
  <c r="AF209" i="4" s="1"/>
  <c r="AF208" i="4" s="1"/>
  <c r="AF207" i="4" s="1"/>
  <c r="AF206" i="4" s="1"/>
  <c r="AF205" i="4" s="1"/>
  <c r="AF204" i="4" s="1"/>
  <c r="AF203" i="4" s="1"/>
  <c r="AF202" i="4" s="1"/>
  <c r="AF201" i="4" s="1"/>
  <c r="AF200" i="4" s="1"/>
  <c r="AF199" i="4" s="1"/>
  <c r="AF198" i="4" s="1"/>
  <c r="AF197" i="4" s="1"/>
  <c r="AF196" i="4" s="1"/>
  <c r="AF195" i="4" s="1"/>
  <c r="AF194" i="4" s="1"/>
  <c r="AF193" i="4" s="1"/>
  <c r="AF192" i="4" s="1"/>
  <c r="AF191" i="4" s="1"/>
  <c r="AF190" i="4" s="1"/>
  <c r="AF189" i="4" s="1"/>
  <c r="AF188" i="4" s="1"/>
  <c r="AF187" i="4" s="1"/>
  <c r="AF186" i="4" s="1"/>
  <c r="AF185" i="4" s="1"/>
  <c r="AF184" i="4" s="1"/>
  <c r="AF183" i="4" s="1"/>
  <c r="AF182" i="4" s="1"/>
  <c r="AF181" i="4" s="1"/>
  <c r="AF180" i="4" s="1"/>
  <c r="AF179" i="4" s="1"/>
  <c r="AF178" i="4" s="1"/>
  <c r="AF177" i="4" s="1"/>
  <c r="AF176" i="4" s="1"/>
  <c r="AF175" i="4" s="1"/>
  <c r="AF174" i="4" s="1"/>
  <c r="AF173" i="4" s="1"/>
  <c r="AF172" i="4" s="1"/>
  <c r="AF171" i="4" s="1"/>
  <c r="AF170" i="4" s="1"/>
  <c r="AF169" i="4" s="1"/>
  <c r="AF168" i="4" s="1"/>
  <c r="AF167" i="4" s="1"/>
  <c r="AF166" i="4" s="1"/>
  <c r="AF165" i="4" s="1"/>
  <c r="AF164" i="4" s="1"/>
  <c r="AF163" i="4" s="1"/>
  <c r="AF162" i="4" s="1"/>
  <c r="AF161" i="4" s="1"/>
  <c r="AF160" i="4" s="1"/>
  <c r="AF159" i="4" s="1"/>
  <c r="AF158" i="4" s="1"/>
  <c r="AF157" i="4" s="1"/>
  <c r="AF156" i="4" s="1"/>
  <c r="AF155" i="4" s="1"/>
  <c r="AF154" i="4" s="1"/>
  <c r="AF153" i="4" s="1"/>
  <c r="AF152" i="4" s="1"/>
  <c r="AF151" i="4" s="1"/>
  <c r="AF150" i="4" s="1"/>
  <c r="AF149" i="4" s="1"/>
  <c r="AF148" i="4" s="1"/>
  <c r="AF147" i="4" s="1"/>
  <c r="AF146" i="4" s="1"/>
  <c r="AF145" i="4" s="1"/>
  <c r="AF144" i="4" s="1"/>
  <c r="AF143" i="4" s="1"/>
  <c r="AF142" i="4" s="1"/>
  <c r="AF141" i="4" s="1"/>
  <c r="AF140" i="4" s="1"/>
  <c r="AF139" i="4" s="1"/>
  <c r="AF138" i="4" s="1"/>
  <c r="AF137" i="4" s="1"/>
  <c r="AF136" i="4" s="1"/>
  <c r="AF135" i="4" s="1"/>
  <c r="AF134" i="4" s="1"/>
  <c r="AF133" i="4" s="1"/>
  <c r="AF132" i="4" s="1"/>
  <c r="AF131" i="4" s="1"/>
  <c r="AF130" i="4" s="1"/>
  <c r="AF129" i="4" s="1"/>
  <c r="AF128" i="4" s="1"/>
  <c r="AF127" i="4" s="1"/>
  <c r="AF126" i="4" s="1"/>
  <c r="AF125" i="4" s="1"/>
  <c r="AF124" i="4" s="1"/>
  <c r="AF123" i="4" s="1"/>
  <c r="AF122" i="4" s="1"/>
  <c r="AF121" i="4" s="1"/>
  <c r="AF120" i="4" s="1"/>
  <c r="AF119" i="4" s="1"/>
  <c r="AF118" i="4" s="1"/>
  <c r="AF117" i="4" s="1"/>
  <c r="AF116" i="4" s="1"/>
  <c r="AF115" i="4" s="1"/>
  <c r="AF114" i="4" s="1"/>
  <c r="AF113" i="4" s="1"/>
  <c r="AF112" i="4" s="1"/>
  <c r="AF111" i="4" s="1"/>
  <c r="AF110" i="4" s="1"/>
  <c r="AF109" i="4" s="1"/>
  <c r="AF108" i="4" s="1"/>
  <c r="AF107" i="4" s="1"/>
  <c r="AF106" i="4" s="1"/>
  <c r="AF105" i="4" s="1"/>
  <c r="AF104" i="4" s="1"/>
  <c r="AF103" i="4" s="1"/>
  <c r="AF102" i="4" s="1"/>
  <c r="AF101" i="4" s="1"/>
  <c r="AF100" i="4" s="1"/>
  <c r="AF99" i="4" s="1"/>
  <c r="AF98" i="4" s="1"/>
  <c r="AF97" i="4" s="1"/>
  <c r="AF96" i="4" s="1"/>
  <c r="AF95" i="4" s="1"/>
  <c r="AF94" i="4" s="1"/>
  <c r="AF93" i="4" s="1"/>
  <c r="AF92" i="4" s="1"/>
  <c r="AF91" i="4" s="1"/>
  <c r="AF90" i="4" s="1"/>
  <c r="AF89" i="4" s="1"/>
  <c r="AF88" i="4" s="1"/>
  <c r="AF87" i="4" s="1"/>
  <c r="AF86" i="4" s="1"/>
  <c r="AF85" i="4" s="1"/>
  <c r="AF84" i="4" s="1"/>
  <c r="AF83" i="4" s="1"/>
  <c r="AF82" i="4" s="1"/>
  <c r="AF81" i="4" s="1"/>
  <c r="AF80" i="4" s="1"/>
  <c r="AF79" i="4" s="1"/>
  <c r="AF78" i="4" s="1"/>
  <c r="AF77" i="4" s="1"/>
  <c r="AF76" i="4" s="1"/>
  <c r="AF75" i="4" s="1"/>
  <c r="AF74" i="4" s="1"/>
  <c r="AF73" i="4" s="1"/>
  <c r="AF72" i="4" s="1"/>
  <c r="AF71" i="4" s="1"/>
  <c r="AF70" i="4" s="1"/>
  <c r="AF69" i="4" s="1"/>
  <c r="AF68" i="4" s="1"/>
  <c r="AF67" i="4" s="1"/>
  <c r="AF66" i="4" s="1"/>
  <c r="AF65" i="4" s="1"/>
  <c r="AF64" i="4" s="1"/>
  <c r="AF63" i="4" s="1"/>
  <c r="AF62" i="4" s="1"/>
  <c r="AF61" i="4" s="1"/>
  <c r="AF60" i="4" s="1"/>
  <c r="AF59" i="4" s="1"/>
  <c r="AF58" i="4" s="1"/>
  <c r="AF57" i="4" s="1"/>
  <c r="AF56" i="4" s="1"/>
  <c r="AF55" i="4" s="1"/>
  <c r="AF54" i="4" s="1"/>
  <c r="AF53" i="4" s="1"/>
  <c r="AF52" i="4" s="1"/>
  <c r="AF51" i="4" s="1"/>
  <c r="AF50" i="4" s="1"/>
  <c r="AF49" i="4" s="1"/>
  <c r="AF48" i="4" s="1"/>
  <c r="AF47" i="4" s="1"/>
  <c r="AF46" i="4" s="1"/>
  <c r="AF45" i="4" s="1"/>
  <c r="AF44" i="4" s="1"/>
  <c r="AF43" i="4" s="1"/>
  <c r="AF42" i="4" s="1"/>
  <c r="AF41" i="4" s="1"/>
  <c r="AF40" i="4" s="1"/>
  <c r="AF39" i="4" s="1"/>
  <c r="AF38" i="4" s="1"/>
  <c r="AF37" i="4" s="1"/>
  <c r="AF36" i="4" s="1"/>
  <c r="AF35" i="4" s="1"/>
  <c r="AF34" i="4" s="1"/>
  <c r="AF33" i="4" s="1"/>
  <c r="AF32" i="4" s="1"/>
  <c r="AF31" i="4" s="1"/>
  <c r="AF30" i="4" s="1"/>
  <c r="AF29" i="4" s="1"/>
  <c r="AF28" i="4" s="1"/>
  <c r="AF27" i="4" s="1"/>
  <c r="AF26" i="4" s="1"/>
  <c r="AF25" i="4" s="1"/>
  <c r="AF24" i="4" s="1"/>
  <c r="AF23" i="4" s="1"/>
  <c r="AF22" i="4" s="1"/>
  <c r="AF21" i="4" s="1"/>
  <c r="AF20" i="4" s="1"/>
  <c r="AF19" i="4" s="1"/>
  <c r="AF18" i="4" s="1"/>
  <c r="AF17" i="4" s="1"/>
  <c r="AF16" i="4" s="1"/>
  <c r="AF15" i="4" s="1"/>
  <c r="AF14" i="4" s="1"/>
  <c r="AF13" i="4" s="1"/>
  <c r="AF12" i="4" s="1"/>
  <c r="AF11" i="4" s="1"/>
  <c r="AF10" i="4" s="1"/>
  <c r="AF9" i="4" s="1"/>
  <c r="AF8" i="4" s="1"/>
  <c r="AF7" i="4" s="1"/>
  <c r="AF6" i="4" s="1"/>
  <c r="AF5" i="4" s="1"/>
  <c r="AF4" i="4" s="1"/>
  <c r="AF3" i="4" s="1"/>
  <c r="AG363" i="4"/>
  <c r="AD362" i="4"/>
  <c r="AD361" i="4" s="1"/>
  <c r="AD360" i="4" s="1"/>
  <c r="AD359" i="4" s="1"/>
  <c r="AD358" i="4" s="1"/>
  <c r="AD357" i="4" s="1"/>
  <c r="AD356" i="4" s="1"/>
  <c r="AD355" i="4" s="1"/>
  <c r="AD354" i="4" s="1"/>
  <c r="AD353" i="4" s="1"/>
  <c r="AD352" i="4" s="1"/>
  <c r="AD351" i="4" s="1"/>
  <c r="AD350" i="4" s="1"/>
  <c r="AD349" i="4" s="1"/>
  <c r="AD348" i="4" s="1"/>
  <c r="AD347" i="4" s="1"/>
  <c r="AD346" i="4" s="1"/>
  <c r="AD345" i="4" s="1"/>
  <c r="AD344" i="4" s="1"/>
  <c r="AD343" i="4" s="1"/>
  <c r="AD342" i="4" s="1"/>
  <c r="AD341" i="4" s="1"/>
  <c r="AD340" i="4" s="1"/>
  <c r="AD339" i="4" s="1"/>
  <c r="AD338" i="4" s="1"/>
  <c r="AD337" i="4" s="1"/>
  <c r="AD336" i="4" s="1"/>
  <c r="AD335" i="4" s="1"/>
  <c r="AD334" i="4" s="1"/>
  <c r="AD333" i="4" s="1"/>
  <c r="AD332" i="4" s="1"/>
  <c r="AD331" i="4" s="1"/>
  <c r="AD330" i="4" s="1"/>
  <c r="AD329" i="4" s="1"/>
  <c r="AD328" i="4" s="1"/>
  <c r="AD327" i="4" s="1"/>
  <c r="AD326" i="4" s="1"/>
  <c r="AD325" i="4" s="1"/>
  <c r="AD324" i="4" s="1"/>
  <c r="AD323" i="4" s="1"/>
  <c r="AD322" i="4" s="1"/>
  <c r="AD321" i="4" s="1"/>
  <c r="AD320" i="4" s="1"/>
  <c r="AD319" i="4" s="1"/>
  <c r="AD318" i="4" s="1"/>
  <c r="AD317" i="4" s="1"/>
  <c r="AD316" i="4" s="1"/>
  <c r="AD315" i="4" s="1"/>
  <c r="AD314" i="4" s="1"/>
  <c r="AD313" i="4" s="1"/>
  <c r="AD312" i="4" s="1"/>
  <c r="AD311" i="4" s="1"/>
  <c r="AD310" i="4" s="1"/>
  <c r="AD309" i="4" s="1"/>
  <c r="AD308" i="4" s="1"/>
  <c r="AD307" i="4" s="1"/>
  <c r="AD306" i="4" s="1"/>
  <c r="AD305" i="4" s="1"/>
  <c r="AD304" i="4" s="1"/>
  <c r="AD303" i="4" s="1"/>
  <c r="AD302" i="4" s="1"/>
  <c r="AD301" i="4" s="1"/>
  <c r="AD300" i="4" s="1"/>
  <c r="AD299" i="4" s="1"/>
  <c r="AD298" i="4" s="1"/>
  <c r="AD297" i="4" s="1"/>
  <c r="AD296" i="4" s="1"/>
  <c r="AD295" i="4" s="1"/>
  <c r="AD294" i="4" s="1"/>
  <c r="AD293" i="4" s="1"/>
  <c r="AD292" i="4" s="1"/>
  <c r="AD291" i="4" s="1"/>
  <c r="AD290" i="4" s="1"/>
  <c r="AD289" i="4" s="1"/>
  <c r="AD288" i="4" s="1"/>
  <c r="AD287" i="4" s="1"/>
  <c r="AD286" i="4" s="1"/>
  <c r="AD285" i="4" s="1"/>
  <c r="AD284" i="4" s="1"/>
  <c r="AD283" i="4" s="1"/>
  <c r="AD282" i="4" s="1"/>
  <c r="AD281" i="4" s="1"/>
  <c r="AD280" i="4" s="1"/>
  <c r="AD279" i="4" s="1"/>
  <c r="AD278" i="4" s="1"/>
  <c r="AD277" i="4" s="1"/>
  <c r="AD276" i="4" s="1"/>
  <c r="AD275" i="4" s="1"/>
  <c r="AD274" i="4" s="1"/>
  <c r="AD273" i="4" s="1"/>
  <c r="AD272" i="4" s="1"/>
  <c r="AD271" i="4" s="1"/>
  <c r="AD270" i="4" s="1"/>
  <c r="AD269" i="4" s="1"/>
  <c r="AD268" i="4" s="1"/>
  <c r="AD267" i="4" s="1"/>
  <c r="AD266" i="4" s="1"/>
  <c r="AD265" i="4" s="1"/>
  <c r="AD264" i="4" s="1"/>
  <c r="AD263" i="4" s="1"/>
  <c r="AD262" i="4" s="1"/>
  <c r="AD261" i="4" s="1"/>
  <c r="AD260" i="4" s="1"/>
  <c r="AD259" i="4" s="1"/>
  <c r="AD258" i="4" s="1"/>
  <c r="AD257" i="4" s="1"/>
  <c r="AD256" i="4" s="1"/>
  <c r="AD255" i="4" s="1"/>
  <c r="AD254" i="4" s="1"/>
  <c r="AD253" i="4" s="1"/>
  <c r="AD252" i="4" s="1"/>
  <c r="AD251" i="4" s="1"/>
  <c r="AD250" i="4" s="1"/>
  <c r="AD249" i="4" s="1"/>
  <c r="AD248" i="4" s="1"/>
  <c r="AD247" i="4" s="1"/>
  <c r="AD246" i="4" s="1"/>
  <c r="AD245" i="4" s="1"/>
  <c r="AD244" i="4" s="1"/>
  <c r="AD243" i="4" s="1"/>
  <c r="AD242" i="4" s="1"/>
  <c r="AD241" i="4" s="1"/>
  <c r="AD240" i="4" s="1"/>
  <c r="AD239" i="4" s="1"/>
  <c r="AD238" i="4" s="1"/>
  <c r="AD237" i="4" s="1"/>
  <c r="AD236" i="4" s="1"/>
  <c r="AD235" i="4" s="1"/>
  <c r="AD234" i="4" s="1"/>
  <c r="AD233" i="4" s="1"/>
  <c r="AD232" i="4" s="1"/>
  <c r="AD231" i="4" s="1"/>
  <c r="AD230" i="4" s="1"/>
  <c r="AD229" i="4" s="1"/>
  <c r="AD228" i="4" s="1"/>
  <c r="AD227" i="4" s="1"/>
  <c r="AD226" i="4" s="1"/>
  <c r="AD225" i="4" s="1"/>
  <c r="AD224" i="4" s="1"/>
  <c r="AD223" i="4" s="1"/>
  <c r="AD222" i="4" s="1"/>
  <c r="AD221" i="4" s="1"/>
  <c r="AD220" i="4" s="1"/>
  <c r="AD219" i="4" s="1"/>
  <c r="AD218" i="4" s="1"/>
  <c r="AD217" i="4" s="1"/>
  <c r="AD216" i="4" s="1"/>
  <c r="AD215" i="4" s="1"/>
  <c r="AD214" i="4" s="1"/>
  <c r="AD213" i="4" s="1"/>
  <c r="AD212" i="4" s="1"/>
  <c r="AD211" i="4" s="1"/>
  <c r="AD210" i="4" s="1"/>
  <c r="AD209" i="4" s="1"/>
  <c r="AD208" i="4" s="1"/>
  <c r="AD207" i="4" s="1"/>
  <c r="AD206" i="4" s="1"/>
  <c r="AD205" i="4" s="1"/>
  <c r="AD204" i="4" s="1"/>
  <c r="AD203" i="4" s="1"/>
  <c r="AD202" i="4" s="1"/>
  <c r="AD201" i="4" s="1"/>
  <c r="AD200" i="4" s="1"/>
  <c r="AD199" i="4" s="1"/>
  <c r="AD198" i="4" s="1"/>
  <c r="AD197" i="4" s="1"/>
  <c r="AD196" i="4" s="1"/>
  <c r="AD195" i="4" s="1"/>
  <c r="AD194" i="4" s="1"/>
  <c r="AD193" i="4" s="1"/>
  <c r="AD192" i="4" s="1"/>
  <c r="AD191" i="4" s="1"/>
  <c r="AD190" i="4" s="1"/>
  <c r="AD189" i="4" s="1"/>
  <c r="AD188" i="4" s="1"/>
  <c r="AD187" i="4" s="1"/>
  <c r="AD186" i="4" s="1"/>
  <c r="AD185" i="4" s="1"/>
  <c r="AD184" i="4" s="1"/>
  <c r="AD183" i="4" s="1"/>
  <c r="AD182" i="4" s="1"/>
  <c r="AD181" i="4" s="1"/>
  <c r="AD180" i="4" s="1"/>
  <c r="AD179" i="4" s="1"/>
  <c r="AD178" i="4" s="1"/>
  <c r="AD177" i="4" s="1"/>
  <c r="AD176" i="4" s="1"/>
  <c r="AD175" i="4" s="1"/>
  <c r="AD174" i="4" s="1"/>
  <c r="AD173" i="4" s="1"/>
  <c r="AD172" i="4" s="1"/>
  <c r="AD171" i="4" s="1"/>
  <c r="AD170" i="4" s="1"/>
  <c r="AD169" i="4" s="1"/>
  <c r="AD168" i="4" s="1"/>
  <c r="AD167" i="4" s="1"/>
  <c r="AD166" i="4" s="1"/>
  <c r="AD165" i="4" s="1"/>
  <c r="AD164" i="4" s="1"/>
  <c r="AD163" i="4" s="1"/>
  <c r="AD162" i="4" s="1"/>
  <c r="AD161" i="4" s="1"/>
  <c r="AD160" i="4" s="1"/>
  <c r="AD159" i="4" s="1"/>
  <c r="AD158" i="4" s="1"/>
  <c r="AD157" i="4" s="1"/>
  <c r="AD156" i="4" s="1"/>
  <c r="AD155" i="4" s="1"/>
  <c r="AD154" i="4" s="1"/>
  <c r="AD153" i="4" s="1"/>
  <c r="AD152" i="4" s="1"/>
  <c r="AD151" i="4" s="1"/>
  <c r="AD150" i="4" s="1"/>
  <c r="AD149" i="4" s="1"/>
  <c r="AD148" i="4" s="1"/>
  <c r="AD147" i="4" s="1"/>
  <c r="AD146" i="4" s="1"/>
  <c r="AD145" i="4" s="1"/>
  <c r="AD144" i="4" s="1"/>
  <c r="AD143" i="4" s="1"/>
  <c r="AD142" i="4" s="1"/>
  <c r="AD141" i="4" s="1"/>
  <c r="AD140" i="4" s="1"/>
  <c r="AD139" i="4" s="1"/>
  <c r="AD138" i="4" s="1"/>
  <c r="AD137" i="4" s="1"/>
  <c r="AD136" i="4" s="1"/>
  <c r="AD135" i="4" s="1"/>
  <c r="AD134" i="4" s="1"/>
  <c r="AD133" i="4" s="1"/>
  <c r="AD132" i="4" s="1"/>
  <c r="AD131" i="4" s="1"/>
  <c r="AD130" i="4" s="1"/>
  <c r="AD129" i="4" s="1"/>
  <c r="AD128" i="4" s="1"/>
  <c r="AD127" i="4" s="1"/>
  <c r="AD126" i="4" s="1"/>
  <c r="AD125" i="4" s="1"/>
  <c r="AD124" i="4" s="1"/>
  <c r="AD123" i="4" s="1"/>
  <c r="AD122" i="4" s="1"/>
  <c r="AD121" i="4" s="1"/>
  <c r="AD120" i="4" s="1"/>
  <c r="AD119" i="4" s="1"/>
  <c r="AD118" i="4" s="1"/>
  <c r="AD117" i="4" s="1"/>
  <c r="AD116" i="4" s="1"/>
  <c r="AD115" i="4" s="1"/>
  <c r="AD114" i="4" s="1"/>
  <c r="AD113" i="4" s="1"/>
  <c r="AD112" i="4" s="1"/>
  <c r="AD111" i="4" s="1"/>
  <c r="AD110" i="4" s="1"/>
  <c r="AD109" i="4" s="1"/>
  <c r="AD108" i="4" s="1"/>
  <c r="AD107" i="4" s="1"/>
  <c r="AD106" i="4" s="1"/>
  <c r="AD105" i="4" s="1"/>
  <c r="AD104" i="4" s="1"/>
  <c r="AD103" i="4" s="1"/>
  <c r="AD102" i="4" s="1"/>
  <c r="AD101" i="4" s="1"/>
  <c r="AD100" i="4" s="1"/>
  <c r="AD99" i="4" s="1"/>
  <c r="AD98" i="4" s="1"/>
  <c r="AD97" i="4" s="1"/>
  <c r="AD96" i="4" s="1"/>
  <c r="AD95" i="4" s="1"/>
  <c r="AD94" i="4" s="1"/>
  <c r="AD93" i="4" s="1"/>
  <c r="AD92" i="4" s="1"/>
  <c r="AD91" i="4" s="1"/>
  <c r="AD90" i="4" s="1"/>
  <c r="AD89" i="4" s="1"/>
  <c r="AD88" i="4" s="1"/>
  <c r="AD87" i="4" s="1"/>
  <c r="AD86" i="4" s="1"/>
  <c r="AD85" i="4" s="1"/>
  <c r="AD84" i="4" s="1"/>
  <c r="AD83" i="4" s="1"/>
  <c r="AD82" i="4" s="1"/>
  <c r="AD81" i="4" s="1"/>
  <c r="AD80" i="4" s="1"/>
  <c r="AD79" i="4" s="1"/>
  <c r="AD78" i="4" s="1"/>
  <c r="AD77" i="4" s="1"/>
  <c r="AD76" i="4" s="1"/>
  <c r="AD75" i="4" s="1"/>
  <c r="AD74" i="4" s="1"/>
  <c r="AD73" i="4" s="1"/>
  <c r="AD72" i="4" s="1"/>
  <c r="AD71" i="4" s="1"/>
  <c r="AD70" i="4" s="1"/>
  <c r="AD69" i="4" s="1"/>
  <c r="AD68" i="4" s="1"/>
  <c r="AD67" i="4" s="1"/>
  <c r="AD66" i="4" s="1"/>
  <c r="AD65" i="4" s="1"/>
  <c r="AD64" i="4" s="1"/>
  <c r="AD63" i="4" s="1"/>
  <c r="AD62" i="4" s="1"/>
  <c r="AD61" i="4" s="1"/>
  <c r="AD60" i="4" s="1"/>
  <c r="AD59" i="4" s="1"/>
  <c r="AD58" i="4" s="1"/>
  <c r="AD57" i="4" s="1"/>
  <c r="AD56" i="4" s="1"/>
  <c r="AD55" i="4" s="1"/>
  <c r="AD54" i="4" s="1"/>
  <c r="AD53" i="4" s="1"/>
  <c r="AD52" i="4" s="1"/>
  <c r="AD51" i="4" s="1"/>
  <c r="AD50" i="4" s="1"/>
  <c r="AD49" i="4" s="1"/>
  <c r="AD48" i="4" s="1"/>
  <c r="AD47" i="4" s="1"/>
  <c r="AD46" i="4" s="1"/>
  <c r="AD45" i="4" s="1"/>
  <c r="AD44" i="4" s="1"/>
  <c r="AD43" i="4" s="1"/>
  <c r="AD42" i="4" s="1"/>
  <c r="AD41" i="4" s="1"/>
  <c r="AD40" i="4" s="1"/>
  <c r="AD39" i="4" s="1"/>
  <c r="AD38" i="4" s="1"/>
  <c r="AD37" i="4" s="1"/>
  <c r="AD36" i="4" s="1"/>
  <c r="AD35" i="4" s="1"/>
  <c r="AD34" i="4" s="1"/>
  <c r="AD33" i="4" s="1"/>
  <c r="AD32" i="4" s="1"/>
  <c r="AD31" i="4" s="1"/>
  <c r="AD30" i="4" s="1"/>
  <c r="AD29" i="4" s="1"/>
  <c r="AD28" i="4" s="1"/>
  <c r="AD27" i="4" s="1"/>
  <c r="AD26" i="4" s="1"/>
  <c r="AD25" i="4" s="1"/>
  <c r="AD24" i="4" s="1"/>
  <c r="AD23" i="4" s="1"/>
  <c r="AD22" i="4" s="1"/>
  <c r="AD21" i="4" s="1"/>
  <c r="AD20" i="4" s="1"/>
  <c r="AD19" i="4" s="1"/>
  <c r="AD18" i="4" s="1"/>
  <c r="AD17" i="4" s="1"/>
  <c r="AD16" i="4" s="1"/>
  <c r="AD15" i="4" s="1"/>
  <c r="AD14" i="4" s="1"/>
  <c r="AD13" i="4" s="1"/>
  <c r="AD12" i="4" s="1"/>
  <c r="AD11" i="4" s="1"/>
  <c r="AD10" i="4" s="1"/>
  <c r="AD9" i="4" s="1"/>
  <c r="AD8" i="4" s="1"/>
  <c r="AD7" i="4" s="1"/>
  <c r="AD6" i="4" s="1"/>
  <c r="AD5" i="4" s="1"/>
  <c r="AD4" i="4" s="1"/>
  <c r="AD3" i="4" s="1"/>
  <c r="G28" i="20" l="1"/>
  <c r="G27" i="20"/>
  <c r="T27" i="20"/>
  <c r="T28" i="20"/>
  <c r="W28" i="20"/>
  <c r="W27" i="20"/>
  <c r="O10" i="20"/>
  <c r="O9" i="20"/>
  <c r="AA9" i="20"/>
  <c r="AA10" i="20"/>
  <c r="L28" i="20"/>
  <c r="L27" i="20"/>
  <c r="S9" i="20"/>
  <c r="S10" i="20"/>
  <c r="T9" i="20"/>
  <c r="T10" i="20"/>
  <c r="X27" i="20"/>
  <c r="X28" i="20"/>
  <c r="AB9" i="20"/>
  <c r="AB10" i="20"/>
  <c r="I207" i="2"/>
  <c r="I212" i="2" s="1"/>
  <c r="I80" i="2"/>
  <c r="I84" i="2" s="1"/>
  <c r="I287" i="2"/>
  <c r="I292" i="2" s="1"/>
  <c r="H62" i="2"/>
  <c r="H66" i="2" s="1"/>
  <c r="H124" i="2"/>
  <c r="K17" i="20" s="1"/>
  <c r="H207" i="2"/>
  <c r="H212" i="2" s="1"/>
  <c r="I267" i="2"/>
  <c r="I272" i="2" s="1"/>
  <c r="I63" i="2"/>
  <c r="H26" i="20" s="1"/>
  <c r="C141" i="2"/>
  <c r="I99" i="2"/>
  <c r="H17" i="20" s="1"/>
  <c r="L100" i="2"/>
  <c r="N138" i="2"/>
  <c r="N139" i="2" s="1"/>
  <c r="H126" i="2" s="1"/>
  <c r="K21" i="20" s="1"/>
  <c r="O116" i="2"/>
  <c r="O115" i="2" s="1"/>
  <c r="I102" i="2" s="1"/>
  <c r="H22" i="20" s="1"/>
  <c r="N115" i="2"/>
  <c r="H102" i="2" s="1"/>
  <c r="G22" i="20" s="1"/>
  <c r="N113" i="2"/>
  <c r="N114" i="2" s="1"/>
  <c r="H101" i="2" s="1"/>
  <c r="G21" i="20" s="1"/>
  <c r="N140" i="2"/>
  <c r="H127" i="2" s="1"/>
  <c r="K22" i="20" s="1"/>
  <c r="O137" i="2"/>
  <c r="O138" i="2" s="1"/>
  <c r="O139" i="2" s="1"/>
  <c r="I126" i="2" s="1"/>
  <c r="L21" i="20" s="1"/>
  <c r="H227" i="2"/>
  <c r="H232" i="2" s="1"/>
  <c r="H287" i="2"/>
  <c r="H292" i="2" s="1"/>
  <c r="L126" i="2"/>
  <c r="H247" i="2"/>
  <c r="H252" i="2" s="1"/>
  <c r="I247" i="2"/>
  <c r="I252" i="2" s="1"/>
  <c r="O39" i="2"/>
  <c r="L41" i="2" s="1"/>
  <c r="AG362" i="4"/>
  <c r="AG361" i="4" s="1"/>
  <c r="AG360" i="4" s="1"/>
  <c r="AG359" i="4" s="1"/>
  <c r="AG358" i="4" s="1"/>
  <c r="AG357" i="4" s="1"/>
  <c r="AG356" i="4" s="1"/>
  <c r="AG355" i="4" s="1"/>
  <c r="AG354" i="4" s="1"/>
  <c r="AG353" i="4" s="1"/>
  <c r="AG352" i="4" s="1"/>
  <c r="AG351" i="4" s="1"/>
  <c r="AG350" i="4" s="1"/>
  <c r="AG349" i="4" s="1"/>
  <c r="AG348" i="4" s="1"/>
  <c r="AG347" i="4" s="1"/>
  <c r="AG346" i="4" s="1"/>
  <c r="AG345" i="4" s="1"/>
  <c r="AG344" i="4" s="1"/>
  <c r="AG343" i="4" s="1"/>
  <c r="AG342" i="4" s="1"/>
  <c r="AG341" i="4" s="1"/>
  <c r="AG340" i="4" s="1"/>
  <c r="AG339" i="4" s="1"/>
  <c r="AG338" i="4" s="1"/>
  <c r="AG337" i="4" s="1"/>
  <c r="AG336" i="4" s="1"/>
  <c r="AG335" i="4" s="1"/>
  <c r="AG334" i="4" s="1"/>
  <c r="AG333" i="4" s="1"/>
  <c r="AG332" i="4" s="1"/>
  <c r="AG331" i="4" s="1"/>
  <c r="AG330" i="4" s="1"/>
  <c r="AG329" i="4" s="1"/>
  <c r="AG328" i="4" s="1"/>
  <c r="AG327" i="4" s="1"/>
  <c r="AG326" i="4" s="1"/>
  <c r="AG325" i="4" s="1"/>
  <c r="AG324" i="4" s="1"/>
  <c r="AG323" i="4" s="1"/>
  <c r="AG322" i="4" s="1"/>
  <c r="AG321" i="4" s="1"/>
  <c r="AG320" i="4" s="1"/>
  <c r="AG319" i="4" s="1"/>
  <c r="AG318" i="4" s="1"/>
  <c r="AG317" i="4" s="1"/>
  <c r="AG316" i="4" s="1"/>
  <c r="AG315" i="4" s="1"/>
  <c r="AG314" i="4" s="1"/>
  <c r="AG313" i="4" s="1"/>
  <c r="AG312" i="4" s="1"/>
  <c r="AG311" i="4" s="1"/>
  <c r="AG310" i="4" s="1"/>
  <c r="AG309" i="4" s="1"/>
  <c r="AG308" i="4" s="1"/>
  <c r="AG307" i="4" s="1"/>
  <c r="AG306" i="4" s="1"/>
  <c r="AG305" i="4" s="1"/>
  <c r="AG304" i="4" s="1"/>
  <c r="AG303" i="4" s="1"/>
  <c r="AG302" i="4" s="1"/>
  <c r="AG301" i="4" s="1"/>
  <c r="AG300" i="4" s="1"/>
  <c r="AG299" i="4" s="1"/>
  <c r="AG298" i="4" s="1"/>
  <c r="AG297" i="4" s="1"/>
  <c r="AG296" i="4" s="1"/>
  <c r="AG295" i="4" s="1"/>
  <c r="AG294" i="4" s="1"/>
  <c r="AG293" i="4" s="1"/>
  <c r="AG292" i="4" s="1"/>
  <c r="AG291" i="4" s="1"/>
  <c r="AG290" i="4" s="1"/>
  <c r="AG289" i="4" s="1"/>
  <c r="AG288" i="4" s="1"/>
  <c r="AG287" i="4" s="1"/>
  <c r="AG286" i="4" s="1"/>
  <c r="AG285" i="4" s="1"/>
  <c r="AG284" i="4" s="1"/>
  <c r="AG283" i="4" s="1"/>
  <c r="AG282" i="4" s="1"/>
  <c r="AG281" i="4" s="1"/>
  <c r="AG280" i="4" s="1"/>
  <c r="AG279" i="4" s="1"/>
  <c r="AG278" i="4" s="1"/>
  <c r="AG277" i="4" s="1"/>
  <c r="AG276" i="4" s="1"/>
  <c r="AG275" i="4" s="1"/>
  <c r="AG274" i="4" s="1"/>
  <c r="AG273" i="4" s="1"/>
  <c r="AG272" i="4" s="1"/>
  <c r="AG271" i="4" s="1"/>
  <c r="AG270" i="4" s="1"/>
  <c r="AG269" i="4" s="1"/>
  <c r="AG268" i="4" s="1"/>
  <c r="AG267" i="4" s="1"/>
  <c r="AG266" i="4" s="1"/>
  <c r="AG265" i="4" s="1"/>
  <c r="AG264" i="4" s="1"/>
  <c r="AG263" i="4" s="1"/>
  <c r="AG262" i="4" s="1"/>
  <c r="AG261" i="4" s="1"/>
  <c r="AG260" i="4" s="1"/>
  <c r="AG259" i="4" s="1"/>
  <c r="AG258" i="4" s="1"/>
  <c r="AG257" i="4" s="1"/>
  <c r="AG256" i="4" s="1"/>
  <c r="AG255" i="4" s="1"/>
  <c r="AG254" i="4" s="1"/>
  <c r="AG253" i="4" s="1"/>
  <c r="AG252" i="4" s="1"/>
  <c r="AG251" i="4" s="1"/>
  <c r="AG250" i="4" s="1"/>
  <c r="AG249" i="4" s="1"/>
  <c r="AG248" i="4" s="1"/>
  <c r="AG247" i="4" s="1"/>
  <c r="AG246" i="4" s="1"/>
  <c r="AG245" i="4" s="1"/>
  <c r="AG244" i="4" s="1"/>
  <c r="AG243" i="4" s="1"/>
  <c r="AG242" i="4" s="1"/>
  <c r="AG241" i="4" s="1"/>
  <c r="AG240" i="4" s="1"/>
  <c r="AG239" i="4" s="1"/>
  <c r="AG238" i="4" s="1"/>
  <c r="AG237" i="4" s="1"/>
  <c r="AG236" i="4" s="1"/>
  <c r="AG235" i="4" s="1"/>
  <c r="AG234" i="4" s="1"/>
  <c r="AG233" i="4" s="1"/>
  <c r="AG232" i="4" s="1"/>
  <c r="AG231" i="4" s="1"/>
  <c r="AG230" i="4" s="1"/>
  <c r="AG229" i="4" s="1"/>
  <c r="AG228" i="4" s="1"/>
  <c r="AG227" i="4" s="1"/>
  <c r="AG226" i="4" s="1"/>
  <c r="AG225" i="4" s="1"/>
  <c r="AG224" i="4" s="1"/>
  <c r="AG223" i="4" s="1"/>
  <c r="AG222" i="4" s="1"/>
  <c r="AG221" i="4" s="1"/>
  <c r="AG220" i="4" s="1"/>
  <c r="AG219" i="4" s="1"/>
  <c r="AG218" i="4" s="1"/>
  <c r="AG217" i="4" s="1"/>
  <c r="AG216" i="4" s="1"/>
  <c r="AG215" i="4" s="1"/>
  <c r="AG214" i="4" s="1"/>
  <c r="AG213" i="4" s="1"/>
  <c r="AG212" i="4" s="1"/>
  <c r="AG211" i="4" s="1"/>
  <c r="AG210" i="4" s="1"/>
  <c r="AG209" i="4" s="1"/>
  <c r="AG208" i="4" s="1"/>
  <c r="AG207" i="4" s="1"/>
  <c r="AG206" i="4" s="1"/>
  <c r="AG205" i="4" s="1"/>
  <c r="AG204" i="4" s="1"/>
  <c r="AG203" i="4" s="1"/>
  <c r="AG202" i="4" s="1"/>
  <c r="AG201" i="4" s="1"/>
  <c r="AG200" i="4" s="1"/>
  <c r="AG199" i="4" s="1"/>
  <c r="AG198" i="4" s="1"/>
  <c r="AG197" i="4" s="1"/>
  <c r="AG196" i="4" s="1"/>
  <c r="AG195" i="4" s="1"/>
  <c r="AG194" i="4" s="1"/>
  <c r="AG193" i="4" s="1"/>
  <c r="AG192" i="4" s="1"/>
  <c r="AG191" i="4" s="1"/>
  <c r="AG190" i="4" s="1"/>
  <c r="AG189" i="4" s="1"/>
  <c r="AG188" i="4" s="1"/>
  <c r="AG187" i="4" s="1"/>
  <c r="AG186" i="4" s="1"/>
  <c r="AG185" i="4" s="1"/>
  <c r="AG184" i="4" s="1"/>
  <c r="AG183" i="4" s="1"/>
  <c r="AG182" i="4" s="1"/>
  <c r="AG181" i="4" s="1"/>
  <c r="AG180" i="4" s="1"/>
  <c r="AG179" i="4" s="1"/>
  <c r="AG178" i="4" s="1"/>
  <c r="AG177" i="4" s="1"/>
  <c r="AG176" i="4" s="1"/>
  <c r="AG175" i="4" s="1"/>
  <c r="AG174" i="4" s="1"/>
  <c r="AG173" i="4" s="1"/>
  <c r="AG172" i="4" s="1"/>
  <c r="AG171" i="4" s="1"/>
  <c r="AG170" i="4" s="1"/>
  <c r="AG169" i="4" s="1"/>
  <c r="AG168" i="4" s="1"/>
  <c r="AG167" i="4" s="1"/>
  <c r="AG166" i="4" s="1"/>
  <c r="AG165" i="4" s="1"/>
  <c r="AG164" i="4" s="1"/>
  <c r="AG163" i="4" s="1"/>
  <c r="AG162" i="4" s="1"/>
  <c r="AG161" i="4" s="1"/>
  <c r="AG160" i="4" s="1"/>
  <c r="AG159" i="4" s="1"/>
  <c r="AG158" i="4" s="1"/>
  <c r="AG157" i="4" s="1"/>
  <c r="AG156" i="4" s="1"/>
  <c r="AG155" i="4" s="1"/>
  <c r="AG154" i="4" s="1"/>
  <c r="AG153" i="4" s="1"/>
  <c r="AG152" i="4" s="1"/>
  <c r="AG151" i="4" s="1"/>
  <c r="AG150" i="4" s="1"/>
  <c r="AG149" i="4" s="1"/>
  <c r="AG148" i="4" s="1"/>
  <c r="AG147" i="4" s="1"/>
  <c r="AG146" i="4" s="1"/>
  <c r="AG145" i="4" s="1"/>
  <c r="AG144" i="4" s="1"/>
  <c r="AG143" i="4" s="1"/>
  <c r="AG142" i="4" s="1"/>
  <c r="AG141" i="4" s="1"/>
  <c r="AG140" i="4" s="1"/>
  <c r="AG139" i="4" s="1"/>
  <c r="AG138" i="4" s="1"/>
  <c r="AG137" i="4" s="1"/>
  <c r="AG136" i="4" s="1"/>
  <c r="AG135" i="4" s="1"/>
  <c r="AG134" i="4" s="1"/>
  <c r="AG133" i="4" s="1"/>
  <c r="AG132" i="4" s="1"/>
  <c r="AG131" i="4" s="1"/>
  <c r="AG130" i="4" s="1"/>
  <c r="AG129" i="4" s="1"/>
  <c r="AG128" i="4" s="1"/>
  <c r="AG127" i="4" s="1"/>
  <c r="AG126" i="4" s="1"/>
  <c r="AG125" i="4" s="1"/>
  <c r="AG124" i="4" s="1"/>
  <c r="AG123" i="4" s="1"/>
  <c r="AG122" i="4" s="1"/>
  <c r="AG121" i="4" s="1"/>
  <c r="AG120" i="4" s="1"/>
  <c r="AG119" i="4" s="1"/>
  <c r="AG118" i="4" s="1"/>
  <c r="AG117" i="4" s="1"/>
  <c r="AG116" i="4" s="1"/>
  <c r="AG115" i="4" s="1"/>
  <c r="AG114" i="4" s="1"/>
  <c r="AG113" i="4" s="1"/>
  <c r="AG112" i="4" s="1"/>
  <c r="AG111" i="4" s="1"/>
  <c r="AG110" i="4" s="1"/>
  <c r="AG109" i="4" s="1"/>
  <c r="AG108" i="4" s="1"/>
  <c r="AG107" i="4" s="1"/>
  <c r="AG106" i="4" s="1"/>
  <c r="AG105" i="4" s="1"/>
  <c r="AG104" i="4" s="1"/>
  <c r="AG103" i="4" s="1"/>
  <c r="AG102" i="4" s="1"/>
  <c r="AG101" i="4" s="1"/>
  <c r="AG100" i="4" s="1"/>
  <c r="AG99" i="4" s="1"/>
  <c r="AG98" i="4" s="1"/>
  <c r="AG97" i="4" s="1"/>
  <c r="AG96" i="4" s="1"/>
  <c r="AG95" i="4" s="1"/>
  <c r="AG94" i="4" s="1"/>
  <c r="AG93" i="4" s="1"/>
  <c r="AG92" i="4" s="1"/>
  <c r="AG91" i="4" s="1"/>
  <c r="AG90" i="4" s="1"/>
  <c r="AG89" i="4" s="1"/>
  <c r="AG88" i="4" s="1"/>
  <c r="AG87" i="4" s="1"/>
  <c r="AG86" i="4" s="1"/>
  <c r="AG85" i="4" s="1"/>
  <c r="AG84" i="4" s="1"/>
  <c r="AG83" i="4" s="1"/>
  <c r="AG82" i="4" s="1"/>
  <c r="AG81" i="4" s="1"/>
  <c r="AG80" i="4" s="1"/>
  <c r="AG79" i="4" s="1"/>
  <c r="AG78" i="4" s="1"/>
  <c r="AG77" i="4" s="1"/>
  <c r="AG76" i="4" s="1"/>
  <c r="AG75" i="4" s="1"/>
  <c r="AG74" i="4" s="1"/>
  <c r="AG73" i="4" s="1"/>
  <c r="AG72" i="4" s="1"/>
  <c r="AG71" i="4" s="1"/>
  <c r="AG70" i="4" s="1"/>
  <c r="AG69" i="4" s="1"/>
  <c r="AG68" i="4" s="1"/>
  <c r="AG67" i="4" s="1"/>
  <c r="AG66" i="4" s="1"/>
  <c r="AG65" i="4" s="1"/>
  <c r="AG64" i="4" s="1"/>
  <c r="AG63" i="4" s="1"/>
  <c r="AG62" i="4" s="1"/>
  <c r="AG61" i="4" s="1"/>
  <c r="AG60" i="4" s="1"/>
  <c r="AG59" i="4" s="1"/>
  <c r="AG58" i="4" s="1"/>
  <c r="AG57" i="4" s="1"/>
  <c r="AG56" i="4" s="1"/>
  <c r="AG55" i="4" s="1"/>
  <c r="AG54" i="4" s="1"/>
  <c r="AG53" i="4" s="1"/>
  <c r="AG52" i="4" s="1"/>
  <c r="AG51" i="4" s="1"/>
  <c r="AG50" i="4" s="1"/>
  <c r="AG49" i="4" s="1"/>
  <c r="AG48" i="4" s="1"/>
  <c r="AG47" i="4" s="1"/>
  <c r="AG46" i="4" s="1"/>
  <c r="AG45" i="4" s="1"/>
  <c r="AG44" i="4" s="1"/>
  <c r="AG43" i="4" s="1"/>
  <c r="AG42" i="4" s="1"/>
  <c r="AG41" i="4" s="1"/>
  <c r="AG40" i="4" s="1"/>
  <c r="AG39" i="4" s="1"/>
  <c r="AG38" i="4" s="1"/>
  <c r="AG37" i="4" s="1"/>
  <c r="AG36" i="4" s="1"/>
  <c r="AG35" i="4" s="1"/>
  <c r="AG34" i="4" s="1"/>
  <c r="AG33" i="4" s="1"/>
  <c r="AG32" i="4" s="1"/>
  <c r="AG31" i="4" s="1"/>
  <c r="AG30" i="4" s="1"/>
  <c r="AG29" i="4" s="1"/>
  <c r="AG28" i="4" s="1"/>
  <c r="AG27" i="4" s="1"/>
  <c r="AG26" i="4" s="1"/>
  <c r="AG25" i="4" s="1"/>
  <c r="AG24" i="4" s="1"/>
  <c r="AG23" i="4" s="1"/>
  <c r="AG22" i="4" s="1"/>
  <c r="AG21" i="4" s="1"/>
  <c r="AG20" i="4" s="1"/>
  <c r="AG19" i="4" s="1"/>
  <c r="AG18" i="4" s="1"/>
  <c r="AG17" i="4" s="1"/>
  <c r="AG16" i="4" s="1"/>
  <c r="AG15" i="4" s="1"/>
  <c r="AG14" i="4" s="1"/>
  <c r="AG13" i="4" s="1"/>
  <c r="AG12" i="4" s="1"/>
  <c r="AG11" i="4" s="1"/>
  <c r="AG10" i="4" s="1"/>
  <c r="AG9" i="4" s="1"/>
  <c r="AG8" i="4" s="1"/>
  <c r="AG7" i="4" s="1"/>
  <c r="AG6" i="4" s="1"/>
  <c r="AG5" i="4" s="1"/>
  <c r="AG4" i="4" s="1"/>
  <c r="AG3" i="4" s="1"/>
  <c r="AJ363" i="4"/>
  <c r="AJ362" i="4" s="1"/>
  <c r="AJ361" i="4" s="1"/>
  <c r="AJ360" i="4" s="1"/>
  <c r="AJ359" i="4" s="1"/>
  <c r="AJ358" i="4" s="1"/>
  <c r="AJ357" i="4" s="1"/>
  <c r="AJ356" i="4" s="1"/>
  <c r="AJ355" i="4" s="1"/>
  <c r="AJ354" i="4" s="1"/>
  <c r="AJ353" i="4" s="1"/>
  <c r="AJ352" i="4" s="1"/>
  <c r="AJ351" i="4" s="1"/>
  <c r="AJ350" i="4" s="1"/>
  <c r="AJ349" i="4" s="1"/>
  <c r="AJ348" i="4" s="1"/>
  <c r="AJ347" i="4" s="1"/>
  <c r="AJ346" i="4" s="1"/>
  <c r="AJ345" i="4" s="1"/>
  <c r="AJ344" i="4" s="1"/>
  <c r="AJ343" i="4" s="1"/>
  <c r="AJ342" i="4" s="1"/>
  <c r="AJ341" i="4" s="1"/>
  <c r="AJ340" i="4" s="1"/>
  <c r="AJ339" i="4" s="1"/>
  <c r="AJ338" i="4" s="1"/>
  <c r="AJ337" i="4" s="1"/>
  <c r="AJ336" i="4" s="1"/>
  <c r="AJ335" i="4" s="1"/>
  <c r="AJ334" i="4" s="1"/>
  <c r="AJ333" i="4" s="1"/>
  <c r="AJ332" i="4" s="1"/>
  <c r="AJ331" i="4" s="1"/>
  <c r="AJ330" i="4" s="1"/>
  <c r="AJ329" i="4" s="1"/>
  <c r="AJ328" i="4" s="1"/>
  <c r="AJ327" i="4" s="1"/>
  <c r="AJ326" i="4" s="1"/>
  <c r="AJ325" i="4" s="1"/>
  <c r="AJ324" i="4" s="1"/>
  <c r="AJ323" i="4" s="1"/>
  <c r="AJ322" i="4" s="1"/>
  <c r="AJ321" i="4" s="1"/>
  <c r="AJ320" i="4" s="1"/>
  <c r="AJ319" i="4" s="1"/>
  <c r="AJ318" i="4" s="1"/>
  <c r="AJ317" i="4" s="1"/>
  <c r="AJ316" i="4" s="1"/>
  <c r="AJ315" i="4" s="1"/>
  <c r="AJ314" i="4" s="1"/>
  <c r="AJ313" i="4" s="1"/>
  <c r="AJ312" i="4" s="1"/>
  <c r="AJ311" i="4" s="1"/>
  <c r="AJ310" i="4" s="1"/>
  <c r="AJ309" i="4" s="1"/>
  <c r="AJ308" i="4" s="1"/>
  <c r="AJ307" i="4" s="1"/>
  <c r="AJ306" i="4" s="1"/>
  <c r="AJ305" i="4" s="1"/>
  <c r="AJ304" i="4" s="1"/>
  <c r="AJ303" i="4" s="1"/>
  <c r="AJ302" i="4" s="1"/>
  <c r="AJ301" i="4" s="1"/>
  <c r="AJ300" i="4" s="1"/>
  <c r="AJ299" i="4" s="1"/>
  <c r="AJ298" i="4" s="1"/>
  <c r="AJ297" i="4" s="1"/>
  <c r="AJ296" i="4" s="1"/>
  <c r="AJ295" i="4" s="1"/>
  <c r="AJ294" i="4" s="1"/>
  <c r="AJ293" i="4" s="1"/>
  <c r="AJ292" i="4" s="1"/>
  <c r="AJ291" i="4" s="1"/>
  <c r="AJ290" i="4" s="1"/>
  <c r="AJ289" i="4" s="1"/>
  <c r="AJ288" i="4" s="1"/>
  <c r="AJ287" i="4" s="1"/>
  <c r="AJ286" i="4" s="1"/>
  <c r="AJ285" i="4" s="1"/>
  <c r="AJ284" i="4" s="1"/>
  <c r="AJ283" i="4" s="1"/>
  <c r="AJ282" i="4" s="1"/>
  <c r="AJ281" i="4" s="1"/>
  <c r="AJ280" i="4" s="1"/>
  <c r="AJ279" i="4" s="1"/>
  <c r="AJ278" i="4" s="1"/>
  <c r="AJ277" i="4" s="1"/>
  <c r="AJ276" i="4" s="1"/>
  <c r="AJ275" i="4" s="1"/>
  <c r="AJ274" i="4" s="1"/>
  <c r="AJ273" i="4" s="1"/>
  <c r="AJ272" i="4" s="1"/>
  <c r="AJ271" i="4" s="1"/>
  <c r="AJ270" i="4" s="1"/>
  <c r="AJ269" i="4" s="1"/>
  <c r="AJ268" i="4" s="1"/>
  <c r="AJ267" i="4" s="1"/>
  <c r="AJ266" i="4" s="1"/>
  <c r="AJ265" i="4" s="1"/>
  <c r="AJ264" i="4" s="1"/>
  <c r="AJ263" i="4" s="1"/>
  <c r="AJ262" i="4" s="1"/>
  <c r="AJ261" i="4" s="1"/>
  <c r="AJ260" i="4" s="1"/>
  <c r="AJ259" i="4" s="1"/>
  <c r="AJ258" i="4" s="1"/>
  <c r="AJ257" i="4" s="1"/>
  <c r="AJ256" i="4" s="1"/>
  <c r="AJ255" i="4" s="1"/>
  <c r="AJ254" i="4" s="1"/>
  <c r="AJ253" i="4" s="1"/>
  <c r="AJ252" i="4" s="1"/>
  <c r="AJ251" i="4" s="1"/>
  <c r="AJ250" i="4" s="1"/>
  <c r="AJ249" i="4" s="1"/>
  <c r="AJ248" i="4" s="1"/>
  <c r="AJ247" i="4" s="1"/>
  <c r="AJ246" i="4" s="1"/>
  <c r="AJ245" i="4" s="1"/>
  <c r="AJ244" i="4" s="1"/>
  <c r="AJ243" i="4" s="1"/>
  <c r="AJ242" i="4" s="1"/>
  <c r="AJ241" i="4" s="1"/>
  <c r="AJ240" i="4" s="1"/>
  <c r="AJ239" i="4" s="1"/>
  <c r="AJ238" i="4" s="1"/>
  <c r="AJ237" i="4" s="1"/>
  <c r="AJ236" i="4" s="1"/>
  <c r="AJ235" i="4" s="1"/>
  <c r="AJ234" i="4" s="1"/>
  <c r="AJ233" i="4" s="1"/>
  <c r="AJ232" i="4" s="1"/>
  <c r="AJ231" i="4" s="1"/>
  <c r="AJ230" i="4" s="1"/>
  <c r="AJ229" i="4" s="1"/>
  <c r="AJ228" i="4" s="1"/>
  <c r="AJ227" i="4" s="1"/>
  <c r="AJ226" i="4" s="1"/>
  <c r="AJ225" i="4" s="1"/>
  <c r="AJ224" i="4" s="1"/>
  <c r="AJ223" i="4" s="1"/>
  <c r="AJ222" i="4" s="1"/>
  <c r="AJ221" i="4" s="1"/>
  <c r="AJ220" i="4" s="1"/>
  <c r="AJ219" i="4" s="1"/>
  <c r="AJ218" i="4" s="1"/>
  <c r="AJ217" i="4" s="1"/>
  <c r="AJ216" i="4" s="1"/>
  <c r="AJ215" i="4" s="1"/>
  <c r="AJ214" i="4" s="1"/>
  <c r="AJ213" i="4" s="1"/>
  <c r="AJ212" i="4" s="1"/>
  <c r="AJ211" i="4" s="1"/>
  <c r="AJ210" i="4" s="1"/>
  <c r="AJ209" i="4" s="1"/>
  <c r="AJ208" i="4" s="1"/>
  <c r="AJ207" i="4" s="1"/>
  <c r="AJ206" i="4" s="1"/>
  <c r="AJ205" i="4" s="1"/>
  <c r="AJ204" i="4" s="1"/>
  <c r="AJ203" i="4" s="1"/>
  <c r="AJ202" i="4" s="1"/>
  <c r="AJ201" i="4" s="1"/>
  <c r="AJ200" i="4" s="1"/>
  <c r="AJ199" i="4" s="1"/>
  <c r="AJ198" i="4" s="1"/>
  <c r="AJ197" i="4" s="1"/>
  <c r="AJ196" i="4" s="1"/>
  <c r="AJ195" i="4" s="1"/>
  <c r="AJ194" i="4" s="1"/>
  <c r="AJ193" i="4" s="1"/>
  <c r="AJ192" i="4" s="1"/>
  <c r="AJ191" i="4" s="1"/>
  <c r="AJ190" i="4" s="1"/>
  <c r="AJ189" i="4" s="1"/>
  <c r="AJ188" i="4" s="1"/>
  <c r="AJ187" i="4" s="1"/>
  <c r="AJ186" i="4" s="1"/>
  <c r="AJ185" i="4" s="1"/>
  <c r="AJ184" i="4" s="1"/>
  <c r="AJ183" i="4" s="1"/>
  <c r="AJ182" i="4" s="1"/>
  <c r="AJ181" i="4" s="1"/>
  <c r="AJ180" i="4" s="1"/>
  <c r="AJ179" i="4" s="1"/>
  <c r="AJ178" i="4" s="1"/>
  <c r="AJ177" i="4" s="1"/>
  <c r="AJ176" i="4" s="1"/>
  <c r="AJ175" i="4" s="1"/>
  <c r="AJ174" i="4" s="1"/>
  <c r="AJ173" i="4" s="1"/>
  <c r="AJ172" i="4" s="1"/>
  <c r="AJ171" i="4" s="1"/>
  <c r="AJ170" i="4" s="1"/>
  <c r="AJ169" i="4" s="1"/>
  <c r="AJ168" i="4" s="1"/>
  <c r="AJ167" i="4" s="1"/>
  <c r="AJ166" i="4" s="1"/>
  <c r="AJ165" i="4" s="1"/>
  <c r="AJ164" i="4" s="1"/>
  <c r="AJ163" i="4" s="1"/>
  <c r="AJ162" i="4" s="1"/>
  <c r="AJ161" i="4" s="1"/>
  <c r="AJ160" i="4" s="1"/>
  <c r="AJ159" i="4" s="1"/>
  <c r="AJ158" i="4" s="1"/>
  <c r="AJ157" i="4" s="1"/>
  <c r="AJ156" i="4" s="1"/>
  <c r="AJ155" i="4" s="1"/>
  <c r="AJ154" i="4" s="1"/>
  <c r="AJ153" i="4" s="1"/>
  <c r="AJ152" i="4" s="1"/>
  <c r="AJ151" i="4" s="1"/>
  <c r="AJ150" i="4" s="1"/>
  <c r="AJ149" i="4" s="1"/>
  <c r="AJ148" i="4" s="1"/>
  <c r="AJ147" i="4" s="1"/>
  <c r="AJ146" i="4" s="1"/>
  <c r="AJ145" i="4" s="1"/>
  <c r="AJ144" i="4" s="1"/>
  <c r="AJ143" i="4" s="1"/>
  <c r="AJ142" i="4" s="1"/>
  <c r="AJ141" i="4" s="1"/>
  <c r="AJ140" i="4" s="1"/>
  <c r="AJ139" i="4" s="1"/>
  <c r="AJ138" i="4" s="1"/>
  <c r="AJ137" i="4" s="1"/>
  <c r="AJ136" i="4" s="1"/>
  <c r="AJ135" i="4" s="1"/>
  <c r="AJ134" i="4" s="1"/>
  <c r="AJ133" i="4" s="1"/>
  <c r="AJ132" i="4" s="1"/>
  <c r="AJ131" i="4" s="1"/>
  <c r="AJ130" i="4" s="1"/>
  <c r="AJ129" i="4" s="1"/>
  <c r="AJ128" i="4" s="1"/>
  <c r="AJ127" i="4" s="1"/>
  <c r="AJ126" i="4" s="1"/>
  <c r="AJ125" i="4" s="1"/>
  <c r="AJ124" i="4" s="1"/>
  <c r="AJ123" i="4" s="1"/>
  <c r="AJ122" i="4" s="1"/>
  <c r="AJ121" i="4" s="1"/>
  <c r="AJ120" i="4" s="1"/>
  <c r="AJ119" i="4" s="1"/>
  <c r="AJ118" i="4" s="1"/>
  <c r="AJ117" i="4" s="1"/>
  <c r="AJ116" i="4" s="1"/>
  <c r="AJ115" i="4" s="1"/>
  <c r="AJ114" i="4" s="1"/>
  <c r="AJ113" i="4" s="1"/>
  <c r="AJ112" i="4" s="1"/>
  <c r="AJ111" i="4" s="1"/>
  <c r="AJ110" i="4" s="1"/>
  <c r="AJ109" i="4" s="1"/>
  <c r="AJ108" i="4" s="1"/>
  <c r="AJ107" i="4" s="1"/>
  <c r="AJ106" i="4" s="1"/>
  <c r="AJ105" i="4" s="1"/>
  <c r="AJ104" i="4" s="1"/>
  <c r="AJ103" i="4" s="1"/>
  <c r="AJ102" i="4" s="1"/>
  <c r="AJ101" i="4" s="1"/>
  <c r="AJ100" i="4" s="1"/>
  <c r="AJ99" i="4" s="1"/>
  <c r="AJ98" i="4" s="1"/>
  <c r="AJ97" i="4" s="1"/>
  <c r="AJ96" i="4" s="1"/>
  <c r="AJ95" i="4" s="1"/>
  <c r="AJ94" i="4" s="1"/>
  <c r="AJ93" i="4" s="1"/>
  <c r="AJ92" i="4" s="1"/>
  <c r="AJ91" i="4" s="1"/>
  <c r="AJ90" i="4" s="1"/>
  <c r="AJ89" i="4" s="1"/>
  <c r="AJ88" i="4" s="1"/>
  <c r="AJ87" i="4" s="1"/>
  <c r="AJ86" i="4" s="1"/>
  <c r="AJ85" i="4" s="1"/>
  <c r="AJ84" i="4" s="1"/>
  <c r="AJ83" i="4" s="1"/>
  <c r="AJ82" i="4" s="1"/>
  <c r="AJ81" i="4" s="1"/>
  <c r="AJ80" i="4" s="1"/>
  <c r="AJ79" i="4" s="1"/>
  <c r="AJ78" i="4" s="1"/>
  <c r="AJ77" i="4" s="1"/>
  <c r="AJ76" i="4" s="1"/>
  <c r="AJ75" i="4" s="1"/>
  <c r="AJ74" i="4" s="1"/>
  <c r="AJ73" i="4" s="1"/>
  <c r="AJ72" i="4" s="1"/>
  <c r="AJ71" i="4" s="1"/>
  <c r="AJ70" i="4" s="1"/>
  <c r="AJ69" i="4" s="1"/>
  <c r="AJ68" i="4" s="1"/>
  <c r="AJ67" i="4" s="1"/>
  <c r="AJ66" i="4" s="1"/>
  <c r="AJ65" i="4" s="1"/>
  <c r="AJ64" i="4" s="1"/>
  <c r="AJ63" i="4" s="1"/>
  <c r="AJ62" i="4" s="1"/>
  <c r="AJ61" i="4" s="1"/>
  <c r="AJ60" i="4" s="1"/>
  <c r="AJ59" i="4" s="1"/>
  <c r="AJ58" i="4" s="1"/>
  <c r="AJ57" i="4" s="1"/>
  <c r="AJ56" i="4" s="1"/>
  <c r="AJ55" i="4" s="1"/>
  <c r="AJ54" i="4" s="1"/>
  <c r="AJ53" i="4" s="1"/>
  <c r="AJ52" i="4" s="1"/>
  <c r="AJ51" i="4" s="1"/>
  <c r="AJ50" i="4" s="1"/>
  <c r="AJ49" i="4" s="1"/>
  <c r="AJ48" i="4" s="1"/>
  <c r="AJ47" i="4" s="1"/>
  <c r="AJ46" i="4" s="1"/>
  <c r="AJ45" i="4" s="1"/>
  <c r="AJ44" i="4" s="1"/>
  <c r="AJ43" i="4" s="1"/>
  <c r="AJ42" i="4" s="1"/>
  <c r="AJ41" i="4" s="1"/>
  <c r="AJ40" i="4" s="1"/>
  <c r="AJ39" i="4" s="1"/>
  <c r="AJ38" i="4" s="1"/>
  <c r="AJ37" i="4" s="1"/>
  <c r="AJ36" i="4" s="1"/>
  <c r="AJ35" i="4" s="1"/>
  <c r="AJ34" i="4" s="1"/>
  <c r="AJ33" i="4" s="1"/>
  <c r="AJ32" i="4" s="1"/>
  <c r="AJ31" i="4" s="1"/>
  <c r="AJ30" i="4" s="1"/>
  <c r="AJ29" i="4" s="1"/>
  <c r="AJ28" i="4" s="1"/>
  <c r="AJ27" i="4" s="1"/>
  <c r="AJ26" i="4" s="1"/>
  <c r="AJ25" i="4" s="1"/>
  <c r="AJ24" i="4" s="1"/>
  <c r="AJ23" i="4" s="1"/>
  <c r="AJ22" i="4" s="1"/>
  <c r="AJ21" i="4" s="1"/>
  <c r="AJ20" i="4" s="1"/>
  <c r="AJ19" i="4" s="1"/>
  <c r="AJ18" i="4" s="1"/>
  <c r="AJ17" i="4" s="1"/>
  <c r="AJ16" i="4" s="1"/>
  <c r="AJ15" i="4" s="1"/>
  <c r="AJ14" i="4" s="1"/>
  <c r="AJ13" i="4" s="1"/>
  <c r="AJ12" i="4" s="1"/>
  <c r="AJ11" i="4" s="1"/>
  <c r="AJ10" i="4" s="1"/>
  <c r="AJ9" i="4" s="1"/>
  <c r="AJ8" i="4" s="1"/>
  <c r="AJ7" i="4" s="1"/>
  <c r="AJ6" i="4" s="1"/>
  <c r="AJ5" i="4" s="1"/>
  <c r="AJ4" i="4" s="1"/>
  <c r="AJ3" i="4" s="1"/>
  <c r="AE362" i="4"/>
  <c r="AE361" i="4" s="1"/>
  <c r="AE360" i="4" s="1"/>
  <c r="AE359" i="4" s="1"/>
  <c r="AE358" i="4" s="1"/>
  <c r="AE357" i="4" s="1"/>
  <c r="AE356" i="4" s="1"/>
  <c r="AE355" i="4" s="1"/>
  <c r="AE354" i="4" s="1"/>
  <c r="AE353" i="4" s="1"/>
  <c r="AE352" i="4" s="1"/>
  <c r="AE351" i="4" s="1"/>
  <c r="AE350" i="4" s="1"/>
  <c r="AE349" i="4" s="1"/>
  <c r="AE348" i="4" s="1"/>
  <c r="AE347" i="4" s="1"/>
  <c r="AE346" i="4" s="1"/>
  <c r="AE345" i="4" s="1"/>
  <c r="AE344" i="4" s="1"/>
  <c r="AE343" i="4" s="1"/>
  <c r="AE342" i="4" s="1"/>
  <c r="AE341" i="4" s="1"/>
  <c r="AE340" i="4" s="1"/>
  <c r="AE339" i="4" s="1"/>
  <c r="AE338" i="4" s="1"/>
  <c r="AE337" i="4" s="1"/>
  <c r="AE336" i="4" s="1"/>
  <c r="AE335" i="4" s="1"/>
  <c r="AE334" i="4" s="1"/>
  <c r="AE333" i="4" s="1"/>
  <c r="AE332" i="4" s="1"/>
  <c r="AE331" i="4" s="1"/>
  <c r="AE330" i="4" s="1"/>
  <c r="AE329" i="4" s="1"/>
  <c r="AE328" i="4" s="1"/>
  <c r="AE327" i="4" s="1"/>
  <c r="AE326" i="4" s="1"/>
  <c r="AE325" i="4" s="1"/>
  <c r="AE324" i="4" s="1"/>
  <c r="AE323" i="4" s="1"/>
  <c r="AE322" i="4" s="1"/>
  <c r="AE321" i="4" s="1"/>
  <c r="AE320" i="4" s="1"/>
  <c r="AE319" i="4" s="1"/>
  <c r="AE318" i="4" s="1"/>
  <c r="AE317" i="4" s="1"/>
  <c r="AE316" i="4" s="1"/>
  <c r="AE315" i="4" s="1"/>
  <c r="AE314" i="4" s="1"/>
  <c r="AE313" i="4" s="1"/>
  <c r="AE312" i="4" s="1"/>
  <c r="AE311" i="4" s="1"/>
  <c r="AE310" i="4" s="1"/>
  <c r="AE309" i="4" s="1"/>
  <c r="AE308" i="4" s="1"/>
  <c r="AE307" i="4" s="1"/>
  <c r="AE306" i="4" s="1"/>
  <c r="AE305" i="4" s="1"/>
  <c r="AE304" i="4" s="1"/>
  <c r="AE303" i="4" s="1"/>
  <c r="AE302" i="4" s="1"/>
  <c r="AE301" i="4" s="1"/>
  <c r="AE300" i="4" s="1"/>
  <c r="AE299" i="4" s="1"/>
  <c r="AE298" i="4" s="1"/>
  <c r="AE297" i="4" s="1"/>
  <c r="AE296" i="4" s="1"/>
  <c r="AE295" i="4" s="1"/>
  <c r="AE294" i="4" s="1"/>
  <c r="AE293" i="4" s="1"/>
  <c r="AE292" i="4" s="1"/>
  <c r="AE291" i="4" s="1"/>
  <c r="AE290" i="4" s="1"/>
  <c r="AE289" i="4" s="1"/>
  <c r="AE288" i="4" s="1"/>
  <c r="AE287" i="4" s="1"/>
  <c r="AE286" i="4" s="1"/>
  <c r="AE285" i="4" s="1"/>
  <c r="AE284" i="4" s="1"/>
  <c r="AE283" i="4" s="1"/>
  <c r="AE282" i="4" s="1"/>
  <c r="AE281" i="4" s="1"/>
  <c r="AE280" i="4" s="1"/>
  <c r="AE279" i="4" s="1"/>
  <c r="AE278" i="4" s="1"/>
  <c r="AE277" i="4" s="1"/>
  <c r="AE276" i="4" s="1"/>
  <c r="AE275" i="4" s="1"/>
  <c r="AE274" i="4" s="1"/>
  <c r="AE273" i="4" s="1"/>
  <c r="AE272" i="4" s="1"/>
  <c r="AE271" i="4" s="1"/>
  <c r="AE270" i="4" s="1"/>
  <c r="AE269" i="4" s="1"/>
  <c r="AE268" i="4" s="1"/>
  <c r="AE267" i="4" s="1"/>
  <c r="AE266" i="4" s="1"/>
  <c r="AE265" i="4" s="1"/>
  <c r="AE264" i="4" s="1"/>
  <c r="AE263" i="4" s="1"/>
  <c r="AE262" i="4" s="1"/>
  <c r="AE261" i="4" s="1"/>
  <c r="AE260" i="4" s="1"/>
  <c r="AE259" i="4" s="1"/>
  <c r="AE258" i="4" s="1"/>
  <c r="AE257" i="4" s="1"/>
  <c r="AE256" i="4" s="1"/>
  <c r="AE255" i="4" s="1"/>
  <c r="AE254" i="4" s="1"/>
  <c r="AE253" i="4" s="1"/>
  <c r="AE252" i="4" s="1"/>
  <c r="AE251" i="4" s="1"/>
  <c r="AE250" i="4" s="1"/>
  <c r="AE249" i="4" s="1"/>
  <c r="AE248" i="4" s="1"/>
  <c r="AE247" i="4" s="1"/>
  <c r="AE246" i="4" s="1"/>
  <c r="AE245" i="4" s="1"/>
  <c r="AE244" i="4" s="1"/>
  <c r="AE243" i="4" s="1"/>
  <c r="AE242" i="4" s="1"/>
  <c r="AE241" i="4" s="1"/>
  <c r="AE240" i="4" s="1"/>
  <c r="AE239" i="4" s="1"/>
  <c r="AE238" i="4" s="1"/>
  <c r="AE237" i="4" s="1"/>
  <c r="AE236" i="4" s="1"/>
  <c r="AE235" i="4" s="1"/>
  <c r="AE234" i="4" s="1"/>
  <c r="AE233" i="4" s="1"/>
  <c r="AE232" i="4" s="1"/>
  <c r="AE231" i="4" s="1"/>
  <c r="AE230" i="4" s="1"/>
  <c r="AE229" i="4" s="1"/>
  <c r="AE228" i="4" s="1"/>
  <c r="AE227" i="4" s="1"/>
  <c r="AE226" i="4" s="1"/>
  <c r="AE225" i="4" s="1"/>
  <c r="AE224" i="4" s="1"/>
  <c r="AE223" i="4" s="1"/>
  <c r="AE222" i="4" s="1"/>
  <c r="AE221" i="4" s="1"/>
  <c r="AE220" i="4" s="1"/>
  <c r="AE219" i="4" s="1"/>
  <c r="AE218" i="4" s="1"/>
  <c r="AE217" i="4" s="1"/>
  <c r="AE216" i="4" s="1"/>
  <c r="AE215" i="4" s="1"/>
  <c r="AE214" i="4" s="1"/>
  <c r="AE213" i="4" s="1"/>
  <c r="AE212" i="4" s="1"/>
  <c r="AE211" i="4" s="1"/>
  <c r="AE210" i="4" s="1"/>
  <c r="AE209" i="4" s="1"/>
  <c r="AE208" i="4" s="1"/>
  <c r="AE207" i="4" s="1"/>
  <c r="AE206" i="4" s="1"/>
  <c r="AE205" i="4" s="1"/>
  <c r="AE204" i="4" s="1"/>
  <c r="AE203" i="4" s="1"/>
  <c r="AE202" i="4" s="1"/>
  <c r="AE201" i="4" s="1"/>
  <c r="AE200" i="4" s="1"/>
  <c r="AE199" i="4" s="1"/>
  <c r="AE198" i="4" s="1"/>
  <c r="AE197" i="4" s="1"/>
  <c r="AE196" i="4" s="1"/>
  <c r="AE195" i="4" s="1"/>
  <c r="AE194" i="4" s="1"/>
  <c r="AE193" i="4" s="1"/>
  <c r="AE192" i="4" s="1"/>
  <c r="AE191" i="4" s="1"/>
  <c r="AE190" i="4" s="1"/>
  <c r="AE189" i="4" s="1"/>
  <c r="AE188" i="4" s="1"/>
  <c r="AE187" i="4" s="1"/>
  <c r="AE186" i="4" s="1"/>
  <c r="AE185" i="4" s="1"/>
  <c r="AE184" i="4" s="1"/>
  <c r="AE183" i="4" s="1"/>
  <c r="AE182" i="4" s="1"/>
  <c r="AE181" i="4" s="1"/>
  <c r="AE180" i="4" s="1"/>
  <c r="AE179" i="4" s="1"/>
  <c r="AE178" i="4" s="1"/>
  <c r="AE177" i="4" s="1"/>
  <c r="AE176" i="4" s="1"/>
  <c r="AE175" i="4" s="1"/>
  <c r="AE174" i="4" s="1"/>
  <c r="AE173" i="4" s="1"/>
  <c r="AE172" i="4" s="1"/>
  <c r="AE171" i="4" s="1"/>
  <c r="AE170" i="4" s="1"/>
  <c r="AE169" i="4" s="1"/>
  <c r="AE168" i="4" s="1"/>
  <c r="AE167" i="4" s="1"/>
  <c r="AE166" i="4" s="1"/>
  <c r="AE165" i="4" s="1"/>
  <c r="AE164" i="4" s="1"/>
  <c r="AE163" i="4" s="1"/>
  <c r="AE162" i="4" s="1"/>
  <c r="AE161" i="4" s="1"/>
  <c r="AE160" i="4" s="1"/>
  <c r="AE159" i="4" s="1"/>
  <c r="AE158" i="4" s="1"/>
  <c r="AE157" i="4" s="1"/>
  <c r="AE156" i="4" s="1"/>
  <c r="AE155" i="4" s="1"/>
  <c r="AE154" i="4" s="1"/>
  <c r="AE153" i="4" s="1"/>
  <c r="AE152" i="4" s="1"/>
  <c r="AE151" i="4" s="1"/>
  <c r="AE150" i="4" s="1"/>
  <c r="AE149" i="4" s="1"/>
  <c r="AE148" i="4" s="1"/>
  <c r="AE147" i="4" s="1"/>
  <c r="AE146" i="4" s="1"/>
  <c r="AE145" i="4" s="1"/>
  <c r="AE144" i="4" s="1"/>
  <c r="AE143" i="4" s="1"/>
  <c r="AE142" i="4" s="1"/>
  <c r="AE141" i="4" s="1"/>
  <c r="AE140" i="4" s="1"/>
  <c r="AE139" i="4" s="1"/>
  <c r="AE138" i="4" s="1"/>
  <c r="AE137" i="4" s="1"/>
  <c r="AE136" i="4" s="1"/>
  <c r="AE135" i="4" s="1"/>
  <c r="AE134" i="4" s="1"/>
  <c r="AE133" i="4" s="1"/>
  <c r="AE132" i="4" s="1"/>
  <c r="AE131" i="4" s="1"/>
  <c r="AE130" i="4" s="1"/>
  <c r="AE129" i="4" s="1"/>
  <c r="AE128" i="4" s="1"/>
  <c r="AE127" i="4" s="1"/>
  <c r="AE126" i="4" s="1"/>
  <c r="AE125" i="4" s="1"/>
  <c r="AE124" i="4" s="1"/>
  <c r="AE123" i="4" s="1"/>
  <c r="AE122" i="4" s="1"/>
  <c r="AE121" i="4" s="1"/>
  <c r="AE120" i="4" s="1"/>
  <c r="AE119" i="4" s="1"/>
  <c r="AE118" i="4" s="1"/>
  <c r="AE117" i="4" s="1"/>
  <c r="AE116" i="4" s="1"/>
  <c r="AE115" i="4" s="1"/>
  <c r="AE114" i="4" s="1"/>
  <c r="AE113" i="4" s="1"/>
  <c r="AE112" i="4" s="1"/>
  <c r="AE111" i="4" s="1"/>
  <c r="AE110" i="4" s="1"/>
  <c r="AE109" i="4" s="1"/>
  <c r="AE108" i="4" s="1"/>
  <c r="AE107" i="4" s="1"/>
  <c r="AE106" i="4" s="1"/>
  <c r="AE105" i="4" s="1"/>
  <c r="AE104" i="4" s="1"/>
  <c r="AE103" i="4" s="1"/>
  <c r="AE102" i="4" s="1"/>
  <c r="AE101" i="4" s="1"/>
  <c r="AE100" i="4" s="1"/>
  <c r="AE99" i="4" s="1"/>
  <c r="AE98" i="4" s="1"/>
  <c r="AE97" i="4" s="1"/>
  <c r="AE96" i="4" s="1"/>
  <c r="AE95" i="4" s="1"/>
  <c r="AE94" i="4" s="1"/>
  <c r="AE93" i="4" s="1"/>
  <c r="AE92" i="4" s="1"/>
  <c r="AE91" i="4" s="1"/>
  <c r="AE90" i="4" s="1"/>
  <c r="AE89" i="4" s="1"/>
  <c r="AE88" i="4" s="1"/>
  <c r="AE87" i="4" s="1"/>
  <c r="AE86" i="4" s="1"/>
  <c r="AE85" i="4" s="1"/>
  <c r="AE84" i="4" s="1"/>
  <c r="AE83" i="4" s="1"/>
  <c r="AE82" i="4" s="1"/>
  <c r="AE81" i="4" s="1"/>
  <c r="AE80" i="4" s="1"/>
  <c r="AE79" i="4" s="1"/>
  <c r="AE78" i="4" s="1"/>
  <c r="AE77" i="4" s="1"/>
  <c r="AE76" i="4" s="1"/>
  <c r="AE75" i="4" s="1"/>
  <c r="AE74" i="4" s="1"/>
  <c r="AE73" i="4" s="1"/>
  <c r="AE72" i="4" s="1"/>
  <c r="AE71" i="4" s="1"/>
  <c r="AE70" i="4" s="1"/>
  <c r="AE69" i="4" s="1"/>
  <c r="AE68" i="4" s="1"/>
  <c r="AE67" i="4" s="1"/>
  <c r="AE66" i="4" s="1"/>
  <c r="AE65" i="4" s="1"/>
  <c r="AE64" i="4" s="1"/>
  <c r="AE63" i="4" s="1"/>
  <c r="AE62" i="4" s="1"/>
  <c r="AE61" i="4" s="1"/>
  <c r="AE60" i="4" s="1"/>
  <c r="AE59" i="4" s="1"/>
  <c r="AE58" i="4" s="1"/>
  <c r="AE57" i="4" s="1"/>
  <c r="AE56" i="4" s="1"/>
  <c r="AE55" i="4" s="1"/>
  <c r="AE54" i="4" s="1"/>
  <c r="AE53" i="4" s="1"/>
  <c r="AE52" i="4" s="1"/>
  <c r="AE51" i="4" s="1"/>
  <c r="AE50" i="4" s="1"/>
  <c r="AE49" i="4" s="1"/>
  <c r="AE48" i="4" s="1"/>
  <c r="AE47" i="4" s="1"/>
  <c r="AE46" i="4" s="1"/>
  <c r="AE45" i="4" s="1"/>
  <c r="AE44" i="4" s="1"/>
  <c r="AE43" i="4" s="1"/>
  <c r="AE42" i="4" s="1"/>
  <c r="AE41" i="4" s="1"/>
  <c r="AE40" i="4" s="1"/>
  <c r="AE39" i="4" s="1"/>
  <c r="AE38" i="4" s="1"/>
  <c r="AE37" i="4" s="1"/>
  <c r="AE36" i="4" s="1"/>
  <c r="AE35" i="4" s="1"/>
  <c r="AE34" i="4" s="1"/>
  <c r="AE33" i="4" s="1"/>
  <c r="AE32" i="4" s="1"/>
  <c r="AE31" i="4" s="1"/>
  <c r="AE30" i="4" s="1"/>
  <c r="AE29" i="4" s="1"/>
  <c r="AE28" i="4" s="1"/>
  <c r="AE27" i="4" s="1"/>
  <c r="AE26" i="4" s="1"/>
  <c r="AE25" i="4" s="1"/>
  <c r="AE24" i="4" s="1"/>
  <c r="AE23" i="4" s="1"/>
  <c r="AE22" i="4" s="1"/>
  <c r="AE21" i="4" s="1"/>
  <c r="AE20" i="4" s="1"/>
  <c r="AE19" i="4" s="1"/>
  <c r="AE18" i="4" s="1"/>
  <c r="AE17" i="4" s="1"/>
  <c r="AE16" i="4" s="1"/>
  <c r="AE15" i="4" s="1"/>
  <c r="AE14" i="4" s="1"/>
  <c r="AE13" i="4" s="1"/>
  <c r="AE12" i="4" s="1"/>
  <c r="AE11" i="4" s="1"/>
  <c r="AE10" i="4" s="1"/>
  <c r="AE9" i="4" s="1"/>
  <c r="AE8" i="4" s="1"/>
  <c r="AE7" i="4" s="1"/>
  <c r="AE6" i="4" s="1"/>
  <c r="AE5" i="4" s="1"/>
  <c r="AE4" i="4" s="1"/>
  <c r="AE3" i="4" s="1"/>
  <c r="AH363" i="4"/>
  <c r="H28" i="20" l="1"/>
  <c r="H27" i="20"/>
  <c r="H18" i="20"/>
  <c r="H19" i="20"/>
  <c r="K18" i="20"/>
  <c r="K19" i="20"/>
  <c r="H154" i="11"/>
  <c r="H123" i="2"/>
  <c r="H128" i="2" s="1"/>
  <c r="I62" i="2"/>
  <c r="I66" i="2" s="1"/>
  <c r="I98" i="2"/>
  <c r="I103" i="2" s="1"/>
  <c r="H99" i="2"/>
  <c r="G17" i="20" s="1"/>
  <c r="I124" i="2"/>
  <c r="L17" i="20" s="1"/>
  <c r="O141" i="2"/>
  <c r="O140" i="2" s="1"/>
  <c r="I127" i="2" s="1"/>
  <c r="L22" i="20" s="1"/>
  <c r="H154" i="14"/>
  <c r="H154" i="2"/>
  <c r="H154" i="8"/>
  <c r="L52" i="2"/>
  <c r="AK363" i="4"/>
  <c r="AK362" i="4" s="1"/>
  <c r="AK361" i="4" s="1"/>
  <c r="AK360" i="4" s="1"/>
  <c r="AK359" i="4" s="1"/>
  <c r="AK358" i="4" s="1"/>
  <c r="AK357" i="4" s="1"/>
  <c r="AK356" i="4" s="1"/>
  <c r="AK355" i="4" s="1"/>
  <c r="AK354" i="4" s="1"/>
  <c r="AK353" i="4" s="1"/>
  <c r="AK352" i="4" s="1"/>
  <c r="AK351" i="4" s="1"/>
  <c r="AK350" i="4" s="1"/>
  <c r="AK349" i="4" s="1"/>
  <c r="AK348" i="4" s="1"/>
  <c r="AK347" i="4" s="1"/>
  <c r="AK346" i="4" s="1"/>
  <c r="AK345" i="4" s="1"/>
  <c r="AK344" i="4" s="1"/>
  <c r="AK343" i="4" s="1"/>
  <c r="AK342" i="4" s="1"/>
  <c r="AK341" i="4" s="1"/>
  <c r="AK340" i="4" s="1"/>
  <c r="AK339" i="4" s="1"/>
  <c r="AK338" i="4" s="1"/>
  <c r="AK337" i="4" s="1"/>
  <c r="AK336" i="4" s="1"/>
  <c r="AK335" i="4" s="1"/>
  <c r="AK334" i="4" s="1"/>
  <c r="AK333" i="4" s="1"/>
  <c r="AK332" i="4" s="1"/>
  <c r="AK331" i="4" s="1"/>
  <c r="AK330" i="4" s="1"/>
  <c r="AK329" i="4" s="1"/>
  <c r="AK328" i="4" s="1"/>
  <c r="AK327" i="4" s="1"/>
  <c r="AK326" i="4" s="1"/>
  <c r="AK325" i="4" s="1"/>
  <c r="AK324" i="4" s="1"/>
  <c r="AK323" i="4" s="1"/>
  <c r="AK322" i="4" s="1"/>
  <c r="AK321" i="4" s="1"/>
  <c r="AK320" i="4" s="1"/>
  <c r="AK319" i="4" s="1"/>
  <c r="AK318" i="4" s="1"/>
  <c r="AK317" i="4" s="1"/>
  <c r="AK316" i="4" s="1"/>
  <c r="AK315" i="4" s="1"/>
  <c r="AK314" i="4" s="1"/>
  <c r="AK313" i="4" s="1"/>
  <c r="AK312" i="4" s="1"/>
  <c r="AK311" i="4" s="1"/>
  <c r="AK310" i="4" s="1"/>
  <c r="AK309" i="4" s="1"/>
  <c r="AK308" i="4" s="1"/>
  <c r="AK307" i="4" s="1"/>
  <c r="AK306" i="4" s="1"/>
  <c r="AK305" i="4" s="1"/>
  <c r="AK304" i="4" s="1"/>
  <c r="AK303" i="4" s="1"/>
  <c r="AK302" i="4" s="1"/>
  <c r="AK301" i="4" s="1"/>
  <c r="AK300" i="4" s="1"/>
  <c r="AK299" i="4" s="1"/>
  <c r="AK298" i="4" s="1"/>
  <c r="AK297" i="4" s="1"/>
  <c r="AK296" i="4" s="1"/>
  <c r="AK295" i="4" s="1"/>
  <c r="AK294" i="4" s="1"/>
  <c r="AK293" i="4" s="1"/>
  <c r="AK292" i="4" s="1"/>
  <c r="AK291" i="4" s="1"/>
  <c r="AK290" i="4" s="1"/>
  <c r="AK289" i="4" s="1"/>
  <c r="AK288" i="4" s="1"/>
  <c r="AK287" i="4" s="1"/>
  <c r="AK286" i="4" s="1"/>
  <c r="AK285" i="4" s="1"/>
  <c r="AK284" i="4" s="1"/>
  <c r="AK283" i="4" s="1"/>
  <c r="AK282" i="4" s="1"/>
  <c r="AK281" i="4" s="1"/>
  <c r="AK280" i="4" s="1"/>
  <c r="AK279" i="4" s="1"/>
  <c r="AK278" i="4" s="1"/>
  <c r="AK277" i="4" s="1"/>
  <c r="AK276" i="4" s="1"/>
  <c r="AK275" i="4" s="1"/>
  <c r="AK274" i="4" s="1"/>
  <c r="AK273" i="4" s="1"/>
  <c r="AK272" i="4" s="1"/>
  <c r="AK271" i="4" s="1"/>
  <c r="AK270" i="4" s="1"/>
  <c r="AK269" i="4" s="1"/>
  <c r="AK268" i="4" s="1"/>
  <c r="AK267" i="4" s="1"/>
  <c r="AK266" i="4" s="1"/>
  <c r="AK265" i="4" s="1"/>
  <c r="AK264" i="4" s="1"/>
  <c r="AK263" i="4" s="1"/>
  <c r="AK262" i="4" s="1"/>
  <c r="AK261" i="4" s="1"/>
  <c r="AK260" i="4" s="1"/>
  <c r="AK259" i="4" s="1"/>
  <c r="AK258" i="4" s="1"/>
  <c r="AK257" i="4" s="1"/>
  <c r="AK256" i="4" s="1"/>
  <c r="AK255" i="4" s="1"/>
  <c r="AK254" i="4" s="1"/>
  <c r="AK253" i="4" s="1"/>
  <c r="AK252" i="4" s="1"/>
  <c r="AK251" i="4" s="1"/>
  <c r="AK250" i="4" s="1"/>
  <c r="AK249" i="4" s="1"/>
  <c r="AK248" i="4" s="1"/>
  <c r="AK247" i="4" s="1"/>
  <c r="AK246" i="4" s="1"/>
  <c r="AK245" i="4" s="1"/>
  <c r="AK244" i="4" s="1"/>
  <c r="AK243" i="4" s="1"/>
  <c r="AK242" i="4" s="1"/>
  <c r="AK241" i="4" s="1"/>
  <c r="AK240" i="4" s="1"/>
  <c r="AK239" i="4" s="1"/>
  <c r="AK238" i="4" s="1"/>
  <c r="AK237" i="4" s="1"/>
  <c r="AK236" i="4" s="1"/>
  <c r="AK235" i="4" s="1"/>
  <c r="AK234" i="4" s="1"/>
  <c r="AK233" i="4" s="1"/>
  <c r="AK232" i="4" s="1"/>
  <c r="AK231" i="4" s="1"/>
  <c r="AK230" i="4" s="1"/>
  <c r="AK229" i="4" s="1"/>
  <c r="AK228" i="4" s="1"/>
  <c r="AK227" i="4" s="1"/>
  <c r="AK226" i="4" s="1"/>
  <c r="AK225" i="4" s="1"/>
  <c r="AK224" i="4" s="1"/>
  <c r="AK223" i="4" s="1"/>
  <c r="AK222" i="4" s="1"/>
  <c r="AK221" i="4" s="1"/>
  <c r="AK220" i="4" s="1"/>
  <c r="AK219" i="4" s="1"/>
  <c r="AK218" i="4" s="1"/>
  <c r="AK217" i="4" s="1"/>
  <c r="AK216" i="4" s="1"/>
  <c r="AK215" i="4" s="1"/>
  <c r="AK214" i="4" s="1"/>
  <c r="AK213" i="4" s="1"/>
  <c r="AK212" i="4" s="1"/>
  <c r="AK211" i="4" s="1"/>
  <c r="AK210" i="4" s="1"/>
  <c r="AK209" i="4" s="1"/>
  <c r="AK208" i="4" s="1"/>
  <c r="AK207" i="4" s="1"/>
  <c r="AK206" i="4" s="1"/>
  <c r="AK205" i="4" s="1"/>
  <c r="AK204" i="4" s="1"/>
  <c r="AK203" i="4" s="1"/>
  <c r="AK202" i="4" s="1"/>
  <c r="AK201" i="4" s="1"/>
  <c r="AK200" i="4" s="1"/>
  <c r="AK199" i="4" s="1"/>
  <c r="AK198" i="4" s="1"/>
  <c r="AK197" i="4" s="1"/>
  <c r="AK196" i="4" s="1"/>
  <c r="AK195" i="4" s="1"/>
  <c r="AK194" i="4" s="1"/>
  <c r="AK193" i="4" s="1"/>
  <c r="AK192" i="4" s="1"/>
  <c r="AK191" i="4" s="1"/>
  <c r="AK190" i="4" s="1"/>
  <c r="AK189" i="4" s="1"/>
  <c r="AK188" i="4" s="1"/>
  <c r="AK187" i="4" s="1"/>
  <c r="AK186" i="4" s="1"/>
  <c r="AK185" i="4" s="1"/>
  <c r="AK184" i="4" s="1"/>
  <c r="AK183" i="4" s="1"/>
  <c r="AK182" i="4" s="1"/>
  <c r="AK181" i="4" s="1"/>
  <c r="AK180" i="4" s="1"/>
  <c r="AK179" i="4" s="1"/>
  <c r="AK178" i="4" s="1"/>
  <c r="AK177" i="4" s="1"/>
  <c r="AK176" i="4" s="1"/>
  <c r="AK175" i="4" s="1"/>
  <c r="AK174" i="4" s="1"/>
  <c r="AK173" i="4" s="1"/>
  <c r="AK172" i="4" s="1"/>
  <c r="AK171" i="4" s="1"/>
  <c r="AK170" i="4" s="1"/>
  <c r="AK169" i="4" s="1"/>
  <c r="AK168" i="4" s="1"/>
  <c r="AK167" i="4" s="1"/>
  <c r="AK166" i="4" s="1"/>
  <c r="AK165" i="4" s="1"/>
  <c r="AK164" i="4" s="1"/>
  <c r="AK163" i="4" s="1"/>
  <c r="AK162" i="4" s="1"/>
  <c r="AK161" i="4" s="1"/>
  <c r="AK160" i="4" s="1"/>
  <c r="AK159" i="4" s="1"/>
  <c r="AK158" i="4" s="1"/>
  <c r="AK157" i="4" s="1"/>
  <c r="AK156" i="4" s="1"/>
  <c r="AK155" i="4" s="1"/>
  <c r="AK154" i="4" s="1"/>
  <c r="AK153" i="4" s="1"/>
  <c r="AK152" i="4" s="1"/>
  <c r="AK151" i="4" s="1"/>
  <c r="AK150" i="4" s="1"/>
  <c r="AK149" i="4" s="1"/>
  <c r="AK148" i="4" s="1"/>
  <c r="AK147" i="4" s="1"/>
  <c r="AK146" i="4" s="1"/>
  <c r="AK145" i="4" s="1"/>
  <c r="AK144" i="4" s="1"/>
  <c r="AK143" i="4" s="1"/>
  <c r="AK142" i="4" s="1"/>
  <c r="AK141" i="4" s="1"/>
  <c r="AK140" i="4" s="1"/>
  <c r="AK139" i="4" s="1"/>
  <c r="AK138" i="4" s="1"/>
  <c r="AK137" i="4" s="1"/>
  <c r="AK136" i="4" s="1"/>
  <c r="AK135" i="4" s="1"/>
  <c r="AK134" i="4" s="1"/>
  <c r="AK133" i="4" s="1"/>
  <c r="AK132" i="4" s="1"/>
  <c r="AK131" i="4" s="1"/>
  <c r="AK130" i="4" s="1"/>
  <c r="AK129" i="4" s="1"/>
  <c r="AK128" i="4" s="1"/>
  <c r="AK127" i="4" s="1"/>
  <c r="AK126" i="4" s="1"/>
  <c r="AK125" i="4" s="1"/>
  <c r="AK124" i="4" s="1"/>
  <c r="AK123" i="4" s="1"/>
  <c r="AK122" i="4" s="1"/>
  <c r="AK121" i="4" s="1"/>
  <c r="AK120" i="4" s="1"/>
  <c r="AK119" i="4" s="1"/>
  <c r="AK118" i="4" s="1"/>
  <c r="AK117" i="4" s="1"/>
  <c r="AK116" i="4" s="1"/>
  <c r="AK115" i="4" s="1"/>
  <c r="AK114" i="4" s="1"/>
  <c r="AK113" i="4" s="1"/>
  <c r="AK112" i="4" s="1"/>
  <c r="AK111" i="4" s="1"/>
  <c r="AK110" i="4" s="1"/>
  <c r="AK109" i="4" s="1"/>
  <c r="AK108" i="4" s="1"/>
  <c r="AK107" i="4" s="1"/>
  <c r="AK106" i="4" s="1"/>
  <c r="AK105" i="4" s="1"/>
  <c r="AK104" i="4" s="1"/>
  <c r="AK103" i="4" s="1"/>
  <c r="AK102" i="4" s="1"/>
  <c r="AK101" i="4" s="1"/>
  <c r="AK100" i="4" s="1"/>
  <c r="AK99" i="4" s="1"/>
  <c r="AK98" i="4" s="1"/>
  <c r="AK97" i="4" s="1"/>
  <c r="AK96" i="4" s="1"/>
  <c r="AK95" i="4" s="1"/>
  <c r="AK94" i="4" s="1"/>
  <c r="AK93" i="4" s="1"/>
  <c r="AK92" i="4" s="1"/>
  <c r="AK91" i="4" s="1"/>
  <c r="AK90" i="4" s="1"/>
  <c r="AK89" i="4" s="1"/>
  <c r="AK88" i="4" s="1"/>
  <c r="AK87" i="4" s="1"/>
  <c r="AK86" i="4" s="1"/>
  <c r="AK85" i="4" s="1"/>
  <c r="AK84" i="4" s="1"/>
  <c r="AK83" i="4" s="1"/>
  <c r="AK82" i="4" s="1"/>
  <c r="AK81" i="4" s="1"/>
  <c r="AK80" i="4" s="1"/>
  <c r="AK79" i="4" s="1"/>
  <c r="AK78" i="4" s="1"/>
  <c r="AK77" i="4" s="1"/>
  <c r="AK76" i="4" s="1"/>
  <c r="AK75" i="4" s="1"/>
  <c r="AK74" i="4" s="1"/>
  <c r="AK73" i="4" s="1"/>
  <c r="AK72" i="4" s="1"/>
  <c r="AK71" i="4" s="1"/>
  <c r="AK70" i="4" s="1"/>
  <c r="AK69" i="4" s="1"/>
  <c r="AK68" i="4" s="1"/>
  <c r="AK67" i="4" s="1"/>
  <c r="AK66" i="4" s="1"/>
  <c r="AK65" i="4" s="1"/>
  <c r="AK64" i="4" s="1"/>
  <c r="AK63" i="4" s="1"/>
  <c r="AK62" i="4" s="1"/>
  <c r="AK61" i="4" s="1"/>
  <c r="AK60" i="4" s="1"/>
  <c r="AK59" i="4" s="1"/>
  <c r="AK58" i="4" s="1"/>
  <c r="AK57" i="4" s="1"/>
  <c r="AK56" i="4" s="1"/>
  <c r="AK55" i="4" s="1"/>
  <c r="AK54" i="4" s="1"/>
  <c r="AK53" i="4" s="1"/>
  <c r="AK52" i="4" s="1"/>
  <c r="AK51" i="4" s="1"/>
  <c r="AK50" i="4" s="1"/>
  <c r="AK49" i="4" s="1"/>
  <c r="AK48" i="4" s="1"/>
  <c r="AK47" i="4" s="1"/>
  <c r="AK46" i="4" s="1"/>
  <c r="AK45" i="4" s="1"/>
  <c r="AK44" i="4" s="1"/>
  <c r="AK43" i="4" s="1"/>
  <c r="AK42" i="4" s="1"/>
  <c r="AK41" i="4" s="1"/>
  <c r="AK40" i="4" s="1"/>
  <c r="AK39" i="4" s="1"/>
  <c r="AK38" i="4" s="1"/>
  <c r="AK37" i="4" s="1"/>
  <c r="AK36" i="4" s="1"/>
  <c r="AK35" i="4" s="1"/>
  <c r="AK34" i="4" s="1"/>
  <c r="AK33" i="4" s="1"/>
  <c r="AK32" i="4" s="1"/>
  <c r="AK31" i="4" s="1"/>
  <c r="AK30" i="4" s="1"/>
  <c r="AK29" i="4" s="1"/>
  <c r="AK28" i="4" s="1"/>
  <c r="AK27" i="4" s="1"/>
  <c r="AK26" i="4" s="1"/>
  <c r="AK25" i="4" s="1"/>
  <c r="AK24" i="4" s="1"/>
  <c r="AK23" i="4" s="1"/>
  <c r="AK22" i="4" s="1"/>
  <c r="AK21" i="4" s="1"/>
  <c r="AK20" i="4" s="1"/>
  <c r="AK19" i="4" s="1"/>
  <c r="AK18" i="4" s="1"/>
  <c r="AK17" i="4" s="1"/>
  <c r="AK16" i="4" s="1"/>
  <c r="AK15" i="4" s="1"/>
  <c r="AK14" i="4" s="1"/>
  <c r="AK13" i="4" s="1"/>
  <c r="AK12" i="4" s="1"/>
  <c r="AK11" i="4" s="1"/>
  <c r="AK10" i="4" s="1"/>
  <c r="AK9" i="4" s="1"/>
  <c r="AK8" i="4" s="1"/>
  <c r="AK7" i="4" s="1"/>
  <c r="AK6" i="4" s="1"/>
  <c r="AK5" i="4" s="1"/>
  <c r="AK4" i="4" s="1"/>
  <c r="AK3" i="4" s="1"/>
  <c r="AH362" i="4"/>
  <c r="AH361" i="4" s="1"/>
  <c r="AH360" i="4" s="1"/>
  <c r="AH359" i="4" s="1"/>
  <c r="AH358" i="4" s="1"/>
  <c r="AH357" i="4" s="1"/>
  <c r="AH356" i="4" s="1"/>
  <c r="AH355" i="4" s="1"/>
  <c r="AH354" i="4" s="1"/>
  <c r="AH353" i="4" s="1"/>
  <c r="AH352" i="4" s="1"/>
  <c r="AH351" i="4" s="1"/>
  <c r="AH350" i="4" s="1"/>
  <c r="AH349" i="4" s="1"/>
  <c r="AH348" i="4" s="1"/>
  <c r="AH347" i="4" s="1"/>
  <c r="AH346" i="4" s="1"/>
  <c r="AH345" i="4" s="1"/>
  <c r="AH344" i="4" s="1"/>
  <c r="AH343" i="4" s="1"/>
  <c r="AH342" i="4" s="1"/>
  <c r="AH341" i="4" s="1"/>
  <c r="AH340" i="4" s="1"/>
  <c r="AH339" i="4" s="1"/>
  <c r="AH338" i="4" s="1"/>
  <c r="AH337" i="4" s="1"/>
  <c r="AH336" i="4" s="1"/>
  <c r="AH335" i="4" s="1"/>
  <c r="AH334" i="4" s="1"/>
  <c r="AH333" i="4" s="1"/>
  <c r="AH332" i="4" s="1"/>
  <c r="AH331" i="4" s="1"/>
  <c r="AH330" i="4" s="1"/>
  <c r="AH329" i="4" s="1"/>
  <c r="AH328" i="4" s="1"/>
  <c r="AH327" i="4" s="1"/>
  <c r="AH326" i="4" s="1"/>
  <c r="AH325" i="4" s="1"/>
  <c r="AH324" i="4" s="1"/>
  <c r="AH323" i="4" s="1"/>
  <c r="AH322" i="4" s="1"/>
  <c r="AH321" i="4" s="1"/>
  <c r="AH320" i="4" s="1"/>
  <c r="AH319" i="4" s="1"/>
  <c r="AH318" i="4" s="1"/>
  <c r="AH317" i="4" s="1"/>
  <c r="AH316" i="4" s="1"/>
  <c r="AH315" i="4" s="1"/>
  <c r="AH314" i="4" s="1"/>
  <c r="AH313" i="4" s="1"/>
  <c r="AH312" i="4" s="1"/>
  <c r="AH311" i="4" s="1"/>
  <c r="AH310" i="4" s="1"/>
  <c r="AH309" i="4" s="1"/>
  <c r="AH308" i="4" s="1"/>
  <c r="AH307" i="4" s="1"/>
  <c r="AH306" i="4" s="1"/>
  <c r="AH305" i="4" s="1"/>
  <c r="AH304" i="4" s="1"/>
  <c r="AH303" i="4" s="1"/>
  <c r="AH302" i="4" s="1"/>
  <c r="AH301" i="4" s="1"/>
  <c r="AH300" i="4" s="1"/>
  <c r="AH299" i="4" s="1"/>
  <c r="AH298" i="4" s="1"/>
  <c r="AH297" i="4" s="1"/>
  <c r="AH296" i="4" s="1"/>
  <c r="AH295" i="4" s="1"/>
  <c r="AH294" i="4" s="1"/>
  <c r="AH293" i="4" s="1"/>
  <c r="AH292" i="4" s="1"/>
  <c r="AH291" i="4" s="1"/>
  <c r="AH290" i="4" s="1"/>
  <c r="AH289" i="4" s="1"/>
  <c r="AH288" i="4" s="1"/>
  <c r="AH287" i="4" s="1"/>
  <c r="AH286" i="4" s="1"/>
  <c r="AH285" i="4" s="1"/>
  <c r="AH284" i="4" s="1"/>
  <c r="AH283" i="4" s="1"/>
  <c r="AH282" i="4" s="1"/>
  <c r="AH281" i="4" s="1"/>
  <c r="AH280" i="4" s="1"/>
  <c r="AH279" i="4" s="1"/>
  <c r="AH278" i="4" s="1"/>
  <c r="AH277" i="4" s="1"/>
  <c r="AH276" i="4" s="1"/>
  <c r="AH275" i="4" s="1"/>
  <c r="AH274" i="4" s="1"/>
  <c r="AH273" i="4" s="1"/>
  <c r="AH272" i="4" s="1"/>
  <c r="AH271" i="4" s="1"/>
  <c r="AH270" i="4" s="1"/>
  <c r="AH269" i="4" s="1"/>
  <c r="AH268" i="4" s="1"/>
  <c r="AH267" i="4" s="1"/>
  <c r="AH266" i="4" s="1"/>
  <c r="AH265" i="4" s="1"/>
  <c r="AH264" i="4" s="1"/>
  <c r="AH263" i="4" s="1"/>
  <c r="AH262" i="4" s="1"/>
  <c r="AH261" i="4" s="1"/>
  <c r="AH260" i="4" s="1"/>
  <c r="AH259" i="4" s="1"/>
  <c r="AH258" i="4" s="1"/>
  <c r="AH257" i="4" s="1"/>
  <c r="AH256" i="4" s="1"/>
  <c r="AH255" i="4" s="1"/>
  <c r="AH254" i="4" s="1"/>
  <c r="AH253" i="4" s="1"/>
  <c r="AH252" i="4" s="1"/>
  <c r="AH251" i="4" s="1"/>
  <c r="AH250" i="4" s="1"/>
  <c r="AH249" i="4" s="1"/>
  <c r="AH248" i="4" s="1"/>
  <c r="AH247" i="4" s="1"/>
  <c r="AH246" i="4" s="1"/>
  <c r="AH245" i="4" s="1"/>
  <c r="AH244" i="4" s="1"/>
  <c r="AH243" i="4" s="1"/>
  <c r="AH242" i="4" s="1"/>
  <c r="AH241" i="4" s="1"/>
  <c r="AH240" i="4" s="1"/>
  <c r="AH239" i="4" s="1"/>
  <c r="AH238" i="4" s="1"/>
  <c r="AH237" i="4" s="1"/>
  <c r="AH236" i="4" s="1"/>
  <c r="AH235" i="4" s="1"/>
  <c r="AH234" i="4" s="1"/>
  <c r="AH233" i="4" s="1"/>
  <c r="AH232" i="4" s="1"/>
  <c r="AH231" i="4" s="1"/>
  <c r="AH230" i="4" s="1"/>
  <c r="AH229" i="4" s="1"/>
  <c r="AH228" i="4" s="1"/>
  <c r="AH227" i="4" s="1"/>
  <c r="AH226" i="4" s="1"/>
  <c r="AH225" i="4" s="1"/>
  <c r="AH224" i="4" s="1"/>
  <c r="AH223" i="4" s="1"/>
  <c r="AH222" i="4" s="1"/>
  <c r="AH221" i="4" s="1"/>
  <c r="AH220" i="4" s="1"/>
  <c r="AH219" i="4" s="1"/>
  <c r="AH218" i="4" s="1"/>
  <c r="AH217" i="4" s="1"/>
  <c r="AH216" i="4" s="1"/>
  <c r="AH215" i="4" s="1"/>
  <c r="AH214" i="4" s="1"/>
  <c r="AH213" i="4" s="1"/>
  <c r="AH212" i="4" s="1"/>
  <c r="AH211" i="4" s="1"/>
  <c r="AH210" i="4" s="1"/>
  <c r="AH209" i="4" s="1"/>
  <c r="AH208" i="4" s="1"/>
  <c r="AH207" i="4" s="1"/>
  <c r="AH206" i="4" s="1"/>
  <c r="AH205" i="4" s="1"/>
  <c r="AH204" i="4" s="1"/>
  <c r="AH203" i="4" s="1"/>
  <c r="AH202" i="4" s="1"/>
  <c r="AH201" i="4" s="1"/>
  <c r="AH200" i="4" s="1"/>
  <c r="AH199" i="4" s="1"/>
  <c r="AH198" i="4" s="1"/>
  <c r="AH197" i="4" s="1"/>
  <c r="AH196" i="4" s="1"/>
  <c r="AH195" i="4" s="1"/>
  <c r="AH194" i="4" s="1"/>
  <c r="AH193" i="4" s="1"/>
  <c r="AH192" i="4" s="1"/>
  <c r="AH191" i="4" s="1"/>
  <c r="AH190" i="4" s="1"/>
  <c r="AH189" i="4" s="1"/>
  <c r="AH188" i="4" s="1"/>
  <c r="AH187" i="4" s="1"/>
  <c r="AH186" i="4" s="1"/>
  <c r="AH185" i="4" s="1"/>
  <c r="AH184" i="4" s="1"/>
  <c r="AH183" i="4" s="1"/>
  <c r="AH182" i="4" s="1"/>
  <c r="AH181" i="4" s="1"/>
  <c r="AH180" i="4" s="1"/>
  <c r="AH179" i="4" s="1"/>
  <c r="AH178" i="4" s="1"/>
  <c r="AH177" i="4" s="1"/>
  <c r="AH176" i="4" s="1"/>
  <c r="AH175" i="4" s="1"/>
  <c r="AH174" i="4" s="1"/>
  <c r="AH173" i="4" s="1"/>
  <c r="AH172" i="4" s="1"/>
  <c r="AH171" i="4" s="1"/>
  <c r="AH170" i="4" s="1"/>
  <c r="AH169" i="4" s="1"/>
  <c r="AH168" i="4" s="1"/>
  <c r="AH167" i="4" s="1"/>
  <c r="AH166" i="4" s="1"/>
  <c r="AH165" i="4" s="1"/>
  <c r="AH164" i="4" s="1"/>
  <c r="AH163" i="4" s="1"/>
  <c r="AH162" i="4" s="1"/>
  <c r="AH161" i="4" s="1"/>
  <c r="AH160" i="4" s="1"/>
  <c r="AH159" i="4" s="1"/>
  <c r="AH158" i="4" s="1"/>
  <c r="AH157" i="4" s="1"/>
  <c r="AH156" i="4" s="1"/>
  <c r="AH155" i="4" s="1"/>
  <c r="AH154" i="4" s="1"/>
  <c r="AH153" i="4" s="1"/>
  <c r="AH152" i="4" s="1"/>
  <c r="AH151" i="4" s="1"/>
  <c r="AH150" i="4" s="1"/>
  <c r="AH149" i="4" s="1"/>
  <c r="AH148" i="4" s="1"/>
  <c r="AH147" i="4" s="1"/>
  <c r="AH146" i="4" s="1"/>
  <c r="AH145" i="4" s="1"/>
  <c r="AH144" i="4" s="1"/>
  <c r="AH143" i="4" s="1"/>
  <c r="AH142" i="4" s="1"/>
  <c r="AH141" i="4" s="1"/>
  <c r="AH140" i="4" s="1"/>
  <c r="AH139" i="4" s="1"/>
  <c r="AH138" i="4" s="1"/>
  <c r="AH137" i="4" s="1"/>
  <c r="AH136" i="4" s="1"/>
  <c r="AH135" i="4" s="1"/>
  <c r="AH134" i="4" s="1"/>
  <c r="AH133" i="4" s="1"/>
  <c r="AH132" i="4" s="1"/>
  <c r="AH131" i="4" s="1"/>
  <c r="AH130" i="4" s="1"/>
  <c r="AH129" i="4" s="1"/>
  <c r="AH128" i="4" s="1"/>
  <c r="AH127" i="4" s="1"/>
  <c r="AH126" i="4" s="1"/>
  <c r="AH125" i="4" s="1"/>
  <c r="AH124" i="4" s="1"/>
  <c r="AH123" i="4" s="1"/>
  <c r="AH122" i="4" s="1"/>
  <c r="AH121" i="4" s="1"/>
  <c r="AH120" i="4" s="1"/>
  <c r="AH119" i="4" s="1"/>
  <c r="AH118" i="4" s="1"/>
  <c r="AH117" i="4" s="1"/>
  <c r="AH116" i="4" s="1"/>
  <c r="AH115" i="4" s="1"/>
  <c r="AH114" i="4" s="1"/>
  <c r="AH113" i="4" s="1"/>
  <c r="AH112" i="4" s="1"/>
  <c r="AH111" i="4" s="1"/>
  <c r="AH110" i="4" s="1"/>
  <c r="AH109" i="4" s="1"/>
  <c r="AH108" i="4" s="1"/>
  <c r="AH107" i="4" s="1"/>
  <c r="AH106" i="4" s="1"/>
  <c r="AH105" i="4" s="1"/>
  <c r="AH104" i="4" s="1"/>
  <c r="AH103" i="4" s="1"/>
  <c r="AH102" i="4" s="1"/>
  <c r="AH101" i="4" s="1"/>
  <c r="AH100" i="4" s="1"/>
  <c r="AH99" i="4" s="1"/>
  <c r="AH98" i="4" s="1"/>
  <c r="AH97" i="4" s="1"/>
  <c r="AH96" i="4" s="1"/>
  <c r="AH95" i="4" s="1"/>
  <c r="AH94" i="4" s="1"/>
  <c r="AH93" i="4" s="1"/>
  <c r="AH92" i="4" s="1"/>
  <c r="AH91" i="4" s="1"/>
  <c r="AH90" i="4" s="1"/>
  <c r="AH89" i="4" s="1"/>
  <c r="AH88" i="4" s="1"/>
  <c r="AH87" i="4" s="1"/>
  <c r="AH86" i="4" s="1"/>
  <c r="AH85" i="4" s="1"/>
  <c r="AH84" i="4" s="1"/>
  <c r="AH83" i="4" s="1"/>
  <c r="AH82" i="4" s="1"/>
  <c r="AH81" i="4" s="1"/>
  <c r="AH80" i="4" s="1"/>
  <c r="AH79" i="4" s="1"/>
  <c r="AH78" i="4" s="1"/>
  <c r="AH77" i="4" s="1"/>
  <c r="AH76" i="4" s="1"/>
  <c r="AH75" i="4" s="1"/>
  <c r="AH74" i="4" s="1"/>
  <c r="AH73" i="4" s="1"/>
  <c r="AH72" i="4" s="1"/>
  <c r="AH71" i="4" s="1"/>
  <c r="AH70" i="4" s="1"/>
  <c r="AH69" i="4" s="1"/>
  <c r="AH68" i="4" s="1"/>
  <c r="AH67" i="4" s="1"/>
  <c r="AH66" i="4" s="1"/>
  <c r="AH65" i="4" s="1"/>
  <c r="AH64" i="4" s="1"/>
  <c r="AH63" i="4" s="1"/>
  <c r="AH62" i="4" s="1"/>
  <c r="AH61" i="4" s="1"/>
  <c r="AH60" i="4" s="1"/>
  <c r="AH59" i="4" s="1"/>
  <c r="AH58" i="4" s="1"/>
  <c r="AH57" i="4" s="1"/>
  <c r="AH56" i="4" s="1"/>
  <c r="AH55" i="4" s="1"/>
  <c r="AH54" i="4" s="1"/>
  <c r="AH53" i="4" s="1"/>
  <c r="AH52" i="4" s="1"/>
  <c r="AH51" i="4" s="1"/>
  <c r="AH50" i="4" s="1"/>
  <c r="AH49" i="4" s="1"/>
  <c r="AH48" i="4" s="1"/>
  <c r="AH47" i="4" s="1"/>
  <c r="AH46" i="4" s="1"/>
  <c r="AH45" i="4" s="1"/>
  <c r="AH44" i="4" s="1"/>
  <c r="AH43" i="4" s="1"/>
  <c r="AH42" i="4" s="1"/>
  <c r="AH41" i="4" s="1"/>
  <c r="AH40" i="4" s="1"/>
  <c r="AH39" i="4" s="1"/>
  <c r="AH38" i="4" s="1"/>
  <c r="AH37" i="4" s="1"/>
  <c r="AH36" i="4" s="1"/>
  <c r="AH35" i="4" s="1"/>
  <c r="AH34" i="4" s="1"/>
  <c r="AH33" i="4" s="1"/>
  <c r="AH32" i="4" s="1"/>
  <c r="AH31" i="4" s="1"/>
  <c r="AH30" i="4" s="1"/>
  <c r="AH29" i="4" s="1"/>
  <c r="AH28" i="4" s="1"/>
  <c r="AH27" i="4" s="1"/>
  <c r="AH26" i="4" s="1"/>
  <c r="AH25" i="4" s="1"/>
  <c r="AH24" i="4" s="1"/>
  <c r="AH23" i="4" s="1"/>
  <c r="AH22" i="4" s="1"/>
  <c r="AH21" i="4" s="1"/>
  <c r="AH20" i="4" s="1"/>
  <c r="AH19" i="4" s="1"/>
  <c r="AH18" i="4" s="1"/>
  <c r="AH17" i="4" s="1"/>
  <c r="AH16" i="4" s="1"/>
  <c r="AH15" i="4" s="1"/>
  <c r="AH14" i="4" s="1"/>
  <c r="AH13" i="4" s="1"/>
  <c r="AH12" i="4" s="1"/>
  <c r="AH11" i="4" s="1"/>
  <c r="AH10" i="4" s="1"/>
  <c r="AH9" i="4" s="1"/>
  <c r="AH8" i="4" s="1"/>
  <c r="AH7" i="4" s="1"/>
  <c r="AH6" i="4" s="1"/>
  <c r="AH5" i="4" s="1"/>
  <c r="AH4" i="4" s="1"/>
  <c r="AH3" i="4" s="1"/>
  <c r="L19" i="20" l="1"/>
  <c r="L18" i="20"/>
  <c r="G18" i="20"/>
  <c r="G19" i="20"/>
  <c r="H98" i="2"/>
  <c r="H103" i="2" s="1"/>
  <c r="I123" i="2"/>
  <c r="I128" i="2" s="1"/>
  <c r="B11" i="3"/>
  <c r="B19" i="3"/>
  <c r="I154" i="14" l="1"/>
  <c r="I154" i="2"/>
  <c r="I154" i="11"/>
  <c r="I154" i="8"/>
  <c r="C11" i="3"/>
  <c r="D11" i="3"/>
  <c r="D19" i="3"/>
  <c r="C19" i="3"/>
  <c r="O187" i="2"/>
  <c r="I195" i="2"/>
  <c r="O189" i="2" s="1"/>
  <c r="H195" i="2"/>
  <c r="O188" i="2" s="1"/>
  <c r="I44" i="2" l="1"/>
  <c r="O41" i="2" s="1"/>
  <c r="H44" i="2"/>
  <c r="O40" i="2" s="1"/>
  <c r="L170" i="2"/>
  <c r="L175" i="2" s="1"/>
  <c r="L191" i="2"/>
  <c r="L195" i="2" s="1"/>
  <c r="O192" i="2"/>
  <c r="L194" i="2"/>
  <c r="L187" i="2"/>
  <c r="L173" i="2"/>
  <c r="L166" i="2"/>
  <c r="O165" i="2"/>
  <c r="O186" i="2"/>
  <c r="L196" i="2" l="1"/>
  <c r="L198" i="2" s="1"/>
  <c r="O195" i="2"/>
  <c r="B31" i="3" s="1"/>
  <c r="D31" i="3" s="1"/>
  <c r="I194" i="2" s="1"/>
  <c r="O191" i="2" s="1"/>
  <c r="L181" i="2"/>
  <c r="N9" i="3" s="1"/>
  <c r="P9" i="3" s="1"/>
  <c r="I173" i="2" s="1"/>
  <c r="O170" i="2" s="1"/>
  <c r="L174" i="2"/>
  <c r="L176" i="2" s="1"/>
  <c r="L197" i="2"/>
  <c r="L199" i="2"/>
  <c r="H189" i="2" s="1"/>
  <c r="W11" i="20" s="1"/>
  <c r="L177" i="2"/>
  <c r="L179" i="2"/>
  <c r="I168" i="2" s="1"/>
  <c r="L11" i="20" s="1"/>
  <c r="C179" i="2" l="1"/>
  <c r="B194" i="2"/>
  <c r="O9" i="3"/>
  <c r="H173" i="2" s="1"/>
  <c r="O169" i="2" s="1"/>
  <c r="L167" i="2" s="1"/>
  <c r="L169" i="2" s="1"/>
  <c r="L200" i="2"/>
  <c r="I189" i="2" s="1"/>
  <c r="X11" i="20" s="1"/>
  <c r="L178" i="2"/>
  <c r="H168" i="2" s="1"/>
  <c r="K11" i="20" s="1"/>
  <c r="C31" i="3"/>
  <c r="H194" i="2" s="1"/>
  <c r="O190" i="2" s="1"/>
  <c r="L188" i="2" s="1"/>
  <c r="L190" i="2" s="1"/>
  <c r="N198" i="2"/>
  <c r="N202" i="2" s="1"/>
  <c r="N201" i="2" s="1"/>
  <c r="H191" i="2" s="1"/>
  <c r="W13" i="20" s="1"/>
  <c r="O178" i="2"/>
  <c r="O182" i="2" s="1"/>
  <c r="O181" i="2" s="1"/>
  <c r="I170" i="2" s="1"/>
  <c r="L13" i="20" s="1"/>
  <c r="B179" i="2" l="1"/>
  <c r="C194" i="2"/>
  <c r="I188" i="2" s="1"/>
  <c r="X8" i="20" s="1"/>
  <c r="I167" i="2"/>
  <c r="L8" i="20" s="1"/>
  <c r="L168" i="2"/>
  <c r="O198" i="2"/>
  <c r="O202" i="2" s="1"/>
  <c r="O179" i="2"/>
  <c r="O180" i="2" s="1"/>
  <c r="I169" i="2" s="1"/>
  <c r="L12" i="20" s="1"/>
  <c r="L189" i="2"/>
  <c r="N199" i="2"/>
  <c r="N200" i="2" s="1"/>
  <c r="H190" i="2" s="1"/>
  <c r="W12" i="20" s="1"/>
  <c r="H28" i="2"/>
  <c r="H26" i="2" s="1"/>
  <c r="O20" i="2" s="1"/>
  <c r="I28" i="2"/>
  <c r="I26" i="2" s="1"/>
  <c r="O21" i="2" s="1"/>
  <c r="L10" i="20" l="1"/>
  <c r="L9" i="20"/>
  <c r="X10" i="20"/>
  <c r="X9" i="20"/>
  <c r="I166" i="2"/>
  <c r="I171" i="2" s="1"/>
  <c r="I187" i="2"/>
  <c r="I192" i="2" s="1"/>
  <c r="H188" i="2"/>
  <c r="W8" i="20" s="1"/>
  <c r="H167" i="2"/>
  <c r="K8" i="20" s="1"/>
  <c r="O201" i="2"/>
  <c r="I191" i="2" s="1"/>
  <c r="X13" i="20" s="1"/>
  <c r="N178" i="2"/>
  <c r="O199" i="2"/>
  <c r="O200" i="2" s="1"/>
  <c r="I190" i="2" s="1"/>
  <c r="X12" i="20" s="1"/>
  <c r="L23" i="2"/>
  <c r="O27" i="2" s="1"/>
  <c r="B25" i="3" s="1"/>
  <c r="K9" i="20" l="1"/>
  <c r="K10" i="20"/>
  <c r="W10" i="20"/>
  <c r="W9" i="20"/>
  <c r="H187" i="2"/>
  <c r="H192" i="2" s="1"/>
  <c r="H166" i="2"/>
  <c r="H171" i="2" s="1"/>
  <c r="N182" i="2"/>
  <c r="N181" i="2" s="1"/>
  <c r="H170" i="2" s="1"/>
  <c r="K13" i="20" s="1"/>
  <c r="N179" i="2"/>
  <c r="N180" i="2" s="1"/>
  <c r="H169" i="2" s="1"/>
  <c r="K12" i="20" s="1"/>
  <c r="C25" i="3"/>
  <c r="H25" i="2" s="1"/>
  <c r="O22" i="2" s="1"/>
  <c r="D25" i="3"/>
  <c r="I25" i="2" s="1"/>
  <c r="O23" i="2" s="1"/>
  <c r="E51" i="2" l="1"/>
  <c r="E52" i="2"/>
  <c r="E50" i="2"/>
  <c r="E44" i="2"/>
  <c r="E46" i="2"/>
  <c r="E41" i="2"/>
  <c r="E47" i="2"/>
  <c r="E43" i="2"/>
  <c r="E42" i="2"/>
  <c r="E39" i="2"/>
  <c r="E45" i="2"/>
  <c r="E40" i="2"/>
  <c r="E38" i="2"/>
  <c r="O45" i="2" l="1"/>
  <c r="O48" i="2"/>
  <c r="O46" i="2"/>
  <c r="O47" i="2"/>
  <c r="O37" i="2" l="1"/>
  <c r="O36" i="2" s="1"/>
  <c r="L44" i="2" l="1"/>
  <c r="L45" i="2"/>
  <c r="L49" i="2" s="1"/>
  <c r="L37" i="2"/>
  <c r="L38" i="2" s="1"/>
  <c r="O42" i="2"/>
  <c r="L46" i="2"/>
  <c r="L50" i="2" s="1"/>
  <c r="L47" i="2" l="1"/>
  <c r="L39" i="2" s="1"/>
  <c r="L48" i="2"/>
  <c r="L40" i="2" s="1"/>
  <c r="H48" i="2"/>
  <c r="H47" i="2"/>
  <c r="I47" i="2"/>
  <c r="I48" i="2"/>
  <c r="H39" i="2" l="1"/>
  <c r="C20" i="20" s="1"/>
  <c r="I39" i="2"/>
  <c r="D20" i="20" s="1"/>
  <c r="B55" i="2" l="1"/>
  <c r="H38" i="2" s="1"/>
  <c r="C17" i="20" s="1"/>
  <c r="C55" i="2"/>
  <c r="I38" i="2" s="1"/>
  <c r="D17" i="20" s="1"/>
  <c r="N51" i="2"/>
  <c r="N55" i="2" s="1"/>
  <c r="N54" i="2" s="1"/>
  <c r="H41" i="2" s="1"/>
  <c r="C22" i="20" s="1"/>
  <c r="O51" i="2"/>
  <c r="O55" i="2" s="1"/>
  <c r="O54" i="2" s="1"/>
  <c r="I41" i="2" s="1"/>
  <c r="D22" i="20" s="1"/>
  <c r="E21" i="2"/>
  <c r="E22" i="2"/>
  <c r="E20" i="2"/>
  <c r="D18" i="20" l="1"/>
  <c r="D19" i="20"/>
  <c r="C19" i="20"/>
  <c r="C18" i="20"/>
  <c r="I37" i="2"/>
  <c r="I42" i="2" s="1"/>
  <c r="H37" i="2"/>
  <c r="H42" i="2" s="1"/>
  <c r="N52" i="2"/>
  <c r="N53" i="2" s="1"/>
  <c r="H40" i="2" s="1"/>
  <c r="C21" i="20" s="1"/>
  <c r="O52" i="2"/>
  <c r="O53" i="2" s="1"/>
  <c r="I40" i="2" s="1"/>
  <c r="D21" i="20" s="1"/>
  <c r="O19" i="2"/>
  <c r="O24" i="2" s="1"/>
  <c r="L28" i="2" l="1"/>
  <c r="L30" i="2" s="1"/>
  <c r="L19" i="2"/>
  <c r="L20" i="2" s="1"/>
  <c r="O18" i="2"/>
  <c r="L26" i="2"/>
  <c r="L27" i="2"/>
  <c r="L29" i="2" s="1"/>
  <c r="L21" i="2" l="1"/>
  <c r="L22" i="2"/>
  <c r="L31" i="2"/>
  <c r="H21" i="2" s="1"/>
  <c r="C29" i="20" s="1"/>
  <c r="O29" i="20" s="1"/>
  <c r="L32" i="2"/>
  <c r="I21" i="2" s="1"/>
  <c r="D29" i="20" s="1"/>
  <c r="P29" i="20" s="1"/>
  <c r="I30" i="14" l="1"/>
  <c r="O30" i="2"/>
  <c r="I20" i="2" s="1"/>
  <c r="D26" i="20" s="1"/>
  <c r="H30" i="14"/>
  <c r="N30" i="2"/>
  <c r="H20" i="2" s="1"/>
  <c r="C26" i="20" s="1"/>
  <c r="H22" i="2"/>
  <c r="C30" i="20" s="1"/>
  <c r="I22" i="2"/>
  <c r="D30" i="20" s="1"/>
  <c r="C27" i="20" l="1"/>
  <c r="C28" i="20"/>
  <c r="O26" i="20"/>
  <c r="D27" i="20"/>
  <c r="P26" i="20"/>
  <c r="D28" i="20"/>
  <c r="I19" i="2"/>
  <c r="I23" i="2" s="1"/>
  <c r="I30" i="11"/>
  <c r="I30" i="8"/>
  <c r="I30" i="2"/>
  <c r="H30" i="2"/>
  <c r="H30" i="8"/>
  <c r="H30" i="11"/>
  <c r="H19" i="2"/>
  <c r="H23" i="2" s="1"/>
  <c r="P30" i="20" l="1"/>
  <c r="P28" i="20"/>
  <c r="P27" i="20"/>
  <c r="O28" i="20"/>
  <c r="O27" i="20"/>
  <c r="O30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NERD</author>
    <author>SaMuK</author>
    <author>Nurse</author>
  </authors>
  <commentList>
    <comment ref="E1" authorId="0" shapeId="0" xr:uid="{1B781EB2-A448-4783-8F7C-F6BF6605B876}">
      <text>
        <r>
          <rPr>
            <b/>
            <sz val="9"/>
            <color indexed="81"/>
            <rFont val="Tahoma"/>
            <family val="2"/>
          </rPr>
          <t>อันนี้ไม่มั่นใจ (ขี้เกียจ) HWI 1.794                  Wind 4 Degree 32
True Result = 17.7PB</t>
        </r>
      </text>
    </comment>
    <comment ref="U1" authorId="1" shapeId="0" xr:uid="{3794B37D-E321-44FC-B45A-6658972D621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5" authorId="0" shapeId="0" xr:uid="{050566B0-D336-4CFE-B6A5-C61C7D95E1D3}">
      <text>
        <r>
          <rPr>
            <b/>
            <sz val="9"/>
            <color indexed="81"/>
            <rFont val="Tahoma"/>
            <family val="2"/>
          </rPr>
          <t>Lambendo (Bear): Vento 1 diminui / não diminui significa que você é estúpido.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" authorId="1" shapeId="0" xr:uid="{C7CFF550-E70D-4C76-8808-9C93F46E6302}">
      <text/>
    </comment>
    <comment ref="A9" authorId="2" shapeId="0" xr:uid="{15EFF884-2353-432F-8938-07AE79CBF619}">
      <text>
        <r>
          <rPr>
            <b/>
            <sz val="9"/>
            <color indexed="81"/>
            <rFont val="Tahoma"/>
            <family val="2"/>
          </rPr>
          <t>YYYY/M/D</t>
        </r>
      </text>
    </comment>
    <comment ref="A11" authorId="2" shapeId="0" xr:uid="{ED072F20-0CEC-4791-8709-49540569FBA8}">
      <text>
        <r>
          <rPr>
            <sz val="9"/>
            <color indexed="81"/>
            <rFont val="Tahoma"/>
            <family val="2"/>
          </rPr>
          <t xml:space="preserve">2020/5/9
</t>
        </r>
      </text>
    </comment>
    <comment ref="U11" authorId="1" shapeId="0" xr:uid="{3D56CB23-C83C-45C0-9092-25D3BB5D310D}">
      <text/>
    </comment>
    <comment ref="Q13" authorId="2" shapeId="0" xr:uid="{7B1EE0FC-025C-4958-9A3B-382AEF5617F4}">
      <text>
        <r>
          <rPr>
            <b/>
            <sz val="9"/>
            <color indexed="81"/>
            <rFont val="Tahoma"/>
            <family val="2"/>
          </rPr>
          <t>ดูรูปที่แถบ Hole 13</t>
        </r>
      </text>
    </comment>
    <comment ref="A14" authorId="2" shapeId="0" xr:uid="{C92AE81A-33FF-43AC-806E-B444A1D0012F}">
      <text>
        <r>
          <rPr>
            <sz val="10"/>
            <rFont val="Arial"/>
          </rPr>
          <t xml:space="preserve">Settings : </t>
        </r>
      </text>
    </comment>
    <comment ref="A16" authorId="2" shapeId="0" xr:uid="{72AA257F-18D0-4408-83D1-7759E092FC5E}">
      <text>
        <r>
          <rPr>
            <b/>
            <sz val="9"/>
            <color indexed="81"/>
            <rFont val="Tahoma"/>
            <family val="2"/>
          </rPr>
          <t>SmartAim(PB/4) ก็ได้ขอแค่ออกลายตรง</t>
        </r>
      </text>
    </comment>
    <comment ref="Q18" authorId="2" shapeId="0" xr:uid="{E4F61E5A-6FDD-4BAC-BC76-E1D0D1A4AE5E}">
      <text/>
    </comment>
    <comment ref="R18" authorId="2" shapeId="0" xr:uid="{F2582859-77EE-4B42-B26B-31EC8156B25A}">
      <text>
        <r>
          <rPr>
            <sz val="9"/>
            <color indexed="81"/>
            <rFont val="Tahoma"/>
            <charset val="1"/>
          </rPr>
          <t>ลมมาทางซ้าย
ปล.ลบลาย1PBให้เรียบร้อยแล้วไม่ต้องไปยุ่งกับลาย</t>
        </r>
      </text>
    </comment>
    <comment ref="S18" authorId="2" shapeId="0" xr:uid="{9FA9AE8B-EE3D-4896-AED3-0016CC9C60D8}">
      <text>
        <r>
          <rPr>
            <b/>
            <sz val="9"/>
            <color indexed="81"/>
            <rFont val="Tahoma"/>
            <charset val="1"/>
          </rPr>
          <t xml:space="preserve">ลมมาทางขวา
ถ้าองศาน้อยกว่า 40
ให้ลบลายประมาณ0.1-0.3PB
ปล1.ไม่มั่นใจ ขี้เกียจหา
ปล2.จาก ปล1 เลยไม่ใส่ตรรกะ If/Else ไป 
ปล3.ถ้าไม่ลบมันจะม้วนข้างหลุม 
(เท่าที่เทสมา &lt;&lt; 2รอบ) </t>
        </r>
      </text>
    </comment>
    <comment ref="E19" authorId="2" shapeId="0" xr:uid="{A7077079-7748-4CF2-A293-B68527D1185A}">
      <text>
        <r>
          <rPr>
            <b/>
            <sz val="9"/>
            <color indexed="81"/>
            <rFont val="Tahoma"/>
            <family val="2"/>
          </rPr>
          <t xml:space="preserve">FS = Front spin
</t>
        </r>
      </text>
    </comment>
    <comment ref="J19" authorId="2" shapeId="0" xr:uid="{B475E194-3811-4E16-8C9A-6FBD71B7FA1B}">
      <text>
        <r>
          <rPr>
            <b/>
            <sz val="9"/>
            <color indexed="81"/>
            <rFont val="Tahoma"/>
            <family val="2"/>
          </rPr>
          <t>BS = สปินหลัง</t>
        </r>
      </text>
    </comment>
    <comment ref="S19" authorId="2" shapeId="0" xr:uid="{0B47B536-5CF4-40E6-B0AF-4C947C66DD4E}">
      <text>
        <r>
          <rPr>
            <b/>
            <sz val="9"/>
            <color indexed="81"/>
            <rFont val="Tahoma"/>
            <family val="2"/>
          </rPr>
          <t>อ่านคอมเม้นข้างบนก่อนยิง</t>
        </r>
      </text>
    </comment>
    <comment ref="R20" authorId="2" shapeId="0" xr:uid="{85B08167-5257-4F5F-9AA1-CFBC591B7788}">
      <text>
        <r>
          <rPr>
            <b/>
            <sz val="9"/>
            <color indexed="81"/>
            <rFont val="Tahoma"/>
            <family val="2"/>
          </rPr>
          <t>ยิงเต็มหลอดตลอด</t>
        </r>
      </text>
    </comment>
    <comment ref="E22" authorId="2" shapeId="0" xr:uid="{268E7F8F-8B6B-4E87-A6FE-A98F7A25A78A}">
      <text>
        <r>
          <rPr>
            <b/>
            <sz val="9"/>
            <color indexed="81"/>
            <rFont val="Tahoma"/>
            <family val="2"/>
          </rPr>
          <t>BS = สปินหลัง</t>
        </r>
      </text>
    </comment>
    <comment ref="Q22" authorId="2" shapeId="0" xr:uid="{99DCB771-ABC1-4156-B310-1B0A7E406405}">
      <text>
        <r>
          <rPr>
            <sz val="9"/>
            <color indexed="81"/>
            <rFont val="Tahoma"/>
            <charset val="1"/>
          </rPr>
          <t xml:space="preserve">Spin 28 Curve 6
ใช้ EOP ช่วยกดสปินเคิฟเอานะ
</t>
        </r>
      </text>
    </comment>
    <comment ref="Q23" authorId="2" shapeId="0" xr:uid="{32A8EDAA-913D-46E5-9F7D-DD3C992C272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J24" authorId="2" shapeId="0" xr:uid="{FB154AAA-A95C-4375-A260-6AD95DE82E1F}">
      <text>
        <r>
          <rPr>
            <b/>
            <sz val="9"/>
            <color indexed="81"/>
            <rFont val="Tahoma"/>
            <family val="2"/>
          </rPr>
          <t>FS = สปินหน้า</t>
        </r>
      </text>
    </comment>
    <comment ref="E27" authorId="2" shapeId="0" xr:uid="{DEAE1020-FBA6-44A5-A48B-8F104017593B}">
      <text>
        <r>
          <rPr>
            <b/>
            <sz val="9"/>
            <color indexed="81"/>
            <rFont val="Tahoma"/>
            <family val="2"/>
          </rPr>
          <t xml:space="preserve">SD = Spin após 30
</t>
        </r>
      </text>
    </comment>
    <comment ref="J28" authorId="2" shapeId="0" xr:uid="{E66FD8D0-74EB-4663-910D-42C5AB804D9A}">
      <text>
        <r>
          <rPr>
            <b/>
            <sz val="9"/>
            <color indexed="81"/>
            <rFont val="Tahoma"/>
            <family val="2"/>
          </rPr>
          <t>FS = สปินหน้า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</author>
  </authors>
  <commentList>
    <comment ref="B1" authorId="0" shapeId="0" xr:uid="{AECED459-D789-4D2A-9C00-B9354506DCFF}">
      <text/>
    </comment>
    <comment ref="L1" authorId="0" shapeId="0" xr:uid="{25C9271F-3687-41CB-9BBF-BA44A93695C0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</author>
  </authors>
  <commentList>
    <comment ref="B1" authorId="0" shapeId="0" xr:uid="{0CF8018C-C9EF-43A2-BEE6-A86E4479262A}">
      <text/>
    </comment>
    <comment ref="L1" authorId="0" shapeId="0" xr:uid="{6738E681-D953-4272-B255-669272FB85CE}">
      <text/>
    </comment>
    <comment ref="F4" authorId="0" shapeId="0" xr:uid="{7BE54CEE-6A10-4277-A917-33EC42CC4D7B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4" authorId="0" shapeId="0" xr:uid="{A12EF07A-FAA8-4D7D-86AF-00048A5D9F0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" authorId="0" shapeId="0" xr:uid="{42462A6A-92D4-4D13-942D-E1EB852BCAFC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5" authorId="0" shapeId="0" xr:uid="{15C60375-9EB6-4258-917B-17797FBF119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" authorId="0" shapeId="0" xr:uid="{4F79D4EE-4072-4FA2-8B7D-C91B193980D1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6" authorId="0" shapeId="0" xr:uid="{5FAFA812-388B-4E4C-8DB8-0FE04375266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" authorId="0" shapeId="0" xr:uid="{336DE10C-AEA1-4568-B5D3-93DD82DA860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7" authorId="0" shapeId="0" xr:uid="{EE906365-ECC5-44DE-B5F0-CF89D4F74B6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" authorId="0" shapeId="0" xr:uid="{962C34D5-8FD3-4F9B-9751-9D22F486D362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8" authorId="0" shapeId="0" xr:uid="{BC4831EB-D161-4DF6-8ECE-6D7B3FA8067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" authorId="0" shapeId="0" xr:uid="{A49B9632-6B0E-4A63-BD36-41240B3114BD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9" authorId="0" shapeId="0" xr:uid="{46EA60D2-3C59-4530-974A-972622802AE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0" authorId="0" shapeId="0" xr:uid="{CDC2CC36-24A4-40E2-9271-6E9AD1C93D0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0" authorId="0" shapeId="0" xr:uid="{0F1FAA96-154F-451B-B8FA-90FC6A9B3D0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1" authorId="0" shapeId="0" xr:uid="{5B6A5B5C-E211-4F50-80D9-1C572072D9BA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1" authorId="0" shapeId="0" xr:uid="{BAD427BE-2E6D-48B4-8F72-E3F548FCED1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2" authorId="0" shapeId="0" xr:uid="{EB372DC7-BF55-44E2-B829-09B7D4FE328C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2" authorId="0" shapeId="0" xr:uid="{DA278A54-B0F5-4DA2-B8A4-B76B8A2A4DB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3" authorId="0" shapeId="0" xr:uid="{15235A4E-606E-4011-9CA8-B2B29FED720E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3" authorId="0" shapeId="0" xr:uid="{895445A8-4819-48AB-B187-9CCF4C6BAA4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4" authorId="0" shapeId="0" xr:uid="{E35F4D16-607D-4D94-8D7E-5FEEF3F6E3DB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4" authorId="0" shapeId="0" xr:uid="{285F284E-4ABB-4B86-84E6-D29C34B4938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5" authorId="0" shapeId="0" xr:uid="{CB324A6C-4DD4-4F06-89A7-2D8CD7B26CAF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5" authorId="0" shapeId="0" xr:uid="{403A438A-A85F-4B92-B26D-00DEC3200C8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6" authorId="0" shapeId="0" xr:uid="{16E7C051-ED09-4CB5-90F3-91B9DC6349F0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6" authorId="0" shapeId="0" xr:uid="{F0E7E709-7740-4471-8D09-523F18256EB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7" authorId="0" shapeId="0" xr:uid="{F98B049B-C260-40A0-9584-23E1D0846158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7" authorId="0" shapeId="0" xr:uid="{5078C513-23FB-4FFA-B0EB-626B38D1E74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8" authorId="0" shapeId="0" xr:uid="{F9A1CFE7-4FD2-47A1-B8EC-8138DF89D00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8" authorId="0" shapeId="0" xr:uid="{31A432E8-45F9-411E-B5A5-8AD32EEC079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19" authorId="0" shapeId="0" xr:uid="{74E25A1B-BBF2-44F6-B615-EC7B3AB9D048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19" authorId="0" shapeId="0" xr:uid="{79DA8118-06A3-44A2-870E-DF56B1AC1D4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0" authorId="0" shapeId="0" xr:uid="{0066BB28-530B-4174-A3E2-3D7124746AFC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0" authorId="0" shapeId="0" xr:uid="{6C9FD634-F2FB-431D-9DE8-B8AEBDA7BF9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1" authorId="0" shapeId="0" xr:uid="{3E1B1B29-9404-4AF4-9ECB-86B741C8D219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1" authorId="0" shapeId="0" xr:uid="{034334E3-CB1C-47C0-8F54-A17C5EAF032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2" authorId="0" shapeId="0" xr:uid="{FEE59697-D28D-4F87-8640-F867045E8776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2" authorId="0" shapeId="0" xr:uid="{5CD31B14-DBBA-40F7-AE6C-AAAD01D4E32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3" authorId="0" shapeId="0" xr:uid="{30A7581F-5498-4D84-AEBB-A8275F15AB68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3" authorId="0" shapeId="0" xr:uid="{11011853-C871-4A44-B7F7-9FD9A5038EA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4" authorId="0" shapeId="0" xr:uid="{AA218D48-724B-41FD-9770-339D209B2383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4" authorId="0" shapeId="0" xr:uid="{91AAD4EC-614C-43CD-A2A9-139B1E4BD38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5" authorId="0" shapeId="0" xr:uid="{3E8E5BE0-5C5D-4018-90F0-573683ECF424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5" authorId="0" shapeId="0" xr:uid="{D22467E5-65AC-4EE6-B79D-9C4F0DEA782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6" authorId="0" shapeId="0" xr:uid="{FEA679F0-F7C6-4249-B342-CED90971EEB0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6" authorId="0" shapeId="0" xr:uid="{395D904E-427A-465D-BD08-0E355A5F211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7" authorId="0" shapeId="0" xr:uid="{959CE1EA-748A-4AEB-8EEC-F678F3A10101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7" authorId="0" shapeId="0" xr:uid="{C706D485-3EC1-4770-9971-55282904508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8" authorId="0" shapeId="0" xr:uid="{16FEE79F-DCB0-487F-8ADA-5FDF8E27C421}">
      <text>
        <r>
          <rPr>
            <b/>
            <sz val="9"/>
            <color indexed="81"/>
            <rFont val="Segoe UI"/>
            <charset val="1"/>
          </rPr>
          <t>Matheus:</t>
        </r>
        <r>
          <rPr>
            <sz val="9"/>
            <color indexed="81"/>
            <rFont val="Segoe UI"/>
            <charset val="1"/>
          </rPr>
          <t xml:space="preserve">
Mira 2
</t>
        </r>
      </text>
    </comment>
    <comment ref="J28" authorId="0" shapeId="0" xr:uid="{20450D8E-6A65-4E2A-98DA-B50C94C3F2B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29" authorId="0" shapeId="0" xr:uid="{EF7BD946-D352-4CC4-A652-A31A661EA5F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29" authorId="0" shapeId="0" xr:uid="{35437606-272C-4CFC-8AAE-7349A95D031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0" authorId="0" shapeId="0" xr:uid="{47DE30DA-F68E-41BB-AF80-6BFFB75780F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0" authorId="0" shapeId="0" xr:uid="{B803981F-D553-437B-9B34-17188164A97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1" authorId="0" shapeId="0" xr:uid="{212B2BC4-1638-4E41-9B66-85B3389BF33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1" authorId="0" shapeId="0" xr:uid="{E98A6A53-3BCC-4B40-AB1C-C668316FC55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2" authorId="0" shapeId="0" xr:uid="{BB3B0D31-CD93-4A71-93B5-0D7FCF1128D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2" authorId="0" shapeId="0" xr:uid="{5B7567D2-3C47-4634-9C96-CC31357B98C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3" authorId="0" shapeId="0" xr:uid="{497DDB92-85E7-486C-9C10-188F69BC469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3" authorId="0" shapeId="0" xr:uid="{4FBBBBCE-48E7-4FA7-8D29-9EAD115B62B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4" authorId="0" shapeId="0" xr:uid="{C95C79B9-D647-41A6-85B4-9B840E60963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4" authorId="0" shapeId="0" xr:uid="{2538540F-2618-469B-96BE-1F4C6787159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5" authorId="0" shapeId="0" xr:uid="{D3952A5B-2B94-4EDB-B994-C36F95C79EE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5" authorId="0" shapeId="0" xr:uid="{15AFD0BB-FAF8-477B-86DA-1FA727CFB1F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6" authorId="0" shapeId="0" xr:uid="{68941353-542B-4CB6-B3D5-9C73829DD7D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6" authorId="0" shapeId="0" xr:uid="{21C04D82-A260-4607-B6A9-D3F77B67EBF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7" authorId="0" shapeId="0" xr:uid="{C1B4D42E-FADD-4ACA-A7DB-0BDF728EE19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7" authorId="0" shapeId="0" xr:uid="{8A2CE376-4EAD-4232-B66F-2FBEAC6A03F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8" authorId="0" shapeId="0" xr:uid="{30BC059E-13DA-44F2-9B72-31175D28D5C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8" authorId="0" shapeId="0" xr:uid="{9B05C8F7-E4F9-4338-A9C4-DDEF8B7D690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39" authorId="0" shapeId="0" xr:uid="{8531BBDC-20EC-4BDC-8DF4-FF9ACE99457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39" authorId="0" shapeId="0" xr:uid="{9A3E6AF7-8E6C-4DE5-BC7A-966C7C326B8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0" authorId="0" shapeId="0" xr:uid="{D6EAA840-0BFC-438D-95B3-2EB5655C404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0" authorId="0" shapeId="0" xr:uid="{41135DBD-7756-4075-AB37-67BA4E15E7C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1" authorId="0" shapeId="0" xr:uid="{F433C054-1867-48F6-9FE4-607CE526D64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1" authorId="0" shapeId="0" xr:uid="{48554E06-25D5-41C7-9125-B71FC8ABD4F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2" authorId="0" shapeId="0" xr:uid="{7B67D33F-01CA-4352-ABDE-762B3A3F32A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2" authorId="0" shapeId="0" xr:uid="{6A715A26-E194-4C06-B612-97135CFE08A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3" authorId="0" shapeId="0" xr:uid="{A0B09B59-0EC7-488D-B682-49879C1487E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3" authorId="0" shapeId="0" xr:uid="{FE6028A1-D05B-492E-9BAA-85BCB03B926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4" authorId="0" shapeId="0" xr:uid="{43EB3104-D7B9-44AE-B332-E691E888300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4" authorId="0" shapeId="0" xr:uid="{52410883-AF9C-4707-AC72-150F2FFB7DF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5" authorId="0" shapeId="0" xr:uid="{4EF10F59-5913-4CAB-97D1-A81DB97E3C4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5" authorId="0" shapeId="0" xr:uid="{BA551ADA-2532-41C3-90DE-96ABBC872C4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6" authorId="0" shapeId="0" xr:uid="{8DD0FB76-9B6D-48D8-B1EA-B0DC551290A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6" authorId="0" shapeId="0" xr:uid="{6CF99D5E-F491-4FFF-B7B8-4BE21D3E7BA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7" authorId="0" shapeId="0" xr:uid="{30A0B6CC-8AD1-41D6-8865-4D415C46B21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7" authorId="0" shapeId="0" xr:uid="{3D187C9F-9DE3-4710-9570-0DE7FBE7D5D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8" authorId="0" shapeId="0" xr:uid="{658DB8B3-B037-4CF3-8AF8-51A2427A247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8" authorId="0" shapeId="0" xr:uid="{567CCF16-6F56-4360-A53C-680423DFAD8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49" authorId="0" shapeId="0" xr:uid="{B0FFD719-787A-4680-A4AD-F53A28188C9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49" authorId="0" shapeId="0" xr:uid="{5028C6E8-8A5E-4793-8DE5-4D72CEC613B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1" authorId="0" shapeId="0" xr:uid="{6BE7BBE4-EC88-4702-86DD-0144EB83F56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1" authorId="0" shapeId="0" xr:uid="{DB38FEB7-5CC2-46D1-A408-AF6D65F61FF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2" authorId="0" shapeId="0" xr:uid="{48F1238C-307A-433C-8884-43523ABA20C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2" authorId="0" shapeId="0" xr:uid="{3075A066-6CA3-47C2-A53B-A3903086964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3" authorId="0" shapeId="0" xr:uid="{61B395E0-F94A-4B9E-B207-F9720C45364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3" authorId="0" shapeId="0" xr:uid="{CBA74C9D-13E4-4070-B3BF-E8AB3291069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4" authorId="0" shapeId="0" xr:uid="{EF0FC3EF-1121-4F2F-BA45-C59EA87A386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4" authorId="0" shapeId="0" xr:uid="{811DBEAD-EF6E-43F4-BCC6-662205CDB03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5" authorId="0" shapeId="0" xr:uid="{5B1852C9-F738-4E9F-AD05-426588C8107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5" authorId="0" shapeId="0" xr:uid="{AC79F084-9632-4D01-A563-2A14D7E4FEB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6" authorId="0" shapeId="0" xr:uid="{BC4A6B78-0872-410E-AC86-64D6354B520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6" authorId="0" shapeId="0" xr:uid="{C0575E95-3DE7-45AC-9830-6A6DCF1F413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7" authorId="0" shapeId="0" xr:uid="{9A4718DA-F76B-4A8D-8329-1635E3B8BD5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7" authorId="0" shapeId="0" xr:uid="{0A379F13-6CD7-4D93-8C73-3A226E8DA40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8" authorId="0" shapeId="0" xr:uid="{1EED9EF7-511B-4FEE-A306-5281848BD82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8" authorId="0" shapeId="0" xr:uid="{51D181DC-2073-411F-99E9-14E771BB330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59" authorId="0" shapeId="0" xr:uid="{5626C82E-A2A6-4E03-920B-80AE1B74250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59" authorId="0" shapeId="0" xr:uid="{022127AE-6FD6-44CD-9226-4A295245E5C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0" authorId="0" shapeId="0" xr:uid="{E1EDBD43-7A2D-4EB2-B6B8-6A73310414C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0" authorId="0" shapeId="0" xr:uid="{8C568E62-BBCB-4610-AE6C-9919FB72077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1" authorId="0" shapeId="0" xr:uid="{B1F81608-EB4A-4013-A320-95E0645875B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1" authorId="0" shapeId="0" xr:uid="{B4E59902-4E31-4149-9E6C-180CD054844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2" authorId="0" shapeId="0" xr:uid="{8F28F5F0-2260-4A23-85DA-C203614DFBF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2" authorId="0" shapeId="0" xr:uid="{C0FBD030-03B9-467A-8A01-28562D17980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3" authorId="0" shapeId="0" xr:uid="{9FCBF614-3EBA-4E90-A237-84EC8331878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3" authorId="0" shapeId="0" xr:uid="{7D3D1BC1-F4FB-4C02-953D-50C5BA661B7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4" authorId="0" shapeId="0" xr:uid="{54439746-576B-45C9-AA50-4024D8596AD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4" authorId="0" shapeId="0" xr:uid="{4CF9018B-838F-4340-912C-0D46A9E8A9B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5" authorId="0" shapeId="0" xr:uid="{00A591B6-AF43-446B-B5A3-5CEEAA4C988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5" authorId="0" shapeId="0" xr:uid="{412231EE-1BBB-4F18-B7F2-6C0B9DC256F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6" authorId="0" shapeId="0" xr:uid="{5F68D2C4-31F1-4925-AFA0-3D2E757EE46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6" authorId="0" shapeId="0" xr:uid="{8D9A9BA7-D69D-45C3-9533-3B355BBAA7B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7" authorId="0" shapeId="0" xr:uid="{A4DA1A39-F82B-4236-9FB4-C31571D931C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7" authorId="0" shapeId="0" xr:uid="{5A519BD8-BD55-44FC-9278-BE8C819DE21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8" authorId="0" shapeId="0" xr:uid="{1B60736F-78A1-405A-8FDB-33B2C8560EC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8" authorId="0" shapeId="0" xr:uid="{5D6A6490-005C-419E-8184-123196B7671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69" authorId="0" shapeId="0" xr:uid="{99FA87D5-39E9-4B31-AAA6-36F54023D8B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69" authorId="0" shapeId="0" xr:uid="{D775C2AC-095C-4DD5-8189-5A249C8CB07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0" authorId="0" shapeId="0" xr:uid="{6AD96354-5651-4EC2-826A-1D7208D6201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0" authorId="0" shapeId="0" xr:uid="{048AF4A2-6155-4BA1-A156-E174539DFED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1" authorId="0" shapeId="0" xr:uid="{ECFD1517-4DF9-4F69-A5B3-D54D099AD22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1" authorId="0" shapeId="0" xr:uid="{54343B76-3228-455D-8F4C-0823D091C2F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2" authorId="0" shapeId="0" xr:uid="{D8B55782-5408-4EAA-8ED8-EAF4038DB68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2" authorId="0" shapeId="0" xr:uid="{4B2C2DBD-7A49-4046-A82A-87B0E9331002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3" authorId="0" shapeId="0" xr:uid="{80F448F7-B510-4658-BFA7-6EE54DE1631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3" authorId="0" shapeId="0" xr:uid="{9B4D0996-6108-4587-B9BD-DC5D6FC5288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4" authorId="0" shapeId="0" xr:uid="{6C012AB1-AA2C-4A9D-A31C-ED4CCF10EFB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4" authorId="0" shapeId="0" xr:uid="{828D202F-DF04-4B47-B2BF-F80AD5375FC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5" authorId="0" shapeId="0" xr:uid="{E892F255-78F5-43A5-A6C0-42C61B5A703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5" authorId="0" shapeId="0" xr:uid="{AB104020-7F92-4838-9C08-68362C05BBF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6" authorId="0" shapeId="0" xr:uid="{71CE504B-413C-4AED-84A6-8A2A85B09D8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6" authorId="0" shapeId="0" xr:uid="{730F59AD-06E1-4F20-8A33-98D67BDD916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7" authorId="0" shapeId="0" xr:uid="{BEB72FCC-CF28-413C-B7ED-42FBEAF80AD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7" authorId="0" shapeId="0" xr:uid="{053815BC-3D06-4685-BCEA-4933822AEF6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8" authorId="0" shapeId="0" xr:uid="{7F6125B1-6785-4178-8141-6066BB6D41F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8" authorId="0" shapeId="0" xr:uid="{A5E60C44-10CB-4F7A-8D9B-6D888FD487D1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79" authorId="0" shapeId="0" xr:uid="{410BD4ED-4382-4A5E-B0F6-EAB31D0AE59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79" authorId="0" shapeId="0" xr:uid="{0AFBE25F-0EA1-4CC1-9A3C-8EDCA7BD255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0" authorId="0" shapeId="0" xr:uid="{E0F0741D-7203-4DC7-BDD1-726853DB0AB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0" authorId="0" shapeId="0" xr:uid="{B6BD4254-3F0F-48B7-BE87-A64BE7ACD52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1" authorId="0" shapeId="0" xr:uid="{1AC6E243-D613-4BBA-BE49-951C0E4969C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1" authorId="0" shapeId="0" xr:uid="{0CA9CD37-2324-4C01-97D8-B075BE47D05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2" authorId="0" shapeId="0" xr:uid="{6D9D4A27-1916-4CD8-A998-83144619644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2" authorId="0" shapeId="0" xr:uid="{1496EBDB-8E20-4115-ABE5-DFDBE413C94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3" authorId="0" shapeId="0" xr:uid="{E4847A00-255E-43F4-9380-6524E31D6AD6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3" authorId="0" shapeId="0" xr:uid="{FA4541C8-BCA8-4D50-A161-BE71872951D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4" authorId="0" shapeId="0" xr:uid="{F7283E96-5E1D-4146-83CB-3267471D218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4" authorId="0" shapeId="0" xr:uid="{1A7488A7-95F1-47FB-97F4-269D175B0BE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5" authorId="0" shapeId="0" xr:uid="{392DCB01-901D-41A9-AEFE-71E80F2F27B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5" authorId="0" shapeId="0" xr:uid="{8EF47851-D55D-43D8-8D17-9485C17C4145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6" authorId="0" shapeId="0" xr:uid="{536B23BA-71DE-4CBB-AB52-7E6E122A198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6" authorId="0" shapeId="0" xr:uid="{D4741B2F-3F91-42FA-BB34-AE1C2886564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7" authorId="0" shapeId="0" xr:uid="{8573C641-9380-40F2-8DB4-8FC240F87F8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7" authorId="0" shapeId="0" xr:uid="{FDDF8D00-6D28-4D33-AA56-7F285895756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8" authorId="0" shapeId="0" xr:uid="{B3544A18-A447-4A53-9797-6FB3FDB9E7A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8" authorId="0" shapeId="0" xr:uid="{0F41FE0F-14FC-476E-A90A-905606716D1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89" authorId="0" shapeId="0" xr:uid="{798B5FCA-087D-4804-8AB9-D6E75D7BAB6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89" authorId="0" shapeId="0" xr:uid="{4B115D68-1B85-4D89-AAFC-3FA15B61CAB8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0" authorId="0" shapeId="0" xr:uid="{78BBE2CF-C31D-43A5-B12C-0FFE22FEE89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0" authorId="0" shapeId="0" xr:uid="{B458918E-4390-4243-B2FA-85BA3C78536F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1" authorId="0" shapeId="0" xr:uid="{42F01FD8-7F24-474E-9AB6-513494E5367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1" authorId="0" shapeId="0" xr:uid="{AC41860B-7CF7-4E19-8FC9-5E112A6DD49D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2" authorId="0" shapeId="0" xr:uid="{E7AB94C0-57C4-4687-AA56-12DBF98E0E80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2" authorId="0" shapeId="0" xr:uid="{6D14B737-0D08-403F-9883-871E1474B7D9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3" authorId="0" shapeId="0" xr:uid="{79247141-B541-4A3E-996D-D46A30279B4A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3" authorId="0" shapeId="0" xr:uid="{847DCE81-51C8-4E0A-8516-59825EC5589C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4" authorId="0" shapeId="0" xr:uid="{FBA97D3D-08A0-47A0-8FEA-21A0894786D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4" authorId="0" shapeId="0" xr:uid="{C52F8DDE-0BDC-4B10-86E2-77CFE1AD7F63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5" authorId="0" shapeId="0" xr:uid="{E34D2B70-D05A-49DF-9AF5-B2F427B90C0E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5" authorId="0" shapeId="0" xr:uid="{D7E30D04-43EE-47F2-96B0-52B4EDB950FB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F96" authorId="0" shapeId="0" xr:uid="{2F87BA54-A134-4CB9-A6AA-5833F4C87267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  <comment ref="J96" authorId="0" shapeId="0" xr:uid="{AA7D4536-481A-4937-990D-1190D0164854}">
      <text>
        <r>
          <rPr>
            <b/>
            <sz val="9"/>
            <color indexed="81"/>
            <rFont val="Segoe UI"/>
            <family val="2"/>
          </rPr>
          <t>Matheus:</t>
        </r>
        <r>
          <rPr>
            <sz val="9"/>
            <color indexed="81"/>
            <rFont val="Segoe UI"/>
            <family val="2"/>
          </rPr>
          <t xml:space="preserve">
Mira 1
</t>
        </r>
      </text>
    </comment>
  </commentList>
</comments>
</file>

<file path=xl/sharedStrings.xml><?xml version="1.0" encoding="utf-8"?>
<sst xmlns="http://schemas.openxmlformats.org/spreadsheetml/2006/main" count="4230" uniqueCount="511">
  <si>
    <t>toma</t>
  </si>
  <si>
    <t>dunk</t>
  </si>
  <si>
    <t>bs</t>
  </si>
  <si>
    <t>cos</t>
  </si>
  <si>
    <t>sin</t>
  </si>
  <si>
    <t>%</t>
  </si>
  <si>
    <t>toma 1w</t>
  </si>
  <si>
    <t>c</t>
  </si>
  <si>
    <t>f.hwi</t>
  </si>
  <si>
    <t>pin</t>
  </si>
  <si>
    <t>px</t>
  </si>
  <si>
    <t>hwi * sin * wind</t>
  </si>
  <si>
    <t>c 1st</t>
  </si>
  <si>
    <t>c * inf</t>
  </si>
  <si>
    <t>h+</t>
  </si>
  <si>
    <t>c wind (+)</t>
  </si>
  <si>
    <t>h -</t>
  </si>
  <si>
    <t>calliper</t>
  </si>
  <si>
    <t>c wind (-)</t>
  </si>
  <si>
    <t>inf h+</t>
  </si>
  <si>
    <t>aim</t>
  </si>
  <si>
    <t>h+h-</t>
  </si>
  <si>
    <t>inf h -</t>
  </si>
  <si>
    <t>slope</t>
  </si>
  <si>
    <t>inf</t>
  </si>
  <si>
    <t>wind</t>
  </si>
  <si>
    <t>dist+พื้น</t>
  </si>
  <si>
    <t>ตัวแบ่ง</t>
  </si>
  <si>
    <t>wind effect</t>
  </si>
  <si>
    <t>h</t>
  </si>
  <si>
    <t>wind effect (+)</t>
  </si>
  <si>
    <t>พื้นที่จริง</t>
  </si>
  <si>
    <t>wind effect (-)</t>
  </si>
  <si>
    <t>% wind (+)</t>
  </si>
  <si>
    <t>pc</t>
  </si>
  <si>
    <t>% wind (-)</t>
  </si>
  <si>
    <t xml:space="preserve">pin final wind(+) </t>
  </si>
  <si>
    <t xml:space="preserve">pin final wind(-) </t>
  </si>
  <si>
    <t>dunk 1w</t>
  </si>
  <si>
    <t>spin</t>
  </si>
  <si>
    <t>c 2nd</t>
  </si>
  <si>
    <t>c 3rd</t>
  </si>
  <si>
    <t>c 4th</t>
  </si>
  <si>
    <t>normal</t>
  </si>
  <si>
    <t>a+</t>
  </si>
  <si>
    <t>a -</t>
  </si>
  <si>
    <t>รวมตัวแบ่ง</t>
  </si>
  <si>
    <t>spin 30</t>
  </si>
  <si>
    <t>sk 1w</t>
  </si>
  <si>
    <t>1ps 30</t>
  </si>
  <si>
    <t>1W</t>
  </si>
  <si>
    <t>2W</t>
  </si>
  <si>
    <t>3W</t>
  </si>
  <si>
    <t>2I</t>
  </si>
  <si>
    <t>3I</t>
  </si>
  <si>
    <t>4I</t>
  </si>
  <si>
    <t>5I</t>
  </si>
  <si>
    <t>6I</t>
  </si>
  <si>
    <t>7I</t>
  </si>
  <si>
    <t>8I</t>
  </si>
  <si>
    <t>9I</t>
  </si>
  <si>
    <t>Sem Ps</t>
  </si>
  <si>
    <t>1 Ps</t>
  </si>
  <si>
    <t>2 Ps</t>
  </si>
  <si>
    <t>toma 2w</t>
  </si>
  <si>
    <t>toma 3w</t>
  </si>
  <si>
    <t>dunk 2w</t>
  </si>
  <si>
    <t>dunk 3w</t>
  </si>
  <si>
    <t>2ps 30</t>
  </si>
  <si>
    <t>2w 30</t>
  </si>
  <si>
    <t>3w 30</t>
  </si>
  <si>
    <t>toma 30</t>
  </si>
  <si>
    <t>d.toma 30</t>
  </si>
  <si>
    <t>1ps</t>
  </si>
  <si>
    <t>bs 1w</t>
  </si>
  <si>
    <t>2ps</t>
  </si>
  <si>
    <t>1w 40</t>
  </si>
  <si>
    <t>2w 40</t>
  </si>
  <si>
    <t>3w 40</t>
  </si>
  <si>
    <t>Distance</t>
  </si>
  <si>
    <t>Wind</t>
  </si>
  <si>
    <t>H+</t>
  </si>
  <si>
    <t>H-</t>
  </si>
  <si>
    <t>PB</t>
  </si>
  <si>
    <t>Caliper</t>
  </si>
  <si>
    <t>Spin</t>
  </si>
  <si>
    <t>Hwi</t>
  </si>
  <si>
    <t>1w BS</t>
  </si>
  <si>
    <t>Força</t>
  </si>
  <si>
    <t>Vento</t>
  </si>
  <si>
    <t>Hwi * cos * vento (I)</t>
  </si>
  <si>
    <t>(I) * inf altura</t>
  </si>
  <si>
    <t>Força do vento</t>
  </si>
  <si>
    <t>H -</t>
  </si>
  <si>
    <t>Hwi vento (+)</t>
  </si>
  <si>
    <t>Inf H+</t>
  </si>
  <si>
    <t>Hwi vento (-)</t>
  </si>
  <si>
    <t>Vento(+) + InfH</t>
  </si>
  <si>
    <t>Inf H -</t>
  </si>
  <si>
    <t>Vento(-) + InfH</t>
  </si>
  <si>
    <t>Q.Real Ball</t>
  </si>
  <si>
    <t>Altura</t>
  </si>
  <si>
    <t>% vento (+)</t>
  </si>
  <si>
    <t>Dist+Terre.</t>
  </si>
  <si>
    <t>% vento (-)</t>
  </si>
  <si>
    <t>H+ F</t>
  </si>
  <si>
    <t>Altura Real</t>
  </si>
  <si>
    <t>Normal</t>
  </si>
  <si>
    <t xml:space="preserve">Força V(+) </t>
  </si>
  <si>
    <t>Força V(-)</t>
  </si>
  <si>
    <t>Calibrador</t>
  </si>
  <si>
    <t>Força %</t>
  </si>
  <si>
    <t>Desvio</t>
  </si>
  <si>
    <t>SPIN</t>
  </si>
  <si>
    <t>INF</t>
  </si>
  <si>
    <t>Variação</t>
  </si>
  <si>
    <t>H</t>
  </si>
  <si>
    <t>VF</t>
  </si>
  <si>
    <t>H- F</t>
  </si>
  <si>
    <t>VB</t>
  </si>
  <si>
    <t>BS</t>
  </si>
  <si>
    <t>slope px</t>
  </si>
  <si>
    <t>Pippin</t>
  </si>
  <si>
    <t>Lolo</t>
  </si>
  <si>
    <t>1w Toma 266</t>
  </si>
  <si>
    <t>1w Toma 276</t>
  </si>
  <si>
    <t>1w Toma 280</t>
  </si>
  <si>
    <t>1w Toma 286</t>
  </si>
  <si>
    <t>2w Toma 266</t>
  </si>
  <si>
    <t>2w Toma 276</t>
  </si>
  <si>
    <t>2w Toma 280</t>
  </si>
  <si>
    <t>2w Toma 286</t>
  </si>
  <si>
    <t>3w Toma 266</t>
  </si>
  <si>
    <t>3w Toma 276</t>
  </si>
  <si>
    <t>3w Toma 280</t>
  </si>
  <si>
    <t>3w Toma 286</t>
  </si>
  <si>
    <t>1w P.Toma 266</t>
  </si>
  <si>
    <t>1w P.Toma 276</t>
  </si>
  <si>
    <t>1w P.Toma 280</t>
  </si>
  <si>
    <t>1w P.Toma 286</t>
  </si>
  <si>
    <t>1w Dunk 266</t>
  </si>
  <si>
    <t>1w Dunk 276</t>
  </si>
  <si>
    <t>1w Dunk 280</t>
  </si>
  <si>
    <t>1w Dunk 286</t>
  </si>
  <si>
    <t>2w Dunk 266</t>
  </si>
  <si>
    <t>2w Dunk 276</t>
  </si>
  <si>
    <t>2w Dunk 280</t>
  </si>
  <si>
    <t>2w Dunk 286</t>
  </si>
  <si>
    <t>3w Dunk 266</t>
  </si>
  <si>
    <t>3w Dunk 276</t>
  </si>
  <si>
    <t>3w Dunk 280</t>
  </si>
  <si>
    <t>3w Dunk 286</t>
  </si>
  <si>
    <t>1w Dunk 30 276</t>
  </si>
  <si>
    <t>1w Dunk 30 266</t>
  </si>
  <si>
    <t>1w Dunk 30 280</t>
  </si>
  <si>
    <t>1w Dunk 30 286</t>
  </si>
  <si>
    <t>1w Spike 266</t>
  </si>
  <si>
    <t>1w Spike 276</t>
  </si>
  <si>
    <t>1w Spike 280</t>
  </si>
  <si>
    <t>1w Spike 286</t>
  </si>
  <si>
    <t>1w P.Spike 266</t>
  </si>
  <si>
    <t>1w P.Spike 276</t>
  </si>
  <si>
    <t>1w P.Spike 280</t>
  </si>
  <si>
    <t>2w Dunk 30 266</t>
  </si>
  <si>
    <t>2w Dunk 30 276</t>
  </si>
  <si>
    <t>2w Dunk 30 280</t>
  </si>
  <si>
    <t>2w Dunk 30 286</t>
  </si>
  <si>
    <t>3w Dunk 30 266</t>
  </si>
  <si>
    <t>3w Dunk 30 276</t>
  </si>
  <si>
    <t>3w Dunk 30 280</t>
  </si>
  <si>
    <t>3w Dunk 30 286</t>
  </si>
  <si>
    <t>1w Back Spin 266</t>
  </si>
  <si>
    <t>1w Back Spin 276</t>
  </si>
  <si>
    <t>1w Back Spin 280</t>
  </si>
  <si>
    <t>1w Back Spin 286</t>
  </si>
  <si>
    <t>1w P.Dunk 266</t>
  </si>
  <si>
    <t>1w P.Dunk 276</t>
  </si>
  <si>
    <t>1w P.Dunk 280</t>
  </si>
  <si>
    <t>1w P.Dunk 286</t>
  </si>
  <si>
    <t>1w Toma 30 266</t>
  </si>
  <si>
    <t>1w Toma 30 276</t>
  </si>
  <si>
    <t>1w Toma 30 286</t>
  </si>
  <si>
    <t>1w Toma 30 280</t>
  </si>
  <si>
    <t>1w P.Toma 30 266</t>
  </si>
  <si>
    <t>1w P.Toma 30 276</t>
  </si>
  <si>
    <t>1w P.Toma 30 280</t>
  </si>
  <si>
    <t>1w P.Toma 30 286</t>
  </si>
  <si>
    <t>1w P.Dunk 30 266</t>
  </si>
  <si>
    <t>1w P.Dunk 30 276</t>
  </si>
  <si>
    <t>1w P.Dunk 30 280</t>
  </si>
  <si>
    <t>1w P.Dunk 30 286</t>
  </si>
  <si>
    <t>1w D.Dunk 30 266</t>
  </si>
  <si>
    <t>1w D.Dunk 30 276</t>
  </si>
  <si>
    <t>1w D.Dunk 30 280</t>
  </si>
  <si>
    <t>1w D.Dunk 30 286</t>
  </si>
  <si>
    <t>AIM</t>
  </si>
  <si>
    <t>Elevation</t>
  </si>
  <si>
    <t>Angle</t>
  </si>
  <si>
    <t>Terrain</t>
  </si>
  <si>
    <t>Slope</t>
  </si>
  <si>
    <t>/4.75</t>
  </si>
  <si>
    <t>6i Distance</t>
  </si>
  <si>
    <t>Front</t>
  </si>
  <si>
    <t>Back</t>
  </si>
  <si>
    <t>1w Dunk</t>
  </si>
  <si>
    <t>2w Dunk</t>
  </si>
  <si>
    <t>3w Dunk</t>
  </si>
  <si>
    <t>1w Back Spin</t>
  </si>
  <si>
    <t>1w Spike</t>
  </si>
  <si>
    <t>1w D.Dunk 30</t>
  </si>
  <si>
    <t>1w P.Dunk 30</t>
  </si>
  <si>
    <t>3w Dunk 30</t>
  </si>
  <si>
    <t>2w Dunk 30</t>
  </si>
  <si>
    <t>1w Dunk 30</t>
  </si>
  <si>
    <t>1w Toma</t>
  </si>
  <si>
    <t>2w Toma</t>
  </si>
  <si>
    <t>3w Toma</t>
  </si>
  <si>
    <t>1w P.Toma</t>
  </si>
  <si>
    <t>1w Toma 30</t>
  </si>
  <si>
    <t>1w P.Toma 30</t>
  </si>
  <si>
    <t>6i Chip-in</t>
  </si>
  <si>
    <t>Pixel</t>
  </si>
  <si>
    <t>COS</t>
  </si>
  <si>
    <t>Constant</t>
  </si>
  <si>
    <t>Display</t>
  </si>
  <si>
    <t>Slope Mode</t>
  </si>
  <si>
    <t>Balance</t>
  </si>
  <si>
    <t>UK Edit by Shiori</t>
  </si>
  <si>
    <t>1w Spike 30</t>
  </si>
  <si>
    <t>1w P.Spike 30</t>
  </si>
  <si>
    <t>HWI</t>
  </si>
  <si>
    <t>h-</t>
  </si>
  <si>
    <t>HWI 1600x900</t>
  </si>
  <si>
    <t>Pin ลมต้าน9</t>
  </si>
  <si>
    <t>Cakip N</t>
  </si>
  <si>
    <t>Pin ลมส่ง9</t>
  </si>
  <si>
    <t>Pin ลมขวาง</t>
  </si>
  <si>
    <t>calip</t>
  </si>
  <si>
    <t>hwi</t>
  </si>
  <si>
    <t>Calip -1</t>
  </si>
  <si>
    <t>Spin -1</t>
  </si>
  <si>
    <t>Pin N</t>
  </si>
  <si>
    <t>ballEff.&amp;WE</t>
  </si>
  <si>
    <t>pin-9</t>
  </si>
  <si>
    <t>pin+9</t>
  </si>
  <si>
    <t>pinลมขวาง</t>
  </si>
  <si>
    <t>Power</t>
  </si>
  <si>
    <t>sk 2sp 30sp</t>
  </si>
  <si>
    <t>60+</t>
  </si>
  <si>
    <t>80+</t>
  </si>
  <si>
    <t>s7</t>
  </si>
  <si>
    <t>s6</t>
  </si>
  <si>
    <t>sk 1sp 30sp</t>
  </si>
  <si>
    <t>Ball Slope</t>
  </si>
  <si>
    <t>pin 70</t>
  </si>
  <si>
    <t>pin 85</t>
  </si>
  <si>
    <t>pin 100</t>
  </si>
  <si>
    <t>S30</t>
  </si>
  <si>
    <t>S29</t>
  </si>
  <si>
    <t xml:space="preserve">HWI </t>
  </si>
  <si>
    <t>+</t>
  </si>
  <si>
    <t>Green</t>
  </si>
  <si>
    <t>Headwind</t>
  </si>
  <si>
    <t>Tailwind</t>
  </si>
  <si>
    <t>Original by FTSSS</t>
  </si>
  <si>
    <t>1차</t>
  </si>
  <si>
    <t>2차</t>
  </si>
  <si>
    <t>3차</t>
  </si>
  <si>
    <t>4차(최종)</t>
  </si>
  <si>
    <t>5차</t>
  </si>
  <si>
    <t>힘%계산</t>
  </si>
  <si>
    <t>Calculator</t>
  </si>
  <si>
    <t>Ratio</t>
  </si>
  <si>
    <t>144-140</t>
  </si>
  <si>
    <t>144 / 140</t>
  </si>
  <si>
    <t>거리에따른기울기%</t>
  </si>
  <si>
    <t>Power+</t>
  </si>
  <si>
    <t>Minimum</t>
  </si>
  <si>
    <t>PIN</t>
  </si>
  <si>
    <t>Lookup</t>
  </si>
  <si>
    <t>800x600x32</t>
  </si>
  <si>
    <t>1280x720x32</t>
  </si>
  <si>
    <t>1280x720x32 (Hit Bar)</t>
  </si>
  <si>
    <t>1280x960x32</t>
  </si>
  <si>
    <t>1600x900x32 (Hit Bar)</t>
  </si>
  <si>
    <t>Original by Yo(uk) Classic Calculator with Slope.px Formula, all Spikes 30 &amp; 6i Chip-in by FTSSS, Reworked by Shiori</t>
  </si>
  <si>
    <t>TACADA 1W FRONT SPIN</t>
  </si>
  <si>
    <t>Tirar para direita &gt;&gt;&gt; CENTRO HOLE</t>
  </si>
  <si>
    <t>H16 - 349</t>
  </si>
  <si>
    <t>GRAU</t>
  </si>
  <si>
    <t>&lt; VENTO 1 FRONT</t>
  </si>
  <si>
    <t>VENTO 1 FRONT &gt;</t>
  </si>
  <si>
    <t>&lt; VENTO 1 BACK</t>
  </si>
  <si>
    <t>VENTO 1 BACK &gt;</t>
  </si>
  <si>
    <t>CURVA &gt;</t>
  </si>
  <si>
    <t>DEL+0</t>
  </si>
  <si>
    <t>CALL</t>
  </si>
  <si>
    <t>ANG</t>
  </si>
  <si>
    <t>GRAU&gt;</t>
  </si>
  <si>
    <t>MIRA 1</t>
  </si>
  <si>
    <t>MIRA 2</t>
  </si>
  <si>
    <t>M.HOLE</t>
  </si>
  <si>
    <t>PRESTE ATENÇÃO NAS CORES E ANOTAÇÕES</t>
  </si>
  <si>
    <t>&lt; VENTO FRONT</t>
  </si>
  <si>
    <t>VENTO FRONT &gt;</t>
  </si>
  <si>
    <t>CURVA</t>
  </si>
  <si>
    <t>MIRA PB</t>
  </si>
  <si>
    <t>MIRA 1 CENTRO</t>
  </si>
  <si>
    <t>SE QUISER SMALL PB</t>
  </si>
  <si>
    <t>PB V.F&gt;</t>
  </si>
  <si>
    <t>PB V.F&lt;</t>
  </si>
  <si>
    <t>TIRAR ÂNGULO NO HOLE DEPOIS VIR PARA MIRA</t>
  </si>
  <si>
    <t>MUDE &gt;&gt;</t>
  </si>
  <si>
    <t>PB REDUZIDO A PARTIR DA MIRA DO PONTO</t>
  </si>
  <si>
    <t>MIRA 2 CENTRO</t>
  </si>
  <si>
    <t>BIGPB</t>
  </si>
  <si>
    <t>CM BIGPB</t>
  </si>
  <si>
    <t>SÓ TOCAR DIRETO NEM PRECISA MEXER NOS PB &lt;&lt;&lt; 15</t>
  </si>
  <si>
    <t>เวลาออกลาย กด 1เกจให้เป็นไม้ 296 ออกลายเสมอ</t>
  </si>
  <si>
    <t>VF &lt;</t>
  </si>
  <si>
    <t>Tomahawk 2w 18 Spin Front</t>
  </si>
  <si>
    <t>VB &lt;</t>
  </si>
  <si>
    <t>2w โทสปินหน้า 18</t>
  </si>
  <si>
    <t xml:space="preserve">ส่งขวา &gt;&gt;&gt; </t>
  </si>
  <si>
    <t>องศา</t>
  </si>
  <si>
    <t>แรงตี</t>
  </si>
  <si>
    <t>สปิน</t>
  </si>
  <si>
    <t>Mark</t>
  </si>
  <si>
    <t>สปิน เคิฟ</t>
  </si>
  <si>
    <t>148.0 Caliper</t>
  </si>
  <si>
    <t>สปินหน้า -18</t>
  </si>
  <si>
    <t>สปินหน้า 18</t>
  </si>
  <si>
    <t>152.1 Caliper</t>
  </si>
  <si>
    <t>138.1 Caliper</t>
  </si>
  <si>
    <t>142.2 Caliper</t>
  </si>
  <si>
    <t>130.7 Caliper</t>
  </si>
  <si>
    <t>125.0 Caliper</t>
  </si>
  <si>
    <t>115.1 Caliper</t>
  </si>
  <si>
    <t>130.9 Caliper</t>
  </si>
  <si>
    <t>110.2 Caliper</t>
  </si>
  <si>
    <t>185.0 Caliper</t>
  </si>
  <si>
    <t>105.2 Caliper</t>
  </si>
  <si>
    <t>สปินหน้า -18 เคิฟขวา 1</t>
  </si>
  <si>
    <t>95.4 Caliper</t>
  </si>
  <si>
    <t>199.8 Caliper</t>
  </si>
  <si>
    <t>120.0 Caliper</t>
  </si>
  <si>
    <t>90.4 Caliper</t>
  </si>
  <si>
    <t>202.3 Caliper</t>
  </si>
  <si>
    <t>137.3 Caliper</t>
  </si>
  <si>
    <t>85.5 Caliper</t>
  </si>
  <si>
    <t>204.7 Caliper</t>
  </si>
  <si>
    <t>87.2 Caliper</t>
  </si>
  <si>
    <t>208.0 Caliper</t>
  </si>
  <si>
    <t>135.7 Caliper</t>
  </si>
  <si>
    <t>129.9 Caliper</t>
  </si>
  <si>
    <t>78.9 Caliper</t>
  </si>
  <si>
    <t>127.4 Caliper</t>
  </si>
  <si>
    <t>74.0 Caliper</t>
  </si>
  <si>
    <t>70.7 Caliper</t>
  </si>
  <si>
    <t>66.6 Caliper</t>
  </si>
  <si>
    <t>62.5 Caliper</t>
  </si>
  <si>
    <t>122.5 Caliper</t>
  </si>
  <si>
    <t>60.0 Caliper</t>
  </si>
  <si>
    <t>สปินหน้า -18 เคิฟซ้าย -1</t>
  </si>
  <si>
    <t>117.6 Caliper</t>
  </si>
  <si>
    <t>57.6 Caliper</t>
  </si>
  <si>
    <t>55.1 Caliper</t>
  </si>
  <si>
    <t>125.8 Caliper</t>
  </si>
  <si>
    <t>52.6 Caliper</t>
  </si>
  <si>
    <t>112.6 Caliper</t>
  </si>
  <si>
    <t>50.2 Caliper</t>
  </si>
  <si>
    <t>109.4 Caliper</t>
  </si>
  <si>
    <t>36.2 Caliper</t>
  </si>
  <si>
    <t>106.1 Caliper</t>
  </si>
  <si>
    <t>40.3 Caliper</t>
  </si>
  <si>
    <t>103.6 Caliper</t>
  </si>
  <si>
    <t>37.0 Caliper</t>
  </si>
  <si>
    <t>100.3 Caliper</t>
  </si>
  <si>
    <t>35.4 Caliper</t>
  </si>
  <si>
    <t>93.7 Caliper</t>
  </si>
  <si>
    <t>30.4 Caliper</t>
  </si>
  <si>
    <t>25.5 Caliper</t>
  </si>
  <si>
    <t>80.6 Caliper</t>
  </si>
  <si>
    <t>88.8 Caliper</t>
  </si>
  <si>
    <t>75.6 Caliper</t>
  </si>
  <si>
    <t>65.2 Caliper</t>
  </si>
  <si>
    <t>67.4 Caliper</t>
  </si>
  <si>
    <t>45.2 Caliper</t>
  </si>
  <si>
    <t>20.6 Caliper/2.20PB</t>
  </si>
  <si>
    <t>118.4 Caliper</t>
  </si>
  <si>
    <t>97.8 Caliper</t>
  </si>
  <si>
    <t>123.3 Caliper</t>
  </si>
  <si>
    <t>207.2 Caliper</t>
  </si>
  <si>
    <t>200.6 Caliper</t>
  </si>
  <si>
    <t>191.6 Caliper</t>
  </si>
  <si>
    <t>188.3 Caliper</t>
  </si>
  <si>
    <t>183.4 Caliper</t>
  </si>
  <si>
    <t>167.7 Caliper</t>
  </si>
  <si>
    <t>165.3 Caliper</t>
  </si>
  <si>
    <t>160.3 Caliper</t>
  </si>
  <si>
    <t>2w tomakawk</t>
  </si>
  <si>
    <t>H4 - 345</t>
  </si>
  <si>
    <t>H5 - 282</t>
  </si>
  <si>
    <t>H8 - 372</t>
  </si>
  <si>
    <t>H11 - 303</t>
  </si>
  <si>
    <t>H4 - 352</t>
  </si>
  <si>
    <t>H5 - 284</t>
  </si>
  <si>
    <t>H8 - 379</t>
  </si>
  <si>
    <t>H11 - 310</t>
  </si>
  <si>
    <t>H4 - 353</t>
  </si>
  <si>
    <t>H5 - 275</t>
  </si>
  <si>
    <t>H8 - 381</t>
  </si>
  <si>
    <t>H13 - 385</t>
  </si>
  <si>
    <t>H16 - 352</t>
  </si>
  <si>
    <t>H16 - 354</t>
  </si>
  <si>
    <t>N1W</t>
  </si>
  <si>
    <t>PS1W</t>
  </si>
  <si>
    <t>PPS1W</t>
  </si>
  <si>
    <t>N2W</t>
  </si>
  <si>
    <t>PS2W</t>
  </si>
  <si>
    <t>N3W</t>
  </si>
  <si>
    <t>PS3W</t>
  </si>
  <si>
    <t>HOLE</t>
  </si>
  <si>
    <t>INF. V.F +</t>
  </si>
  <si>
    <t>INF. V.F -</t>
  </si>
  <si>
    <t>% V. HWI +</t>
  </si>
  <si>
    <t>% V. HWI -</t>
  </si>
  <si>
    <t>SENO*VENTO</t>
  </si>
  <si>
    <t>COSSENO*VENTO</t>
  </si>
  <si>
    <t>1PS</t>
  </si>
  <si>
    <t>2PS</t>
  </si>
  <si>
    <t>98.8 คาดว่า</t>
  </si>
  <si>
    <t>SENO</t>
  </si>
  <si>
    <t>COSSENO</t>
  </si>
  <si>
    <t>SD - 30</t>
  </si>
  <si>
    <t>old 0.9</t>
  </si>
  <si>
    <t>edit h11</t>
  </si>
  <si>
    <t>หลุม13</t>
  </si>
  <si>
    <t>ไม่รู้ว่าจะแก้ % หรือ INF ดี</t>
  </si>
  <si>
    <t>INF VF 100% แล้ว เหลือแก้ INF VB ที่ยังไม่ได้ลององศามากเท่าไหร่</t>
  </si>
  <si>
    <t>แรงตีลมขวาง = 288.6</t>
  </si>
  <si>
    <t>หลุม11 มีปัญหาแรงลมส่ง ระยะ 303 base 271.4 ต้องทดลององศาตั้งแต่ 78-84 คาดว่า ลมส่ง 85-90 ถูกต้อง100%</t>
  </si>
  <si>
    <t>V.F</t>
  </si>
  <si>
    <t>V.B</t>
  </si>
  <si>
    <t>H16 349</t>
  </si>
  <si>
    <t>DG</t>
  </si>
  <si>
    <t>h13 310</t>
  </si>
  <si>
    <t>PowerBar</t>
  </si>
  <si>
    <t>Callipers</t>
  </si>
  <si>
    <t>ang 0 front</t>
  </si>
  <si>
    <t>แก้ไขโดย : เนิส</t>
  </si>
  <si>
    <t>Padrão esquerdo +0,2 PB</t>
  </si>
  <si>
    <t>é -12.23 PB</t>
  </si>
  <si>
    <t>H16 352</t>
  </si>
  <si>
    <t>Road to -50 IS</t>
  </si>
  <si>
    <t>Update</t>
  </si>
  <si>
    <t>Add H13 - 390</t>
  </si>
  <si>
    <t>ให้ลายไปทางซ้าย +0.2 PB</t>
  </si>
  <si>
    <t>Fix H13 - 390</t>
  </si>
  <si>
    <t>H16 354</t>
  </si>
  <si>
    <t>Resolution</t>
  </si>
  <si>
    <t>800x600</t>
  </si>
  <si>
    <t>Spin Helper</t>
  </si>
  <si>
    <t>EOP</t>
  </si>
  <si>
    <t>วิธีการออกลาย : ซูมสุด</t>
  </si>
  <si>
    <t>ให้ลายไปทางซ้าย +0.1 PB</t>
  </si>
  <si>
    <t>H13 - 390</t>
  </si>
  <si>
    <t>&gt;&gt;&gt;</t>
  </si>
  <si>
    <t>&lt;&lt;&lt;</t>
  </si>
  <si>
    <t>SHOT</t>
  </si>
  <si>
    <t>H1 - 378</t>
  </si>
  <si>
    <t>1w - 1PS + Cobra/FS</t>
  </si>
  <si>
    <t>1w - 1PS + SPIKE/BS</t>
  </si>
  <si>
    <t>1w - 2PS + SPIKE/BS</t>
  </si>
  <si>
    <t>SPIN 28 CURVE 6</t>
  </si>
  <si>
    <t>SPIN PICTURE</t>
  </si>
  <si>
    <t>H4 - 354</t>
  </si>
  <si>
    <t>1w - 1PS + SPIKE/FS</t>
  </si>
  <si>
    <t>1w - 1PS + Tomahawk/FS</t>
  </si>
  <si>
    <t>1w - SD</t>
  </si>
  <si>
    <t>2w - 1PS + Tomahawk/FS</t>
  </si>
  <si>
    <t>2w - BS 9</t>
  </si>
  <si>
    <t>1PS SPIKE 30s</t>
  </si>
  <si>
    <t>ajuste % VB</t>
  </si>
  <si>
    <t>ajuste % VF</t>
  </si>
  <si>
    <t>HWI (y)</t>
  </si>
  <si>
    <t>Pin</t>
  </si>
  <si>
    <t>Hole</t>
  </si>
  <si>
    <t>cL</t>
  </si>
  <si>
    <t>Desvio (y)</t>
  </si>
  <si>
    <t>PBA</t>
  </si>
  <si>
    <t>Tacada</t>
  </si>
  <si>
    <t>Valores Cálculos</t>
  </si>
  <si>
    <t>Mapa</t>
  </si>
  <si>
    <t>Modelo HWI PIN FIXO</t>
  </si>
  <si>
    <t>Cálculos inspirados em métodos de diversos jogadores obrigado se um deles é voce!</t>
  </si>
  <si>
    <t>Modelos By BooN</t>
  </si>
  <si>
    <t>Sen</t>
  </si>
  <si>
    <t>Cos</t>
  </si>
  <si>
    <t>* vento</t>
  </si>
  <si>
    <t>Ang</t>
  </si>
  <si>
    <t>Valor PBA</t>
  </si>
  <si>
    <t>Valor PB</t>
  </si>
  <si>
    <t>Tabela Modelo by BooN</t>
  </si>
  <si>
    <t>TACADAS PARA SPIKE FUNCIONA TODOS VENTOS</t>
  </si>
  <si>
    <t>OUTRAS TACADAS APENAS VENTO 1</t>
  </si>
  <si>
    <t>2W TOMA -18s</t>
  </si>
  <si>
    <t>ICE SPA</t>
  </si>
  <si>
    <t>PARA VENTO BACK -1</t>
  </si>
  <si>
    <t>PIXEL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</si>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</sst>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#,##0.00\ ;&quot; (&quot;#,##0.00\);&quot; -&quot;#\ ;@\ "/>
    <numFmt numFmtId="168" formatCode="&quot; R$ &quot;#,##0.00\ ;&quot; R$ (&quot;#,##0.00\);&quot; R$ -&quot;#\ ;@\ "/>
    <numFmt numFmtId="169" formatCode="_(&quot;R$ &quot;* #,##0.00_);_(&quot;R$ &quot;* \(#,##0.00\);_(&quot;R$ &quot;* \-??_);_(@_)"/>
    <numFmt numFmtId="170" formatCode="_(* #,##0.00_);_(* \(#,##0.00\);_(* \-??_);_(@_)"/>
    <numFmt numFmtId="171" formatCode=";;;"/>
  </numFmts>
  <fonts count="85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ＭＳ Ｐゴシック"/>
      <family val="3"/>
    </font>
    <font>
      <sz val="11"/>
      <name val="Tahoma"/>
      <family val="2"/>
    </font>
    <font>
      <sz val="11"/>
      <color theme="0"/>
      <name val="Calibri"/>
      <family val="2"/>
      <charset val="222"/>
      <scheme val="minor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sz val="11"/>
      <color indexed="53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name val="돋움"/>
      <family val="3"/>
      <charset val="129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7"/>
      <name val="Cambria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  <charset val="129"/>
    </font>
    <font>
      <sz val="11"/>
      <color indexed="8"/>
      <name val="맑은 고딕"/>
      <family val="3"/>
      <charset val="129"/>
    </font>
    <font>
      <sz val="11"/>
      <color indexed="8"/>
      <name val="Calibri"/>
      <family val="3"/>
      <charset val="129"/>
    </font>
    <font>
      <sz val="11"/>
      <color theme="1"/>
      <name val="Calibri"/>
      <family val="3"/>
      <charset val="129"/>
      <scheme val="minor"/>
    </font>
    <font>
      <b/>
      <sz val="10"/>
      <color theme="0"/>
      <name val="Arial"/>
      <family val="2"/>
    </font>
    <font>
      <sz val="11"/>
      <color indexed="20"/>
      <name val="Calibri"/>
      <family val="2"/>
      <charset val="1"/>
    </font>
    <font>
      <sz val="11"/>
      <color indexed="20"/>
      <name val="맑은 고딕"/>
      <family val="3"/>
      <charset val="129"/>
    </font>
    <font>
      <b/>
      <sz val="11"/>
      <color theme="0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9"/>
      <color theme="1" tint="0.249977111117893"/>
      <name val="Roboto"/>
    </font>
    <font>
      <sz val="9"/>
      <color theme="1"/>
      <name val="Roboto"/>
    </font>
    <font>
      <sz val="9"/>
      <name val="Roboto"/>
    </font>
    <font>
      <sz val="9"/>
      <color indexed="8"/>
      <name val="Roboto"/>
    </font>
    <font>
      <b/>
      <sz val="9"/>
      <color theme="0"/>
      <name val="Roboto"/>
    </font>
    <font>
      <b/>
      <sz val="9"/>
      <color theme="1"/>
      <name val="Roboto"/>
    </font>
    <font>
      <sz val="72"/>
      <color theme="1"/>
      <name val="Roboto"/>
    </font>
    <font>
      <sz val="9"/>
      <color theme="0"/>
      <name val="Roboto"/>
    </font>
    <font>
      <b/>
      <sz val="36"/>
      <color theme="3" tint="-0.249977111117893"/>
      <name val="Roboto Light"/>
    </font>
    <font>
      <b/>
      <sz val="9"/>
      <color theme="3" tint="-0.249977111117893"/>
      <name val="Roboto Light"/>
    </font>
    <font>
      <sz val="50"/>
      <color theme="3" tint="-0.249977111117893"/>
      <name val="Roboto Light"/>
    </font>
    <font>
      <sz val="9"/>
      <color rgb="FF595959"/>
      <name val="Roboto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Segoe UI"/>
      <charset val="1"/>
    </font>
    <font>
      <sz val="9"/>
      <color indexed="81"/>
      <name val="Segoe UI"/>
      <charset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24"/>
      <color theme="0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b/>
      <sz val="10"/>
      <name val="Maiandra GD"/>
      <family val="2"/>
    </font>
    <font>
      <sz val="10"/>
      <name val="Maiandra GD"/>
      <family val="2"/>
    </font>
    <font>
      <b/>
      <sz val="10"/>
      <name val="Arial"/>
      <family val="2"/>
    </font>
    <font>
      <sz val="10"/>
      <color rgb="FF000714"/>
      <name val="Arial"/>
      <family val="2"/>
    </font>
    <font>
      <b/>
      <sz val="10"/>
      <color rgb="FF000714"/>
      <name val="Arial"/>
      <family val="2"/>
    </font>
    <font>
      <b/>
      <sz val="11"/>
      <color indexed="8"/>
      <name val="Arial"/>
      <family val="2"/>
    </font>
    <font>
      <b/>
      <sz val="10"/>
      <color rgb="FFFF0000"/>
      <name val="Arial"/>
      <family val="2"/>
    </font>
    <font>
      <sz val="10"/>
      <color rgb="FF000714"/>
      <name val="Maiandra GD"/>
      <family val="2"/>
    </font>
    <font>
      <sz val="10"/>
      <color rgb="FFFF0000"/>
      <name val="Maiandra GD"/>
      <family val="2"/>
    </font>
    <font>
      <b/>
      <u/>
      <sz val="10"/>
      <name val="Maiandra GD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u/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</font>
    <font>
      <sz val="10"/>
      <color theme="1"/>
      <name val="Cambria"/>
    </font>
    <font>
      <sz val="10"/>
      <color theme="1"/>
      <name val="Calibri"/>
    </font>
    <font>
      <b/>
      <sz val="10"/>
      <color rgb="FF351C75"/>
      <name val="Calibri"/>
    </font>
    <font>
      <b/>
      <sz val="10"/>
      <color theme="1"/>
      <name val="Calibri"/>
    </font>
    <font>
      <sz val="10"/>
      <color rgb="FFFFFFFF"/>
      <name val="Calibri"/>
    </font>
    <font>
      <sz val="10"/>
      <color rgb="FF666666"/>
      <name val="Calibri"/>
    </font>
    <font>
      <sz val="10"/>
      <color rgb="FFCCCCCC"/>
      <name val="Calibri"/>
    </font>
  </fonts>
  <fills count="8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9"/>
        <bgColor indexed="2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/>
      </patternFill>
    </fill>
    <fill>
      <patternFill patternType="solid">
        <fgColor indexed="47"/>
        <bgColor indexed="22"/>
      </patternFill>
    </fill>
    <fill>
      <patternFill patternType="solid">
        <fgColor indexed="43"/>
        <bgColor indexed="26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55"/>
        <bgColor indexed="23"/>
      </patternFill>
    </fill>
    <fill>
      <patternFill patternType="solid">
        <fgColor theme="1" tint="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AFDC7E"/>
        <bgColor indexed="64"/>
      </patternFill>
    </fill>
    <fill>
      <patternFill patternType="solid">
        <fgColor rgb="FF4BD0FF"/>
        <bgColor indexed="64"/>
      </patternFill>
    </fill>
    <fill>
      <patternFill patternType="solid">
        <fgColor rgb="FF00359E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0"/>
      </patternFill>
    </fill>
    <fill>
      <patternFill patternType="solid">
        <fgColor theme="0"/>
        <bgColor indexed="62"/>
      </patternFill>
    </fill>
    <fill>
      <patternFill patternType="solid">
        <fgColor rgb="FF33CCCC"/>
        <bgColor indexed="64"/>
      </patternFill>
    </fill>
    <fill>
      <patternFill patternType="solid">
        <fgColor rgb="FFFFFF00"/>
        <bgColor indexed="62"/>
      </patternFill>
    </fill>
    <fill>
      <patternFill patternType="solid">
        <fgColor indexed="6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  <fill>
      <patternFill patternType="solid">
        <fgColor rgb="FF674EA7"/>
        <bgColor rgb="FF674EA7"/>
      </patternFill>
    </fill>
    <fill>
      <patternFill patternType="solid">
        <fgColor rgb="FF1155CC"/>
        <bgColor rgb="FF1155CC"/>
      </patternFill>
    </fill>
    <fill>
      <patternFill patternType="solid">
        <fgColor rgb="FFD9D2E9"/>
        <bgColor rgb="FFD9D2E9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/>
      <bottom style="thick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ck">
        <color theme="1" tint="0.14993743705557422"/>
      </left>
      <right/>
      <top style="thick">
        <color theme="1" tint="0.14996795556505021"/>
      </top>
      <bottom style="thick">
        <color theme="1" tint="0.149967955565050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211">
    <xf numFmtId="0" fontId="0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Protection="0">
      <alignment vertical="center"/>
    </xf>
    <xf numFmtId="0" fontId="7" fillId="0" borderId="0"/>
    <xf numFmtId="0" fontId="8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/>
    <xf numFmtId="0" fontId="2" fillId="0" borderId="0"/>
    <xf numFmtId="0" fontId="3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Protection="0">
      <alignment vertical="center"/>
    </xf>
    <xf numFmtId="0" fontId="5" fillId="3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5" fillId="25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6" fillId="0" borderId="0">
      <alignment vertical="center"/>
    </xf>
    <xf numFmtId="0" fontId="5" fillId="3" borderId="0" applyNumberFormat="0" applyBorder="0" applyProtection="0">
      <alignment vertical="center"/>
    </xf>
    <xf numFmtId="0" fontId="5" fillId="25" borderId="0" applyNumberFormat="0" applyBorder="0" applyProtection="0">
      <alignment vertical="center"/>
    </xf>
    <xf numFmtId="0" fontId="5" fillId="25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7" borderId="0" applyNumberFormat="0" applyBorder="0" applyProtection="0">
      <alignment vertical="center"/>
    </xf>
    <xf numFmtId="0" fontId="5" fillId="27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6" borderId="0" applyNumberFormat="0" applyBorder="0" applyProtection="0">
      <alignment vertical="center"/>
    </xf>
    <xf numFmtId="0" fontId="5" fillId="28" borderId="0" applyNumberFormat="0" applyBorder="0" applyProtection="0">
      <alignment vertical="center"/>
    </xf>
    <xf numFmtId="0" fontId="5" fillId="28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5" fillId="23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7" borderId="0" applyNumberFormat="0" applyBorder="0" applyProtection="0">
      <alignment vertical="center"/>
    </xf>
    <xf numFmtId="0" fontId="10" fillId="27" borderId="0" applyNumberFormat="0" applyBorder="0" applyProtection="0">
      <alignment vertical="center"/>
    </xf>
    <xf numFmtId="0" fontId="10" fillId="24" borderId="0" applyNumberFormat="0" applyBorder="0" applyProtection="0">
      <alignment vertical="center"/>
    </xf>
    <xf numFmtId="0" fontId="10" fillId="24" borderId="0" applyNumberFormat="0" applyBorder="0" applyProtection="0">
      <alignment vertical="center"/>
    </xf>
    <xf numFmtId="0" fontId="10" fillId="26" borderId="0" applyNumberFormat="0" applyBorder="0" applyProtection="0">
      <alignment vertical="center"/>
    </xf>
    <xf numFmtId="0" fontId="10" fillId="26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3" borderId="0" applyNumberFormat="0" applyBorder="0" applyProtection="0">
      <alignment vertical="center"/>
    </xf>
    <xf numFmtId="0" fontId="10" fillId="23" borderId="0" applyNumberFormat="0" applyBorder="0" applyProtection="0">
      <alignment vertical="center"/>
    </xf>
    <xf numFmtId="0" fontId="11" fillId="35" borderId="0" applyNumberFormat="0" applyBorder="0" applyProtection="0">
      <alignment vertical="center"/>
    </xf>
    <xf numFmtId="0" fontId="11" fillId="35" borderId="0" applyNumberFormat="0" applyBorder="0" applyProtection="0">
      <alignment vertical="center"/>
    </xf>
    <xf numFmtId="0" fontId="12" fillId="3" borderId="13" applyNumberFormat="0" applyProtection="0">
      <alignment vertical="center"/>
    </xf>
    <xf numFmtId="0" fontId="12" fillId="3" borderId="13" applyNumberFormat="0" applyProtection="0">
      <alignment vertical="center"/>
    </xf>
    <xf numFmtId="0" fontId="13" fillId="36" borderId="14" applyNumberFormat="0" applyProtection="0">
      <alignment vertical="center"/>
    </xf>
    <xf numFmtId="0" fontId="13" fillId="36" borderId="14" applyNumberFormat="0" applyProtection="0">
      <alignment vertical="center"/>
    </xf>
    <xf numFmtId="0" fontId="14" fillId="0" borderId="15" applyNumberFormat="0" applyFill="0" applyProtection="0">
      <alignment vertical="center"/>
    </xf>
    <xf numFmtId="0" fontId="14" fillId="0" borderId="15" applyNumberFormat="0" applyFill="0" applyProtection="0">
      <alignment vertical="center"/>
    </xf>
    <xf numFmtId="0" fontId="13" fillId="36" borderId="14" applyNumberFormat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30" borderId="0" applyNumberFormat="0" applyBorder="0" applyProtection="0">
      <alignment vertical="center"/>
    </xf>
    <xf numFmtId="0" fontId="10" fillId="30" borderId="0" applyNumberFormat="0" applyBorder="0" applyProtection="0">
      <alignment vertical="center"/>
    </xf>
    <xf numFmtId="0" fontId="10" fillId="31" borderId="0" applyNumberFormat="0" applyBorder="0" applyProtection="0">
      <alignment vertical="center"/>
    </xf>
    <xf numFmtId="0" fontId="10" fillId="31" borderId="0" applyNumberFormat="0" applyBorder="0" applyProtection="0">
      <alignment vertical="center"/>
    </xf>
    <xf numFmtId="0" fontId="10" fillId="32" borderId="0" applyNumberFormat="0" applyBorder="0" applyProtection="0">
      <alignment vertical="center"/>
    </xf>
    <xf numFmtId="0" fontId="10" fillId="32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29" borderId="0" applyNumberFormat="0" applyBorder="0" applyProtection="0">
      <alignment vertical="center"/>
    </xf>
    <xf numFmtId="0" fontId="10" fillId="33" borderId="0" applyNumberFormat="0" applyBorder="0" applyProtection="0">
      <alignment vertical="center"/>
    </xf>
    <xf numFmtId="0" fontId="10" fillId="33" borderId="0" applyNumberFormat="0" applyBorder="0" applyProtection="0">
      <alignment vertical="center"/>
    </xf>
    <xf numFmtId="0" fontId="15" fillId="23" borderId="13" applyNumberFormat="0" applyProtection="0">
      <alignment vertical="center"/>
    </xf>
    <xf numFmtId="0" fontId="15" fillId="23" borderId="13" applyNumberFormat="0" applyProtection="0">
      <alignment vertical="center"/>
    </xf>
    <xf numFmtId="167" fontId="5" fillId="0" borderId="0"/>
    <xf numFmtId="168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6" fillId="34" borderId="0" applyNumberFormat="0" applyBorder="0" applyProtection="0">
      <alignment vertical="center"/>
    </xf>
    <xf numFmtId="0" fontId="16" fillId="34" borderId="0" applyNumberFormat="0" applyBorder="0" applyProtection="0">
      <alignment vertical="center"/>
    </xf>
    <xf numFmtId="169" fontId="6" fillId="0" borderId="0" applyFill="0" applyBorder="0" applyProtection="0">
      <alignment vertical="center"/>
    </xf>
    <xf numFmtId="0" fontId="17" fillId="24" borderId="0" applyNumberFormat="0" applyBorder="0" applyProtection="0">
      <alignment vertical="center"/>
    </xf>
    <xf numFmtId="0" fontId="17" fillId="24" borderId="0" applyNumberFormat="0" applyBorder="0" applyProtection="0">
      <alignment vertical="center"/>
    </xf>
    <xf numFmtId="0" fontId="2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18" fillId="0" borderId="0">
      <alignment vertical="center"/>
    </xf>
    <xf numFmtId="0" fontId="6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6" fillId="24" borderId="18" applyNumberFormat="0" applyProtection="0">
      <alignment vertical="center"/>
    </xf>
    <xf numFmtId="0" fontId="6" fillId="24" borderId="18" applyNumberFormat="0" applyProtection="0">
      <alignment vertical="center"/>
    </xf>
    <xf numFmtId="9" fontId="6" fillId="0" borderId="0" applyFill="0" applyBorder="0" applyProtection="0">
      <alignment vertical="center"/>
    </xf>
    <xf numFmtId="0" fontId="19" fillId="3" borderId="19" applyNumberFormat="0" applyProtection="0">
      <alignment vertical="center"/>
    </xf>
    <xf numFmtId="0" fontId="19" fillId="3" borderId="19" applyNumberFormat="0" applyProtection="0">
      <alignment vertical="center"/>
    </xf>
    <xf numFmtId="170" fontId="6" fillId="0" borderId="0" applyFill="0" applyBorder="0" applyProtection="0">
      <alignment vertical="center"/>
    </xf>
    <xf numFmtId="170" fontId="6" fillId="0" borderId="0" applyFill="0" applyBorder="0" applyProtection="0">
      <alignment vertical="center"/>
    </xf>
    <xf numFmtId="170" fontId="6" fillId="0" borderId="0" applyFill="0" applyBorder="0" applyProtection="0">
      <alignment vertical="center"/>
    </xf>
    <xf numFmtId="0" fontId="6" fillId="0" borderId="20" applyFill="0" applyProtection="0">
      <alignment vertical="center"/>
    </xf>
    <xf numFmtId="0" fontId="20" fillId="0" borderId="0" applyNumberFormat="0" applyFill="0" applyBorder="0" applyProtection="0">
      <alignment vertical="center"/>
    </xf>
    <xf numFmtId="0" fontId="20" fillId="0" borderId="0" applyNumberFormat="0" applyFill="0" applyBorder="0" applyProtection="0">
      <alignment vertical="center"/>
    </xf>
    <xf numFmtId="0" fontId="21" fillId="0" borderId="0" applyNumberFormat="0" applyFill="0" applyBorder="0" applyProtection="0">
      <alignment vertical="center"/>
    </xf>
    <xf numFmtId="0" fontId="21" fillId="0" borderId="0" applyNumberFormat="0" applyFill="0" applyBorder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4" fillId="0" borderId="21" applyNumberFormat="0" applyFill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3" fillId="0" borderId="0" applyNumberFormat="0" applyFill="0" applyBorder="0" applyProtection="0">
      <alignment vertical="center"/>
    </xf>
    <xf numFmtId="0" fontId="24" fillId="0" borderId="21" applyNumberFormat="0" applyFill="0" applyProtection="0">
      <alignment vertical="center"/>
    </xf>
    <xf numFmtId="0" fontId="22" fillId="0" borderId="0" applyNumberFormat="0" applyFill="0" applyBorder="0" applyProtection="0">
      <alignment vertical="center"/>
    </xf>
    <xf numFmtId="0" fontId="22" fillId="0" borderId="0" applyNumberFormat="0" applyFill="0" applyBorder="0" applyProtection="0">
      <alignment vertical="center"/>
    </xf>
    <xf numFmtId="0" fontId="25" fillId="0" borderId="16" applyNumberFormat="0" applyFill="0" applyProtection="0">
      <alignment vertical="center"/>
    </xf>
    <xf numFmtId="0" fontId="25" fillId="0" borderId="16" applyNumberFormat="0" applyFill="0" applyProtection="0">
      <alignment vertical="center"/>
    </xf>
    <xf numFmtId="0" fontId="26" fillId="0" borderId="17" applyNumberFormat="0" applyFill="0" applyProtection="0">
      <alignment vertical="center"/>
    </xf>
    <xf numFmtId="0" fontId="26" fillId="0" borderId="17" applyNumberFormat="0" applyFill="0" applyProtection="0">
      <alignment vertical="center"/>
    </xf>
    <xf numFmtId="0" fontId="26" fillId="0" borderId="0" applyNumberFormat="0" applyFill="0" applyBorder="0" applyProtection="0">
      <alignment vertical="center"/>
    </xf>
    <xf numFmtId="0" fontId="26" fillId="0" borderId="0" applyNumberFormat="0" applyFill="0" applyBorder="0" applyProtection="0">
      <alignment vertical="center"/>
    </xf>
    <xf numFmtId="0" fontId="27" fillId="0" borderId="22" applyNumberFormat="0" applyFill="0" applyProtection="0">
      <alignment vertical="center"/>
    </xf>
    <xf numFmtId="0" fontId="27" fillId="0" borderId="22" applyNumberFormat="0" applyFill="0" applyProtection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8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43" fontId="6" fillId="0" borderId="0" applyFont="0" applyFill="0" applyBorder="0" applyAlignment="0" applyProtection="0"/>
    <xf numFmtId="0" fontId="31" fillId="0" borderId="0">
      <alignment vertical="center"/>
    </xf>
    <xf numFmtId="0" fontId="5" fillId="27" borderId="0" applyNumberFormat="0" applyBorder="0" applyProtection="0">
      <alignment vertical="center"/>
    </xf>
    <xf numFmtId="0" fontId="5" fillId="24" borderId="0" applyNumberFormat="0" applyBorder="0" applyProtection="0">
      <alignment vertical="center"/>
    </xf>
    <xf numFmtId="0" fontId="6" fillId="0" borderId="20" applyFill="0" applyProtection="0">
      <alignment vertical="center"/>
    </xf>
    <xf numFmtId="43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0" fontId="6" fillId="0" borderId="0">
      <alignment vertical="center"/>
    </xf>
    <xf numFmtId="0" fontId="3" fillId="0" borderId="0"/>
    <xf numFmtId="0" fontId="32" fillId="37" borderId="23" applyFont="0" applyFill="0" applyBorder="0">
      <alignment horizontal="center" vertical="center"/>
    </xf>
    <xf numFmtId="0" fontId="33" fillId="0" borderId="0"/>
    <xf numFmtId="0" fontId="34" fillId="0" borderId="0">
      <alignment vertical="center"/>
    </xf>
    <xf numFmtId="0" fontId="19" fillId="3" borderId="19" applyNumberFormat="0" applyProtection="0">
      <alignment vertical="center"/>
    </xf>
    <xf numFmtId="0" fontId="18" fillId="0" borderId="0">
      <alignment vertical="center"/>
    </xf>
    <xf numFmtId="43" fontId="6" fillId="0" borderId="0" applyFill="0" applyBorder="0" applyAlignment="0" applyProtection="0"/>
    <xf numFmtId="43" fontId="6" fillId="0" borderId="0" applyFill="0" applyBorder="0" applyAlignment="0" applyProtection="0"/>
    <xf numFmtId="0" fontId="29" fillId="0" borderId="0">
      <alignment vertical="center"/>
    </xf>
    <xf numFmtId="0" fontId="6" fillId="0" borderId="0">
      <alignment vertical="center"/>
    </xf>
    <xf numFmtId="0" fontId="3" fillId="2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20" applyFill="0" applyProtection="0">
      <alignment vertical="center"/>
    </xf>
    <xf numFmtId="0" fontId="2" fillId="0" borderId="0"/>
    <xf numFmtId="0" fontId="6" fillId="0" borderId="20" applyFill="0" applyProtection="0">
      <alignment vertical="center"/>
    </xf>
    <xf numFmtId="0" fontId="3" fillId="20" borderId="0" applyNumberFormat="0" applyBorder="0" applyAlignment="0" applyProtection="0"/>
    <xf numFmtId="0" fontId="35" fillId="19" borderId="12" applyNumberFormat="0" applyAlignment="0" applyProtection="0"/>
    <xf numFmtId="0" fontId="9" fillId="22" borderId="0" applyNumberFormat="0" applyBorder="0" applyAlignment="0" applyProtection="0"/>
    <xf numFmtId="0" fontId="36" fillId="17" borderId="0" applyNumberFormat="0" applyBorder="0" applyAlignment="0" applyProtection="0"/>
    <xf numFmtId="0" fontId="37" fillId="18" borderId="0" applyNumberFormat="0" applyBorder="0" applyAlignment="0" applyProtection="0"/>
    <xf numFmtId="41" fontId="6" fillId="0" borderId="0" applyFont="0" applyFill="0" applyBorder="0" applyAlignment="0" applyProtection="0"/>
    <xf numFmtId="0" fontId="6" fillId="0" borderId="20" applyFill="0" applyProtection="0">
      <alignment vertical="center"/>
    </xf>
    <xf numFmtId="43" fontId="6" fillId="0" borderId="0" applyFill="0" applyBorder="0" applyAlignment="0" applyProtection="0"/>
    <xf numFmtId="0" fontId="6" fillId="0" borderId="20" applyFill="0" applyProtection="0">
      <alignment vertical="center"/>
    </xf>
    <xf numFmtId="0" fontId="6" fillId="0" borderId="0"/>
    <xf numFmtId="0" fontId="2" fillId="0" borderId="0"/>
    <xf numFmtId="9" fontId="2" fillId="0" borderId="0" applyFont="0" applyFill="0" applyBorder="0" applyAlignment="0" applyProtection="0"/>
    <xf numFmtId="0" fontId="6" fillId="0" borderId="0">
      <alignment vertical="center"/>
    </xf>
    <xf numFmtId="0" fontId="8" fillId="0" borderId="0">
      <alignment vertical="center"/>
    </xf>
    <xf numFmtId="0" fontId="58" fillId="0" borderId="0" applyNumberFormat="0" applyFill="0" applyBorder="0" applyAlignment="0" applyProtection="0"/>
    <xf numFmtId="0" fontId="77" fillId="0" borderId="0"/>
  </cellStyleXfs>
  <cellXfs count="688">
    <xf numFmtId="0" fontId="0" fillId="0" borderId="0" xfId="0"/>
    <xf numFmtId="0" fontId="38" fillId="4" borderId="5" xfId="0" applyFont="1" applyFill="1" applyBorder="1" applyAlignment="1">
      <alignment horizontal="center" vertical="center"/>
    </xf>
    <xf numFmtId="0" fontId="38" fillId="5" borderId="5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9" fontId="38" fillId="4" borderId="5" xfId="0" applyNumberFormat="1" applyFont="1" applyFill="1" applyBorder="1" applyAlignment="1">
      <alignment horizontal="center" vertical="center"/>
    </xf>
    <xf numFmtId="164" fontId="38" fillId="6" borderId="5" xfId="0" applyNumberFormat="1" applyFont="1" applyFill="1" applyBorder="1" applyAlignment="1">
      <alignment horizontal="center" vertical="center"/>
    </xf>
    <xf numFmtId="164" fontId="38" fillId="7" borderId="5" xfId="0" applyNumberFormat="1" applyFont="1" applyFill="1" applyBorder="1" applyAlignment="1">
      <alignment horizontal="center" vertical="center"/>
    </xf>
    <xf numFmtId="164" fontId="38" fillId="8" borderId="5" xfId="0" applyNumberFormat="1" applyFont="1" applyFill="1" applyBorder="1" applyAlignment="1">
      <alignment horizontal="center" vertical="center"/>
    </xf>
    <xf numFmtId="164" fontId="38" fillId="9" borderId="5" xfId="0" applyNumberFormat="1" applyFont="1" applyFill="1" applyBorder="1" applyAlignment="1">
      <alignment horizontal="center" vertical="center"/>
    </xf>
    <xf numFmtId="164" fontId="38" fillId="10" borderId="5" xfId="0" applyNumberFormat="1" applyFont="1" applyFill="1" applyBorder="1" applyAlignment="1">
      <alignment horizontal="center" vertical="center"/>
    </xf>
    <xf numFmtId="164" fontId="38" fillId="11" borderId="5" xfId="0" applyNumberFormat="1" applyFont="1" applyFill="1" applyBorder="1" applyAlignment="1">
      <alignment horizontal="center" vertical="center"/>
    </xf>
    <xf numFmtId="164" fontId="38" fillId="12" borderId="5" xfId="0" applyNumberFormat="1" applyFont="1" applyFill="1" applyBorder="1" applyAlignment="1">
      <alignment horizontal="center" vertical="center"/>
    </xf>
    <xf numFmtId="164" fontId="38" fillId="13" borderId="5" xfId="0" applyNumberFormat="1" applyFont="1" applyFill="1" applyBorder="1" applyAlignment="1">
      <alignment horizontal="center" vertical="center"/>
    </xf>
    <xf numFmtId="164" fontId="38" fillId="14" borderId="5" xfId="0" applyNumberFormat="1" applyFont="1" applyFill="1" applyBorder="1" applyAlignment="1">
      <alignment horizontal="center" vertical="center"/>
    </xf>
    <xf numFmtId="164" fontId="38" fillId="15" borderId="5" xfId="0" applyNumberFormat="1" applyFont="1" applyFill="1" applyBorder="1" applyAlignment="1">
      <alignment horizontal="center" vertical="center"/>
    </xf>
    <xf numFmtId="164" fontId="38" fillId="16" borderId="5" xfId="0" applyNumberFormat="1" applyFont="1" applyFill="1" applyBorder="1" applyAlignment="1">
      <alignment horizontal="center" vertical="center"/>
    </xf>
    <xf numFmtId="10" fontId="38" fillId="4" borderId="5" xfId="0" applyNumberFormat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8" fillId="0" borderId="0" xfId="0" applyNumberFormat="1" applyFont="1" applyFill="1" applyAlignment="1">
      <alignment horizontal="center" vertical="center"/>
    </xf>
    <xf numFmtId="0" fontId="38" fillId="0" borderId="0" xfId="0" applyNumberFormat="1" applyFont="1" applyFill="1" applyBorder="1" applyAlignment="1">
      <alignment horizontal="center" vertical="center"/>
    </xf>
    <xf numFmtId="0" fontId="38" fillId="0" borderId="5" xfId="2" applyNumberFormat="1" applyFont="1" applyFill="1" applyBorder="1" applyAlignment="1">
      <alignment horizontal="center" vertical="center"/>
    </xf>
    <xf numFmtId="0" fontId="38" fillId="0" borderId="5" xfId="0" applyNumberFormat="1" applyFont="1" applyFill="1" applyBorder="1" applyAlignment="1">
      <alignment horizontal="center" vertical="center"/>
    </xf>
    <xf numFmtId="0" fontId="38" fillId="0" borderId="0" xfId="2" applyNumberFormat="1" applyFont="1" applyFill="1" applyBorder="1" applyAlignment="1">
      <alignment horizontal="center" vertical="center"/>
    </xf>
    <xf numFmtId="0" fontId="38" fillId="0" borderId="5" xfId="0" applyFont="1" applyFill="1" applyBorder="1" applyAlignment="1">
      <alignment horizontal="center" vertical="center"/>
    </xf>
    <xf numFmtId="0" fontId="38" fillId="0" borderId="0" xfId="4" applyNumberFormat="1" applyFont="1" applyFill="1" applyBorder="1" applyAlignment="1">
      <alignment horizontal="center" vertical="center"/>
    </xf>
    <xf numFmtId="0" fontId="38" fillId="0" borderId="0" xfId="4" applyNumberFormat="1" applyFont="1" applyFill="1" applyAlignment="1">
      <alignment horizontal="center" vertical="center"/>
    </xf>
    <xf numFmtId="0" fontId="38" fillId="0" borderId="5" xfId="2" applyFont="1" applyFill="1" applyBorder="1" applyAlignment="1">
      <alignment horizontal="center" vertical="center"/>
    </xf>
    <xf numFmtId="0" fontId="40" fillId="3" borderId="5" xfId="3" applyFont="1" applyBorder="1" applyAlignment="1" applyProtection="1">
      <alignment horizontal="center" vertical="center"/>
    </xf>
    <xf numFmtId="0" fontId="40" fillId="0" borderId="5" xfId="10" applyFont="1" applyBorder="1" applyAlignment="1" applyProtection="1">
      <alignment horizontal="center" vertical="center"/>
    </xf>
    <xf numFmtId="0" fontId="38" fillId="0" borderId="0" xfId="3" applyNumberFormat="1" applyFont="1" applyFill="1" applyAlignment="1" applyProtection="1">
      <alignment horizontal="center" vertical="center"/>
    </xf>
    <xf numFmtId="0" fontId="38" fillId="0" borderId="0" xfId="0" applyNumberFormat="1" applyFont="1" applyFill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38" fillId="0" borderId="3" xfId="0" applyNumberFormat="1" applyFont="1" applyFill="1" applyBorder="1" applyAlignment="1" applyProtection="1">
      <alignment horizontal="center" vertical="center"/>
    </xf>
    <xf numFmtId="0" fontId="38" fillId="0" borderId="4" xfId="0" applyNumberFormat="1" applyFont="1" applyFill="1" applyBorder="1" applyAlignment="1" applyProtection="1">
      <alignment horizontal="center" vertical="center"/>
    </xf>
    <xf numFmtId="9" fontId="38" fillId="0" borderId="5" xfId="1" applyFont="1" applyFill="1" applyBorder="1" applyAlignment="1" applyProtection="1">
      <alignment horizontal="center" vertical="center"/>
    </xf>
    <xf numFmtId="0" fontId="38" fillId="0" borderId="5" xfId="3" applyNumberFormat="1" applyFont="1" applyFill="1" applyBorder="1" applyAlignment="1" applyProtection="1">
      <alignment horizontal="center" vertical="center"/>
    </xf>
    <xf numFmtId="0" fontId="38" fillId="0" borderId="6" xfId="0" applyNumberFormat="1" applyFont="1" applyFill="1" applyBorder="1" applyAlignment="1" applyProtection="1">
      <alignment horizontal="center" vertical="center"/>
    </xf>
    <xf numFmtId="0" fontId="38" fillId="0" borderId="7" xfId="0" applyNumberFormat="1" applyFont="1" applyFill="1" applyBorder="1" applyAlignment="1" applyProtection="1">
      <alignment horizontal="center" vertical="center"/>
    </xf>
    <xf numFmtId="0" fontId="38" fillId="0" borderId="8" xfId="0" applyNumberFormat="1" applyFont="1" applyFill="1" applyBorder="1" applyAlignment="1" applyProtection="1">
      <alignment horizontal="center" vertical="center"/>
    </xf>
    <xf numFmtId="0" fontId="38" fillId="0" borderId="9" xfId="0" applyNumberFormat="1" applyFont="1" applyFill="1" applyBorder="1" applyAlignment="1" applyProtection="1">
      <alignment horizontal="center" vertical="center"/>
    </xf>
    <xf numFmtId="0" fontId="38" fillId="0" borderId="0" xfId="3" applyNumberFormat="1" applyFont="1" applyFill="1" applyBorder="1" applyAlignment="1" applyProtection="1">
      <alignment horizontal="center" vertical="center"/>
    </xf>
    <xf numFmtId="0" fontId="38" fillId="0" borderId="5" xfId="0" applyNumberFormat="1" applyFont="1" applyFill="1" applyBorder="1" applyAlignment="1" applyProtection="1">
      <alignment horizontal="center" vertical="center"/>
    </xf>
    <xf numFmtId="165" fontId="38" fillId="0" borderId="5" xfId="3" applyNumberFormat="1" applyFont="1" applyFill="1" applyBorder="1" applyAlignment="1" applyProtection="1">
      <alignment horizontal="center" vertical="center"/>
    </xf>
    <xf numFmtId="166" fontId="38" fillId="0" borderId="5" xfId="0" applyNumberFormat="1" applyFont="1" applyFill="1" applyBorder="1" applyAlignment="1" applyProtection="1">
      <alignment horizontal="center" vertical="center"/>
    </xf>
    <xf numFmtId="0" fontId="38" fillId="0" borderId="3" xfId="3" applyNumberFormat="1" applyFont="1" applyFill="1" applyBorder="1" applyAlignment="1" applyProtection="1">
      <alignment horizontal="center" vertical="center"/>
    </xf>
    <xf numFmtId="0" fontId="38" fillId="0" borderId="4" xfId="3" applyNumberFormat="1" applyFont="1" applyFill="1" applyBorder="1" applyAlignment="1" applyProtection="1">
      <alignment horizontal="center" vertical="center"/>
    </xf>
    <xf numFmtId="0" fontId="38" fillId="0" borderId="5" xfId="1" applyNumberFormat="1" applyFont="1" applyFill="1" applyBorder="1" applyAlignment="1" applyProtection="1">
      <alignment horizontal="center" vertical="center"/>
    </xf>
    <xf numFmtId="0" fontId="38" fillId="0" borderId="5" xfId="0" applyFont="1" applyFill="1" applyBorder="1" applyAlignment="1" applyProtection="1">
      <alignment horizontal="center" vertical="center"/>
    </xf>
    <xf numFmtId="0" fontId="38" fillId="0" borderId="6" xfId="3" applyNumberFormat="1" applyFont="1" applyFill="1" applyBorder="1" applyAlignment="1" applyProtection="1">
      <alignment horizontal="center" vertical="center"/>
    </xf>
    <xf numFmtId="0" fontId="38" fillId="0" borderId="7" xfId="3" applyNumberFormat="1" applyFont="1" applyFill="1" applyBorder="1" applyAlignment="1" applyProtection="1">
      <alignment horizontal="center" vertical="center"/>
    </xf>
    <xf numFmtId="0" fontId="38" fillId="0" borderId="8" xfId="3" applyNumberFormat="1" applyFont="1" applyFill="1" applyBorder="1" applyAlignment="1" applyProtection="1">
      <alignment horizontal="center" vertical="center"/>
    </xf>
    <xf numFmtId="0" fontId="38" fillId="0" borderId="9" xfId="3" applyNumberFormat="1" applyFont="1" applyFill="1" applyBorder="1" applyAlignment="1" applyProtection="1">
      <alignment horizontal="center" vertical="center"/>
    </xf>
    <xf numFmtId="0" fontId="38" fillId="0" borderId="0" xfId="0" applyNumberFormat="1" applyFont="1" applyFill="1" applyBorder="1" applyAlignment="1" applyProtection="1">
      <alignment horizontal="center" vertical="center"/>
    </xf>
    <xf numFmtId="0" fontId="38" fillId="38" borderId="5" xfId="0" applyFont="1" applyFill="1" applyBorder="1" applyAlignment="1" applyProtection="1">
      <alignment horizontal="center" vertical="center"/>
    </xf>
    <xf numFmtId="0" fontId="38" fillId="38" borderId="5" xfId="3" applyNumberFormat="1" applyFont="1" applyFill="1" applyBorder="1" applyAlignment="1" applyProtection="1">
      <alignment horizontal="center" vertical="center"/>
    </xf>
    <xf numFmtId="0" fontId="38" fillId="0" borderId="5" xfId="3" applyFont="1" applyFill="1" applyBorder="1" applyAlignment="1" applyProtection="1">
      <alignment horizontal="center" vertical="center"/>
    </xf>
    <xf numFmtId="165" fontId="38" fillId="0" borderId="5" xfId="0" applyNumberFormat="1" applyFont="1" applyFill="1" applyBorder="1" applyAlignment="1" applyProtection="1">
      <alignment horizontal="center" vertical="center"/>
    </xf>
    <xf numFmtId="1" fontId="38" fillId="0" borderId="5" xfId="0" applyNumberFormat="1" applyFont="1" applyFill="1" applyBorder="1" applyAlignment="1" applyProtection="1">
      <alignment horizontal="center" vertical="center"/>
    </xf>
    <xf numFmtId="0" fontId="38" fillId="0" borderId="1" xfId="0" applyFont="1" applyFill="1" applyBorder="1" applyAlignment="1" applyProtection="1">
      <alignment horizontal="center" vertical="center"/>
    </xf>
    <xf numFmtId="0" fontId="38" fillId="38" borderId="5" xfId="3" applyNumberFormat="1" applyFont="1" applyFill="1" applyBorder="1" applyAlignment="1" applyProtection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41" fillId="3" borderId="0" xfId="3" applyFont="1" applyAlignment="1" applyProtection="1">
      <alignment horizontal="center" vertical="center"/>
    </xf>
    <xf numFmtId="0" fontId="41" fillId="3" borderId="0" xfId="3" applyFont="1" applyBorder="1" applyAlignment="1" applyProtection="1">
      <alignment horizontal="center" vertical="center"/>
    </xf>
    <xf numFmtId="0" fontId="40" fillId="0" borderId="0" xfId="4" applyFont="1" applyAlignment="1" applyProtection="1">
      <alignment horizontal="center" vertical="center"/>
    </xf>
    <xf numFmtId="0" fontId="38" fillId="0" borderId="5" xfId="2" applyNumberFormat="1" applyFont="1" applyFill="1" applyBorder="1" applyAlignment="1" applyProtection="1">
      <alignment horizontal="center" vertical="center"/>
    </xf>
    <xf numFmtId="0" fontId="38" fillId="0" borderId="0" xfId="2" applyNumberFormat="1" applyFont="1" applyFill="1" applyBorder="1" applyAlignment="1" applyProtection="1">
      <alignment horizontal="center" vertical="center"/>
    </xf>
    <xf numFmtId="0" fontId="38" fillId="0" borderId="0" xfId="4" applyNumberFormat="1" applyFont="1" applyFill="1" applyBorder="1" applyAlignment="1" applyProtection="1">
      <alignment horizontal="center" vertical="center"/>
    </xf>
    <xf numFmtId="0" fontId="38" fillId="0" borderId="0" xfId="4" applyNumberFormat="1" applyFont="1" applyFill="1" applyAlignment="1" applyProtection="1">
      <alignment horizontal="center" vertical="center"/>
    </xf>
    <xf numFmtId="0" fontId="38" fillId="0" borderId="5" xfId="2" applyFont="1" applyFill="1" applyBorder="1" applyAlignment="1" applyProtection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0" fontId="39" fillId="40" borderId="0" xfId="0" applyFont="1" applyFill="1" applyAlignment="1">
      <alignment horizontal="center" vertical="center"/>
    </xf>
    <xf numFmtId="0" fontId="39" fillId="0" borderId="0" xfId="0" applyFont="1" applyFill="1" applyAlignment="1">
      <alignment horizontal="center" vertical="center"/>
    </xf>
    <xf numFmtId="2" fontId="43" fillId="40" borderId="32" xfId="7" applyNumberFormat="1" applyFont="1" applyFill="1" applyBorder="1" applyAlignment="1" applyProtection="1">
      <alignment horizontal="center" vertical="center"/>
      <protection locked="0"/>
    </xf>
    <xf numFmtId="0" fontId="39" fillId="0" borderId="0" xfId="0" applyNumberFormat="1" applyFont="1" applyFill="1" applyBorder="1" applyAlignment="1">
      <alignment horizontal="center" vertical="center"/>
    </xf>
    <xf numFmtId="0" fontId="39" fillId="40" borderId="5" xfId="0" applyNumberFormat="1" applyFont="1" applyFill="1" applyBorder="1" applyAlignment="1" applyProtection="1">
      <alignment horizontal="center" vertical="center"/>
    </xf>
    <xf numFmtId="0" fontId="39" fillId="0" borderId="0" xfId="0" applyNumberFormat="1" applyFont="1" applyAlignment="1" applyProtection="1">
      <alignment horizontal="center" vertical="center"/>
    </xf>
    <xf numFmtId="164" fontId="39" fillId="40" borderId="5" xfId="0" applyNumberFormat="1" applyFont="1" applyFill="1" applyBorder="1" applyAlignment="1" applyProtection="1">
      <alignment horizontal="center" vertical="center"/>
    </xf>
    <xf numFmtId="1" fontId="39" fillId="40" borderId="5" xfId="0" applyNumberFormat="1" applyFont="1" applyFill="1" applyBorder="1" applyAlignment="1" applyProtection="1">
      <alignment horizontal="center" vertical="center"/>
    </xf>
    <xf numFmtId="0" fontId="42" fillId="41" borderId="5" xfId="0" applyNumberFormat="1" applyFont="1" applyFill="1" applyBorder="1" applyAlignment="1" applyProtection="1">
      <alignment horizontal="center" vertical="center"/>
    </xf>
    <xf numFmtId="0" fontId="42" fillId="42" borderId="5" xfId="0" applyNumberFormat="1" applyFont="1" applyFill="1" applyBorder="1" applyAlignment="1" applyProtection="1">
      <alignment horizontal="center" vertical="center"/>
    </xf>
    <xf numFmtId="0" fontId="42" fillId="43" borderId="5" xfId="0" applyNumberFormat="1" applyFont="1" applyFill="1" applyBorder="1" applyAlignment="1" applyProtection="1">
      <alignment horizontal="center" vertical="center"/>
    </xf>
    <xf numFmtId="0" fontId="42" fillId="44" borderId="5" xfId="0" applyNumberFormat="1" applyFont="1" applyFill="1" applyBorder="1" applyAlignment="1" applyProtection="1">
      <alignment horizontal="center" vertical="center"/>
    </xf>
    <xf numFmtId="2" fontId="43" fillId="40" borderId="11" xfId="7" applyNumberFormat="1" applyFont="1" applyFill="1" applyBorder="1" applyAlignment="1" applyProtection="1">
      <alignment horizontal="center" vertical="center"/>
      <protection locked="0"/>
    </xf>
    <xf numFmtId="2" fontId="43" fillId="40" borderId="5" xfId="0" applyNumberFormat="1" applyFont="1" applyFill="1" applyBorder="1" applyAlignment="1" applyProtection="1">
      <alignment horizontal="center" vertical="center"/>
      <protection locked="0"/>
    </xf>
    <xf numFmtId="1" fontId="43" fillId="40" borderId="5" xfId="0" applyNumberFormat="1" applyFont="1" applyFill="1" applyBorder="1" applyAlignment="1" applyProtection="1">
      <alignment horizontal="center" vertical="center"/>
      <protection locked="0"/>
    </xf>
    <xf numFmtId="0" fontId="40" fillId="0" borderId="5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 readingOrder="1"/>
    </xf>
    <xf numFmtId="0" fontId="39" fillId="0" borderId="5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9" fillId="0" borderId="35" xfId="0" applyFont="1" applyBorder="1" applyAlignment="1">
      <alignment horizontal="center" vertical="center"/>
    </xf>
    <xf numFmtId="0" fontId="39" fillId="0" borderId="36" xfId="0" applyFont="1" applyBorder="1" applyAlignment="1">
      <alignment horizontal="center" vertical="center"/>
    </xf>
    <xf numFmtId="0" fontId="40" fillId="0" borderId="36" xfId="0" applyFont="1" applyBorder="1" applyAlignment="1">
      <alignment horizontal="center" vertical="center"/>
    </xf>
    <xf numFmtId="0" fontId="40" fillId="0" borderId="37" xfId="0" applyFont="1" applyBorder="1" applyAlignment="1">
      <alignment horizontal="center" vertical="center"/>
    </xf>
    <xf numFmtId="0" fontId="40" fillId="0" borderId="38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8" borderId="5" xfId="0" applyFont="1" applyFill="1" applyBorder="1" applyAlignment="1">
      <alignment horizontal="center" vertical="center"/>
    </xf>
    <xf numFmtId="0" fontId="40" fillId="8" borderId="41" xfId="0" applyFont="1" applyFill="1" applyBorder="1" applyAlignment="1">
      <alignment horizontal="center" vertical="center"/>
    </xf>
    <xf numFmtId="0" fontId="39" fillId="8" borderId="5" xfId="0" applyFont="1" applyFill="1" applyBorder="1" applyAlignment="1">
      <alignment horizontal="center" vertical="center"/>
    </xf>
    <xf numFmtId="0" fontId="40" fillId="8" borderId="42" xfId="0" applyFont="1" applyFill="1" applyBorder="1" applyAlignment="1">
      <alignment horizontal="center" vertical="center"/>
    </xf>
    <xf numFmtId="0" fontId="40" fillId="8" borderId="43" xfId="0" applyFont="1" applyFill="1" applyBorder="1" applyAlignment="1">
      <alignment horizontal="center" vertical="center"/>
    </xf>
    <xf numFmtId="0" fontId="40" fillId="0" borderId="35" xfId="0" applyFont="1" applyBorder="1" applyAlignment="1">
      <alignment horizontal="center" vertical="center"/>
    </xf>
    <xf numFmtId="2" fontId="39" fillId="0" borderId="5" xfId="0" applyNumberFormat="1" applyFont="1" applyBorder="1" applyAlignment="1">
      <alignment horizontal="center" vertical="center"/>
    </xf>
    <xf numFmtId="2" fontId="40" fillId="0" borderId="35" xfId="0" applyNumberFormat="1" applyFont="1" applyBorder="1" applyAlignment="1">
      <alignment horizontal="center" vertical="center"/>
    </xf>
    <xf numFmtId="2" fontId="40" fillId="0" borderId="36" xfId="0" applyNumberFormat="1" applyFont="1" applyBorder="1" applyAlignment="1">
      <alignment horizontal="center" vertical="center"/>
    </xf>
    <xf numFmtId="2" fontId="40" fillId="0" borderId="39" xfId="0" applyNumberFormat="1" applyFont="1" applyBorder="1" applyAlignment="1">
      <alignment horizontal="center" vertical="center"/>
    </xf>
    <xf numFmtId="2" fontId="40" fillId="0" borderId="0" xfId="0" applyNumberFormat="1" applyFont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2" fontId="40" fillId="0" borderId="37" xfId="0" applyNumberFormat="1" applyFont="1" applyBorder="1" applyAlignment="1">
      <alignment horizontal="center" vertical="center"/>
    </xf>
    <xf numFmtId="2" fontId="39" fillId="0" borderId="37" xfId="0" applyNumberFormat="1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2" fontId="40" fillId="0" borderId="7" xfId="0" applyNumberFormat="1" applyFont="1" applyBorder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2" fontId="40" fillId="0" borderId="4" xfId="0" applyNumberFormat="1" applyFont="1" applyBorder="1" applyAlignment="1">
      <alignment horizontal="center" vertical="center"/>
    </xf>
    <xf numFmtId="2" fontId="40" fillId="0" borderId="46" xfId="0" applyNumberFormat="1" applyFont="1" applyBorder="1" applyAlignment="1">
      <alignment horizontal="center" vertical="center"/>
    </xf>
    <xf numFmtId="2" fontId="39" fillId="0" borderId="46" xfId="0" applyNumberFormat="1" applyFont="1" applyBorder="1" applyAlignment="1">
      <alignment horizontal="center" vertical="center"/>
    </xf>
    <xf numFmtId="0" fontId="39" fillId="0" borderId="46" xfId="0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8" borderId="47" xfId="0" applyFont="1" applyFill="1" applyBorder="1" applyAlignment="1">
      <alignment horizontal="center" vertical="center"/>
    </xf>
    <xf numFmtId="0" fontId="39" fillId="8" borderId="48" xfId="0" applyFont="1" applyFill="1" applyBorder="1" applyAlignment="1">
      <alignment horizontal="center" vertical="center"/>
    </xf>
    <xf numFmtId="0" fontId="40" fillId="8" borderId="49" xfId="0" applyFont="1" applyFill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2" fontId="40" fillId="0" borderId="42" xfId="0" applyNumberFormat="1" applyFont="1" applyBorder="1" applyAlignment="1">
      <alignment horizontal="center" vertical="center"/>
    </xf>
    <xf numFmtId="2" fontId="40" fillId="0" borderId="5" xfId="0" applyNumberFormat="1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40" fillId="47" borderId="5" xfId="0" applyFont="1" applyFill="1" applyBorder="1" applyAlignment="1">
      <alignment horizontal="center" vertical="center"/>
    </xf>
    <xf numFmtId="0" fontId="39" fillId="40" borderId="5" xfId="0" applyFont="1" applyFill="1" applyBorder="1" applyAlignment="1">
      <alignment horizontal="center" vertical="center"/>
    </xf>
    <xf numFmtId="2" fontId="39" fillId="40" borderId="5" xfId="0" applyNumberFormat="1" applyFont="1" applyFill="1" applyBorder="1" applyAlignment="1">
      <alignment horizontal="center" vertical="center"/>
    </xf>
    <xf numFmtId="9" fontId="40" fillId="0" borderId="5" xfId="0" applyNumberFormat="1" applyFont="1" applyBorder="1" applyAlignment="1">
      <alignment horizontal="center" vertical="center"/>
    </xf>
    <xf numFmtId="164" fontId="40" fillId="0" borderId="41" xfId="0" applyNumberFormat="1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42" xfId="0" applyFont="1" applyBorder="1" applyAlignment="1">
      <alignment horizontal="center" vertical="center"/>
    </xf>
    <xf numFmtId="2" fontId="40" fillId="40" borderId="5" xfId="0" applyNumberFormat="1" applyFont="1" applyFill="1" applyBorder="1" applyAlignment="1">
      <alignment horizontal="center" vertical="center"/>
    </xf>
    <xf numFmtId="0" fontId="40" fillId="0" borderId="43" xfId="0" applyFont="1" applyBorder="1" applyAlignment="1">
      <alignment horizontal="center" vertical="center"/>
    </xf>
    <xf numFmtId="0" fontId="39" fillId="39" borderId="0" xfId="0" applyFont="1" applyFill="1" applyAlignment="1">
      <alignment horizontal="center" vertical="center"/>
    </xf>
    <xf numFmtId="0" fontId="45" fillId="39" borderId="0" xfId="0" applyFont="1" applyFill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40" fillId="8" borderId="50" xfId="0" applyFont="1" applyFill="1" applyBorder="1" applyAlignment="1">
      <alignment horizontal="center" vertical="center"/>
    </xf>
    <xf numFmtId="0" fontId="40" fillId="8" borderId="51" xfId="0" applyFont="1" applyFill="1" applyBorder="1" applyAlignment="1">
      <alignment horizontal="center" vertical="center"/>
    </xf>
    <xf numFmtId="0" fontId="40" fillId="8" borderId="52" xfId="0" applyFont="1" applyFill="1" applyBorder="1" applyAlignment="1">
      <alignment horizontal="center" vertical="center"/>
    </xf>
    <xf numFmtId="0" fontId="40" fillId="8" borderId="53" xfId="0" applyFont="1" applyFill="1" applyBorder="1" applyAlignment="1">
      <alignment horizontal="center" vertical="center"/>
    </xf>
    <xf numFmtId="0" fontId="40" fillId="8" borderId="54" xfId="0" applyFont="1" applyFill="1" applyBorder="1" applyAlignment="1">
      <alignment horizontal="center" vertical="center"/>
    </xf>
    <xf numFmtId="9" fontId="40" fillId="0" borderId="2" xfId="0" applyNumberFormat="1" applyFont="1" applyBorder="1" applyAlignment="1">
      <alignment horizontal="center" vertical="center"/>
    </xf>
    <xf numFmtId="2" fontId="40" fillId="0" borderId="43" xfId="0" applyNumberFormat="1" applyFont="1" applyBorder="1" applyAlignment="1">
      <alignment horizontal="center" vertical="center"/>
    </xf>
    <xf numFmtId="9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9" fillId="0" borderId="0" xfId="205" applyFont="1" applyAlignment="1">
      <alignment horizontal="center" vertical="center"/>
    </xf>
    <xf numFmtId="0" fontId="40" fillId="0" borderId="58" xfId="205" applyFont="1" applyBorder="1" applyAlignment="1">
      <alignment horizontal="center" vertical="center"/>
    </xf>
    <xf numFmtId="0" fontId="49" fillId="0" borderId="37" xfId="205" applyFont="1" applyBorder="1" applyAlignment="1">
      <alignment horizontal="center" vertical="center" readingOrder="1"/>
    </xf>
    <xf numFmtId="0" fontId="39" fillId="0" borderId="8" xfId="205" applyFont="1" applyBorder="1" applyAlignment="1">
      <alignment horizontal="center" vertical="center"/>
    </xf>
    <xf numFmtId="0" fontId="40" fillId="0" borderId="0" xfId="205" applyFont="1" applyAlignment="1">
      <alignment horizontal="center" vertical="center"/>
    </xf>
    <xf numFmtId="0" fontId="39" fillId="0" borderId="35" xfId="205" applyFont="1" applyBorder="1" applyAlignment="1">
      <alignment horizontal="center" vertical="center"/>
    </xf>
    <xf numFmtId="0" fontId="39" fillId="0" borderId="36" xfId="205" applyFont="1" applyBorder="1" applyAlignment="1">
      <alignment horizontal="center" vertical="center"/>
    </xf>
    <xf numFmtId="0" fontId="40" fillId="0" borderId="36" xfId="205" applyFont="1" applyBorder="1" applyAlignment="1">
      <alignment horizontal="center" vertical="center"/>
    </xf>
    <xf numFmtId="0" fontId="40" fillId="0" borderId="37" xfId="205" applyFont="1" applyBorder="1" applyAlignment="1">
      <alignment horizontal="center" vertical="center"/>
    </xf>
    <xf numFmtId="0" fontId="40" fillId="0" borderId="38" xfId="205" applyFont="1" applyBorder="1" applyAlignment="1">
      <alignment horizontal="center" vertical="center"/>
    </xf>
    <xf numFmtId="0" fontId="40" fillId="0" borderId="53" xfId="205" applyFont="1" applyBorder="1" applyAlignment="1">
      <alignment horizontal="center" vertical="center"/>
    </xf>
    <xf numFmtId="0" fontId="49" fillId="0" borderId="0" xfId="205" applyFont="1" applyAlignment="1">
      <alignment horizontal="center" vertical="center" readingOrder="1"/>
    </xf>
    <xf numFmtId="0" fontId="39" fillId="0" borderId="6" xfId="205" applyFont="1" applyBorder="1" applyAlignment="1">
      <alignment horizontal="center" vertical="center"/>
    </xf>
    <xf numFmtId="0" fontId="40" fillId="0" borderId="39" xfId="205" applyFont="1" applyBorder="1" applyAlignment="1">
      <alignment horizontal="center" vertical="center"/>
    </xf>
    <xf numFmtId="0" fontId="40" fillId="0" borderId="40" xfId="205" applyFont="1" applyBorder="1" applyAlignment="1">
      <alignment horizontal="center" vertical="center"/>
    </xf>
    <xf numFmtId="0" fontId="40" fillId="0" borderId="59" xfId="205" applyFont="1" applyBorder="1" applyAlignment="1">
      <alignment horizontal="center" vertical="center"/>
    </xf>
    <xf numFmtId="0" fontId="49" fillId="0" borderId="46" xfId="205" applyFont="1" applyBorder="1" applyAlignment="1">
      <alignment horizontal="center" vertical="center" readingOrder="1"/>
    </xf>
    <xf numFmtId="0" fontId="39" fillId="0" borderId="3" xfId="205" applyFont="1" applyBorder="1" applyAlignment="1">
      <alignment horizontal="center" vertical="center"/>
    </xf>
    <xf numFmtId="0" fontId="40" fillId="0" borderId="2" xfId="205" applyFont="1" applyBorder="1" applyAlignment="1">
      <alignment horizontal="center" vertical="center"/>
    </xf>
    <xf numFmtId="0" fontId="40" fillId="8" borderId="51" xfId="205" applyFont="1" applyFill="1" applyBorder="1" applyAlignment="1">
      <alignment horizontal="center" vertical="center"/>
    </xf>
    <xf numFmtId="0" fontId="40" fillId="0" borderId="1" xfId="205" applyFont="1" applyBorder="1" applyAlignment="1">
      <alignment horizontal="center" vertical="center"/>
    </xf>
    <xf numFmtId="0" fontId="40" fillId="8" borderId="41" xfId="205" applyFont="1" applyFill="1" applyBorder="1" applyAlignment="1">
      <alignment horizontal="center" vertical="center"/>
    </xf>
    <xf numFmtId="0" fontId="39" fillId="8" borderId="5" xfId="205" applyFont="1" applyFill="1" applyBorder="1" applyAlignment="1">
      <alignment horizontal="center" vertical="center"/>
    </xf>
    <xf numFmtId="0" fontId="40" fillId="0" borderId="35" xfId="205" applyFont="1" applyBorder="1" applyAlignment="1">
      <alignment horizontal="center" vertical="center"/>
    </xf>
    <xf numFmtId="0" fontId="40" fillId="0" borderId="4" xfId="205" applyFont="1" applyBorder="1" applyAlignment="1">
      <alignment horizontal="center" vertical="center"/>
    </xf>
    <xf numFmtId="0" fontId="40" fillId="8" borderId="60" xfId="205" applyFont="1" applyFill="1" applyBorder="1" applyAlignment="1">
      <alignment horizontal="center" vertical="center"/>
    </xf>
    <xf numFmtId="0" fontId="40" fillId="8" borderId="61" xfId="205" applyFont="1" applyFill="1" applyBorder="1" applyAlignment="1">
      <alignment horizontal="center" vertical="center"/>
    </xf>
    <xf numFmtId="0" fontId="40" fillId="0" borderId="5" xfId="205" applyFont="1" applyBorder="1" applyAlignment="1">
      <alignment horizontal="center" vertical="center"/>
    </xf>
    <xf numFmtId="2" fontId="40" fillId="0" borderId="35" xfId="205" applyNumberFormat="1" applyFont="1" applyBorder="1" applyAlignment="1">
      <alignment horizontal="center" vertical="center"/>
    </xf>
    <xf numFmtId="2" fontId="40" fillId="0" borderId="36" xfId="205" applyNumberFormat="1" applyFont="1" applyBorder="1" applyAlignment="1">
      <alignment horizontal="center" vertical="center"/>
    </xf>
    <xf numFmtId="2" fontId="40" fillId="0" borderId="39" xfId="205" applyNumberFormat="1" applyFont="1" applyBorder="1" applyAlignment="1">
      <alignment horizontal="center" vertical="center"/>
    </xf>
    <xf numFmtId="2" fontId="40" fillId="0" borderId="0" xfId="205" applyNumberFormat="1" applyFont="1" applyAlignment="1">
      <alignment horizontal="center" vertical="center"/>
    </xf>
    <xf numFmtId="2" fontId="40" fillId="0" borderId="9" xfId="205" applyNumberFormat="1" applyFont="1" applyBorder="1" applyAlignment="1">
      <alignment horizontal="center" vertical="center"/>
    </xf>
    <xf numFmtId="2" fontId="40" fillId="0" borderId="37" xfId="205" applyNumberFormat="1" applyFont="1" applyBorder="1" applyAlignment="1">
      <alignment horizontal="center" vertical="center"/>
    </xf>
    <xf numFmtId="2" fontId="39" fillId="0" borderId="37" xfId="205" applyNumberFormat="1" applyFont="1" applyBorder="1" applyAlignment="1">
      <alignment horizontal="center" vertical="center"/>
    </xf>
    <xf numFmtId="0" fontId="39" fillId="0" borderId="37" xfId="205" applyFont="1" applyBorder="1" applyAlignment="1">
      <alignment horizontal="center" vertical="center"/>
    </xf>
    <xf numFmtId="0" fontId="40" fillId="0" borderId="8" xfId="205" applyFont="1" applyBorder="1" applyAlignment="1">
      <alignment horizontal="center" vertical="center"/>
    </xf>
    <xf numFmtId="2" fontId="40" fillId="0" borderId="7" xfId="205" applyNumberFormat="1" applyFont="1" applyBorder="1" applyAlignment="1">
      <alignment horizontal="center" vertical="center"/>
    </xf>
    <xf numFmtId="2" fontId="39" fillId="0" borderId="0" xfId="205" applyNumberFormat="1" applyFont="1" applyAlignment="1">
      <alignment horizontal="center" vertical="center"/>
    </xf>
    <xf numFmtId="0" fontId="40" fillId="0" borderId="6" xfId="205" applyFont="1" applyBorder="1" applyAlignment="1">
      <alignment horizontal="center" vertical="center"/>
    </xf>
    <xf numFmtId="2" fontId="39" fillId="0" borderId="46" xfId="205" applyNumberFormat="1" applyFont="1" applyBorder="1" applyAlignment="1">
      <alignment horizontal="center" vertical="center"/>
    </xf>
    <xf numFmtId="0" fontId="39" fillId="0" borderId="46" xfId="205" applyFont="1" applyBorder="1" applyAlignment="1">
      <alignment horizontal="center" vertical="center"/>
    </xf>
    <xf numFmtId="0" fontId="40" fillId="8" borderId="53" xfId="205" applyFont="1" applyFill="1" applyBorder="1" applyAlignment="1">
      <alignment horizontal="center" vertical="center"/>
    </xf>
    <xf numFmtId="0" fontId="40" fillId="8" borderId="54" xfId="205" applyFont="1" applyFill="1" applyBorder="1" applyAlignment="1">
      <alignment horizontal="center" vertical="center"/>
    </xf>
    <xf numFmtId="2" fontId="40" fillId="0" borderId="41" xfId="205" applyNumberFormat="1" applyFont="1" applyBorder="1" applyAlignment="1">
      <alignment horizontal="center" vertical="center"/>
    </xf>
    <xf numFmtId="2" fontId="40" fillId="0" borderId="42" xfId="205" applyNumberFormat="1" applyFont="1" applyBorder="1" applyAlignment="1">
      <alignment horizontal="center" vertical="center"/>
    </xf>
    <xf numFmtId="0" fontId="40" fillId="38" borderId="5" xfId="205" applyFont="1" applyFill="1" applyBorder="1" applyAlignment="1">
      <alignment horizontal="center" vertical="center"/>
    </xf>
    <xf numFmtId="2" fontId="39" fillId="38" borderId="5" xfId="205" applyNumberFormat="1" applyFont="1" applyFill="1" applyBorder="1" applyAlignment="1">
      <alignment horizontal="center" vertical="center"/>
    </xf>
    <xf numFmtId="0" fontId="39" fillId="0" borderId="5" xfId="205" applyFont="1" applyBorder="1" applyAlignment="1">
      <alignment horizontal="center" vertical="center"/>
    </xf>
    <xf numFmtId="0" fontId="40" fillId="0" borderId="62" xfId="205" applyFont="1" applyBorder="1" applyAlignment="1">
      <alignment horizontal="center" vertical="center"/>
    </xf>
    <xf numFmtId="0" fontId="40" fillId="0" borderId="63" xfId="205" applyFont="1" applyBorder="1" applyAlignment="1">
      <alignment horizontal="center" vertical="center"/>
    </xf>
    <xf numFmtId="0" fontId="40" fillId="0" borderId="64" xfId="205" applyFont="1" applyBorder="1" applyAlignment="1">
      <alignment horizontal="center" vertical="center"/>
    </xf>
    <xf numFmtId="0" fontId="40" fillId="47" borderId="35" xfId="205" applyFont="1" applyFill="1" applyBorder="1" applyAlignment="1">
      <alignment horizontal="center" vertical="center"/>
    </xf>
    <xf numFmtId="0" fontId="39" fillId="40" borderId="63" xfId="205" applyFont="1" applyFill="1" applyBorder="1" applyAlignment="1">
      <alignment horizontal="center" vertical="center"/>
    </xf>
    <xf numFmtId="2" fontId="39" fillId="40" borderId="63" xfId="205" applyNumberFormat="1" applyFont="1" applyFill="1" applyBorder="1" applyAlignment="1">
      <alignment horizontal="center" vertical="center"/>
    </xf>
    <xf numFmtId="9" fontId="40" fillId="0" borderId="43" xfId="205" applyNumberFormat="1" applyFont="1" applyBorder="1" applyAlignment="1">
      <alignment horizontal="center" vertical="center"/>
    </xf>
    <xf numFmtId="164" fontId="40" fillId="0" borderId="41" xfId="205" applyNumberFormat="1" applyFont="1" applyBorder="1" applyAlignment="1">
      <alignment horizontal="center" vertical="center"/>
    </xf>
    <xf numFmtId="164" fontId="40" fillId="0" borderId="42" xfId="205" applyNumberFormat="1" applyFont="1" applyBorder="1" applyAlignment="1">
      <alignment horizontal="center" vertical="center"/>
    </xf>
    <xf numFmtId="2" fontId="40" fillId="0" borderId="5" xfId="205" applyNumberFormat="1" applyFont="1" applyBorder="1" applyAlignment="1">
      <alignment horizontal="center" vertical="center"/>
    </xf>
    <xf numFmtId="2" fontId="40" fillId="0" borderId="63" xfId="205" applyNumberFormat="1" applyFont="1" applyBorder="1" applyAlignment="1">
      <alignment horizontal="center" vertical="center"/>
    </xf>
    <xf numFmtId="0" fontId="40" fillId="0" borderId="65" xfId="205" applyFont="1" applyBorder="1" applyAlignment="1">
      <alignment horizontal="center" vertical="center"/>
    </xf>
    <xf numFmtId="0" fontId="40" fillId="47" borderId="39" xfId="205" applyFont="1" applyFill="1" applyBorder="1" applyAlignment="1">
      <alignment horizontal="center" vertical="center"/>
    </xf>
    <xf numFmtId="0" fontId="39" fillId="40" borderId="65" xfId="205" applyFont="1" applyFill="1" applyBorder="1" applyAlignment="1">
      <alignment horizontal="center" vertical="center"/>
    </xf>
    <xf numFmtId="2" fontId="39" fillId="40" borderId="65" xfId="205" applyNumberFormat="1" applyFont="1" applyFill="1" applyBorder="1" applyAlignment="1">
      <alignment horizontal="center" vertical="center"/>
    </xf>
    <xf numFmtId="0" fontId="40" fillId="0" borderId="41" xfId="205" applyFont="1" applyBorder="1" applyAlignment="1">
      <alignment horizontal="center" vertical="center"/>
    </xf>
    <xf numFmtId="0" fontId="40" fillId="0" borderId="42" xfId="205" applyFont="1" applyBorder="1" applyAlignment="1">
      <alignment horizontal="center" vertical="center"/>
    </xf>
    <xf numFmtId="0" fontId="40" fillId="48" borderId="5" xfId="205" applyFont="1" applyFill="1" applyBorder="1" applyAlignment="1">
      <alignment horizontal="center" vertical="center"/>
    </xf>
    <xf numFmtId="0" fontId="39" fillId="48" borderId="5" xfId="205" applyFont="1" applyFill="1" applyBorder="1" applyAlignment="1">
      <alignment horizontal="center" vertical="center"/>
    </xf>
    <xf numFmtId="2" fontId="40" fillId="0" borderId="47" xfId="205" applyNumberFormat="1" applyFont="1" applyBorder="1" applyAlignment="1">
      <alignment horizontal="center" vertical="center"/>
    </xf>
    <xf numFmtId="0" fontId="40" fillId="0" borderId="45" xfId="205" applyFont="1" applyBorder="1" applyAlignment="1">
      <alignment horizontal="center" vertical="center"/>
    </xf>
    <xf numFmtId="0" fontId="40" fillId="0" borderId="66" xfId="205" applyFont="1" applyBorder="1" applyAlignment="1">
      <alignment horizontal="center" vertical="center"/>
    </xf>
    <xf numFmtId="0" fontId="40" fillId="0" borderId="47" xfId="205" applyFont="1" applyBorder="1" applyAlignment="1">
      <alignment horizontal="center" vertical="center"/>
    </xf>
    <xf numFmtId="2" fontId="45" fillId="39" borderId="39" xfId="205" applyNumberFormat="1" applyFont="1" applyFill="1" applyBorder="1" applyAlignment="1">
      <alignment horizontal="center" vertical="center"/>
    </xf>
    <xf numFmtId="0" fontId="39" fillId="40" borderId="47" xfId="205" applyFont="1" applyFill="1" applyBorder="1" applyAlignment="1">
      <alignment horizontal="center" vertical="center"/>
    </xf>
    <xf numFmtId="2" fontId="39" fillId="40" borderId="47" xfId="205" applyNumberFormat="1" applyFont="1" applyFill="1" applyBorder="1" applyAlignment="1">
      <alignment horizontal="center" vertical="center"/>
    </xf>
    <xf numFmtId="9" fontId="40" fillId="0" borderId="44" xfId="205" applyNumberFormat="1" applyFont="1" applyBorder="1" applyAlignment="1">
      <alignment horizontal="center" vertical="center"/>
    </xf>
    <xf numFmtId="0" fontId="40" fillId="0" borderId="43" xfId="205" applyFont="1" applyBorder="1" applyAlignment="1">
      <alignment horizontal="center" vertical="center"/>
    </xf>
    <xf numFmtId="0" fontId="39" fillId="39" borderId="0" xfId="205" applyFont="1" applyFill="1" applyAlignment="1">
      <alignment horizontal="center" vertical="center"/>
    </xf>
    <xf numFmtId="0" fontId="45" fillId="39" borderId="0" xfId="205" applyFont="1" applyFill="1" applyAlignment="1">
      <alignment horizontal="center" vertical="center"/>
    </xf>
    <xf numFmtId="0" fontId="49" fillId="0" borderId="5" xfId="205" applyFont="1" applyBorder="1" applyAlignment="1">
      <alignment horizontal="center" vertical="center" readingOrder="1"/>
    </xf>
    <xf numFmtId="0" fontId="39" fillId="0" borderId="9" xfId="205" applyFont="1" applyBorder="1" applyAlignment="1">
      <alignment horizontal="center" vertical="center"/>
    </xf>
    <xf numFmtId="0" fontId="40" fillId="0" borderId="7" xfId="205" applyFont="1" applyBorder="1" applyAlignment="1">
      <alignment horizontal="center" vertical="center"/>
    </xf>
    <xf numFmtId="0" fontId="40" fillId="8" borderId="5" xfId="205" applyFont="1" applyFill="1" applyBorder="1" applyAlignment="1">
      <alignment horizontal="center" vertical="center"/>
    </xf>
    <xf numFmtId="0" fontId="40" fillId="0" borderId="9" xfId="205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40" fillId="0" borderId="64" xfId="0" applyFont="1" applyBorder="1" applyAlignment="1">
      <alignment horizontal="center" vertical="center"/>
    </xf>
    <xf numFmtId="0" fontId="40" fillId="47" borderId="35" xfId="0" applyFont="1" applyFill="1" applyBorder="1" applyAlignment="1">
      <alignment horizontal="center" vertical="center"/>
    </xf>
    <xf numFmtId="0" fontId="39" fillId="40" borderId="63" xfId="0" applyFont="1" applyFill="1" applyBorder="1" applyAlignment="1">
      <alignment horizontal="center" vertical="center"/>
    </xf>
    <xf numFmtId="2" fontId="39" fillId="40" borderId="63" xfId="0" applyNumberFormat="1" applyFont="1" applyFill="1" applyBorder="1" applyAlignment="1">
      <alignment horizontal="center" vertical="center"/>
    </xf>
    <xf numFmtId="9" fontId="40" fillId="0" borderId="43" xfId="0" applyNumberFormat="1" applyFont="1" applyBorder="1" applyAlignment="1">
      <alignment horizontal="center" vertical="center"/>
    </xf>
    <xf numFmtId="2" fontId="40" fillId="0" borderId="63" xfId="0" applyNumberFormat="1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40" fillId="47" borderId="39" xfId="0" applyFont="1" applyFill="1" applyBorder="1" applyAlignment="1">
      <alignment horizontal="center" vertical="center"/>
    </xf>
    <xf numFmtId="0" fontId="39" fillId="40" borderId="65" xfId="0" applyFont="1" applyFill="1" applyBorder="1" applyAlignment="1">
      <alignment horizontal="center" vertical="center"/>
    </xf>
    <xf numFmtId="2" fontId="39" fillId="40" borderId="65" xfId="0" applyNumberFormat="1" applyFont="1" applyFill="1" applyBorder="1" applyAlignment="1">
      <alignment horizontal="center" vertical="center"/>
    </xf>
    <xf numFmtId="2" fontId="40" fillId="0" borderId="47" xfId="0" applyNumberFormat="1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40" fillId="0" borderId="6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45" fillId="39" borderId="39" xfId="0" applyFont="1" applyFill="1" applyBorder="1" applyAlignment="1">
      <alignment horizontal="center" vertical="center"/>
    </xf>
    <xf numFmtId="0" fontId="39" fillId="40" borderId="47" xfId="0" applyFont="1" applyFill="1" applyBorder="1" applyAlignment="1">
      <alignment horizontal="center" vertical="center"/>
    </xf>
    <xf numFmtId="2" fontId="39" fillId="40" borderId="47" xfId="0" applyNumberFormat="1" applyFont="1" applyFill="1" applyBorder="1" applyAlignment="1">
      <alignment horizontal="center" vertical="center"/>
    </xf>
    <xf numFmtId="9" fontId="40" fillId="0" borderId="44" xfId="0" applyNumberFormat="1" applyFont="1" applyBorder="1" applyAlignment="1">
      <alignment horizontal="center" vertical="center"/>
    </xf>
    <xf numFmtId="0" fontId="39" fillId="8" borderId="2" xfId="0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center" vertical="center"/>
    </xf>
    <xf numFmtId="0" fontId="39" fillId="8" borderId="4" xfId="0" applyFont="1" applyFill="1" applyBorder="1" applyAlignment="1">
      <alignment horizontal="center" vertical="center"/>
    </xf>
    <xf numFmtId="0" fontId="39" fillId="8" borderId="3" xfId="0" applyFont="1" applyFill="1" applyBorder="1" applyAlignment="1">
      <alignment horizontal="center" vertical="center"/>
    </xf>
    <xf numFmtId="2" fontId="45" fillId="39" borderId="39" xfId="0" applyNumberFormat="1" applyFont="1" applyFill="1" applyBorder="1" applyAlignment="1">
      <alignment horizontal="center" vertical="center"/>
    </xf>
    <xf numFmtId="0" fontId="39" fillId="8" borderId="67" xfId="0" applyFont="1" applyFill="1" applyBorder="1" applyAlignment="1">
      <alignment horizontal="center" vertical="center"/>
    </xf>
    <xf numFmtId="0" fontId="40" fillId="38" borderId="5" xfId="0" applyFont="1" applyFill="1" applyBorder="1" applyAlignment="1">
      <alignment horizontal="center" vertical="center"/>
    </xf>
    <xf numFmtId="0" fontId="39" fillId="38" borderId="5" xfId="0" applyFont="1" applyFill="1" applyBorder="1" applyAlignment="1">
      <alignment horizontal="center" vertical="center"/>
    </xf>
    <xf numFmtId="0" fontId="40" fillId="48" borderId="5" xfId="0" applyFont="1" applyFill="1" applyBorder="1" applyAlignment="1">
      <alignment horizontal="center" vertical="center"/>
    </xf>
    <xf numFmtId="0" fontId="39" fillId="48" borderId="5" xfId="0" applyFont="1" applyFill="1" applyBorder="1" applyAlignment="1">
      <alignment horizontal="center" vertical="center"/>
    </xf>
    <xf numFmtId="2" fontId="40" fillId="0" borderId="1" xfId="0" applyNumberFormat="1" applyFont="1" applyBorder="1" applyAlignment="1">
      <alignment horizontal="center" vertical="center"/>
    </xf>
    <xf numFmtId="9" fontId="42" fillId="40" borderId="5" xfId="1" applyNumberFormat="1" applyFont="1" applyFill="1" applyBorder="1" applyAlignment="1" applyProtection="1">
      <alignment horizontal="center" vertical="center"/>
      <protection locked="0"/>
    </xf>
    <xf numFmtId="0" fontId="43" fillId="40" borderId="5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applyNumberFormat="1" applyFont="1" applyFill="1" applyBorder="1" applyAlignment="1" applyProtection="1">
      <alignment horizontal="center" vertical="center"/>
    </xf>
    <xf numFmtId="0" fontId="39" fillId="0" borderId="0" xfId="0" applyNumberFormat="1" applyFont="1" applyFill="1" applyBorder="1" applyAlignment="1" applyProtection="1">
      <alignment horizontal="center" vertical="center" textRotation="90"/>
    </xf>
    <xf numFmtId="0" fontId="0" fillId="0" borderId="0" xfId="0" applyNumberFormat="1"/>
    <xf numFmtId="0" fontId="42" fillId="39" borderId="5" xfId="0" applyNumberFormat="1" applyFont="1" applyFill="1" applyBorder="1" applyAlignment="1" applyProtection="1">
      <alignment horizontal="center" vertical="center"/>
    </xf>
    <xf numFmtId="0" fontId="42" fillId="39" borderId="5" xfId="0" applyNumberFormat="1" applyFont="1" applyFill="1" applyBorder="1" applyAlignment="1">
      <alignment horizontal="center" vertical="center"/>
    </xf>
    <xf numFmtId="0" fontId="39" fillId="0" borderId="0" xfId="0" applyNumberFormat="1" applyFont="1" applyAlignment="1">
      <alignment horizontal="center" vertical="center"/>
    </xf>
    <xf numFmtId="0" fontId="39" fillId="40" borderId="5" xfId="0" applyNumberFormat="1" applyFont="1" applyFill="1" applyBorder="1" applyAlignment="1" applyProtection="1">
      <alignment horizontal="center" vertical="center" readingOrder="1"/>
    </xf>
    <xf numFmtId="0" fontId="42" fillId="39" borderId="11" xfId="0" applyNumberFormat="1" applyFont="1" applyFill="1" applyBorder="1" applyAlignment="1" applyProtection="1">
      <alignment horizontal="center" vertical="center"/>
    </xf>
    <xf numFmtId="0" fontId="42" fillId="39" borderId="32" xfId="7" applyNumberFormat="1" applyFont="1" applyFill="1" applyBorder="1" applyAlignment="1" applyProtection="1">
      <alignment horizontal="center" vertical="center"/>
    </xf>
    <xf numFmtId="0" fontId="43" fillId="40" borderId="32" xfId="7" applyNumberFormat="1" applyFont="1" applyFill="1" applyBorder="1" applyAlignment="1" applyProtection="1">
      <alignment horizontal="center" vertical="center"/>
      <protection locked="0"/>
    </xf>
    <xf numFmtId="0" fontId="39" fillId="0" borderId="0" xfId="0" applyNumberFormat="1" applyFont="1" applyFill="1" applyBorder="1" applyAlignment="1" applyProtection="1">
      <alignment horizontal="center" vertical="center" readingOrder="1"/>
    </xf>
    <xf numFmtId="0" fontId="42" fillId="45" borderId="0" xfId="0" applyNumberFormat="1" applyFont="1" applyFill="1" applyBorder="1" applyAlignment="1" applyProtection="1">
      <alignment horizontal="center" vertical="center"/>
    </xf>
    <xf numFmtId="2" fontId="42" fillId="46" borderId="5" xfId="0" applyNumberFormat="1" applyFont="1" applyFill="1" applyBorder="1" applyAlignment="1">
      <alignment horizontal="center" vertical="center"/>
    </xf>
    <xf numFmtId="2" fontId="39" fillId="40" borderId="5" xfId="0" applyNumberFormat="1" applyFont="1" applyFill="1" applyBorder="1" applyAlignment="1" applyProtection="1">
      <alignment horizontal="center" vertical="center"/>
    </xf>
    <xf numFmtId="2" fontId="41" fillId="3" borderId="5" xfId="3" applyNumberFormat="1" applyFont="1" applyBorder="1" applyAlignment="1" applyProtection="1">
      <alignment horizontal="center" vertical="center"/>
    </xf>
    <xf numFmtId="0" fontId="41" fillId="0" borderId="5" xfId="3" applyFont="1" applyFill="1" applyBorder="1" applyAlignment="1" applyProtection="1">
      <alignment horizontal="center" vertical="center"/>
    </xf>
    <xf numFmtId="9" fontId="41" fillId="0" borderId="5" xfId="3" applyNumberFormat="1" applyFont="1" applyFill="1" applyBorder="1" applyAlignment="1" applyProtection="1">
      <alignment horizontal="center" vertical="center"/>
    </xf>
    <xf numFmtId="165" fontId="41" fillId="0" borderId="5" xfId="3" applyNumberFormat="1" applyFont="1" applyFill="1" applyBorder="1" applyAlignment="1" applyProtection="1">
      <alignment horizontal="center" vertical="center"/>
    </xf>
    <xf numFmtId="164" fontId="41" fillId="0" borderId="5" xfId="3" applyNumberFormat="1" applyFont="1" applyFill="1" applyBorder="1" applyAlignment="1" applyProtection="1">
      <alignment horizontal="center" vertical="center"/>
    </xf>
    <xf numFmtId="2" fontId="41" fillId="0" borderId="5" xfId="3" applyNumberFormat="1" applyFont="1" applyFill="1" applyBorder="1" applyAlignment="1" applyProtection="1">
      <alignment horizontal="center" vertical="center"/>
    </xf>
    <xf numFmtId="0" fontId="41" fillId="0" borderId="48" xfId="3" applyFont="1" applyFill="1" applyBorder="1" applyAlignment="1" applyProtection="1">
      <alignment horizontal="center" vertical="center"/>
    </xf>
    <xf numFmtId="0" fontId="41" fillId="0" borderId="0" xfId="3" applyFont="1" applyFill="1" applyBorder="1" applyAlignment="1" applyProtection="1">
      <alignment horizontal="center" vertical="center"/>
    </xf>
    <xf numFmtId="0" fontId="41" fillId="0" borderId="68" xfId="3" applyFont="1" applyFill="1" applyBorder="1" applyAlignment="1" applyProtection="1">
      <alignment horizontal="center" vertical="center"/>
    </xf>
    <xf numFmtId="0" fontId="41" fillId="0" borderId="1" xfId="3" applyFont="1" applyFill="1" applyBorder="1" applyAlignment="1" applyProtection="1">
      <alignment horizontal="center" vertical="center"/>
    </xf>
    <xf numFmtId="0" fontId="41" fillId="0" borderId="9" xfId="3" applyFont="1" applyFill="1" applyBorder="1" applyAlignment="1" applyProtection="1">
      <alignment horizontal="center" vertical="center"/>
    </xf>
    <xf numFmtId="165" fontId="41" fillId="0" borderId="8" xfId="3" applyNumberFormat="1" applyFont="1" applyFill="1" applyBorder="1" applyAlignment="1" applyProtection="1">
      <alignment horizontal="center" vertical="center"/>
    </xf>
    <xf numFmtId="0" fontId="39" fillId="0" borderId="5" xfId="2" applyFont="1" applyFill="1" applyBorder="1" applyAlignment="1" applyProtection="1">
      <alignment horizontal="center" vertical="center"/>
    </xf>
    <xf numFmtId="2" fontId="39" fillId="0" borderId="5" xfId="2" applyNumberFormat="1" applyFont="1" applyFill="1" applyBorder="1" applyAlignment="1" applyProtection="1">
      <alignment horizontal="center" vertical="center"/>
    </xf>
    <xf numFmtId="0" fontId="42" fillId="39" borderId="5" xfId="0" applyNumberFormat="1" applyFont="1" applyFill="1" applyBorder="1" applyAlignment="1" applyProtection="1">
      <alignment horizontal="center" vertical="center"/>
      <protection locked="0"/>
    </xf>
    <xf numFmtId="2" fontId="38" fillId="0" borderId="5" xfId="86" applyNumberFormat="1" applyFont="1" applyBorder="1" applyAlignment="1">
      <alignment horizontal="center" vertical="center"/>
    </xf>
    <xf numFmtId="2" fontId="38" fillId="0" borderId="0" xfId="86" applyNumberFormat="1" applyFont="1" applyAlignment="1">
      <alignment horizontal="center" vertical="center"/>
    </xf>
    <xf numFmtId="2" fontId="38" fillId="0" borderId="5" xfId="5" applyNumberFormat="1" applyFont="1" applyBorder="1" applyAlignment="1">
      <alignment horizontal="center" vertical="center"/>
    </xf>
    <xf numFmtId="2" fontId="38" fillId="0" borderId="5" xfId="6" applyNumberFormat="1" applyFont="1" applyBorder="1" applyAlignment="1">
      <alignment horizontal="center" vertical="center"/>
    </xf>
    <xf numFmtId="2" fontId="38" fillId="0" borderId="0" xfId="6" applyNumberFormat="1" applyFont="1" applyAlignment="1">
      <alignment horizontal="center" vertical="center"/>
    </xf>
    <xf numFmtId="2" fontId="38" fillId="0" borderId="0" xfId="5" applyNumberFormat="1" applyFont="1" applyAlignment="1">
      <alignment horizontal="center" vertical="center"/>
    </xf>
    <xf numFmtId="2" fontId="38" fillId="0" borderId="2" xfId="5" applyNumberFormat="1" applyFont="1" applyBorder="1" applyAlignment="1">
      <alignment horizontal="center" vertical="center"/>
    </xf>
    <xf numFmtId="2" fontId="38" fillId="0" borderId="1" xfId="86" applyNumberFormat="1" applyFont="1" applyBorder="1" applyAlignment="1">
      <alignment horizontal="center" vertical="center"/>
    </xf>
    <xf numFmtId="2" fontId="39" fillId="0" borderId="5" xfId="186" applyNumberFormat="1" applyFont="1" applyFill="1" applyBorder="1" applyAlignment="1">
      <alignment horizontal="center" vertical="center"/>
    </xf>
    <xf numFmtId="2" fontId="39" fillId="0" borderId="5" xfId="10" applyNumberFormat="1" applyFont="1" applyFill="1" applyBorder="1" applyAlignment="1">
      <alignment horizontal="center" vertical="center"/>
    </xf>
    <xf numFmtId="0" fontId="39" fillId="0" borderId="5" xfId="10" applyNumberFormat="1" applyFont="1" applyFill="1" applyBorder="1" applyAlignment="1">
      <alignment horizontal="center" vertical="center"/>
    </xf>
    <xf numFmtId="0" fontId="39" fillId="0" borderId="0" xfId="10" applyNumberFormat="1" applyFont="1" applyFill="1" applyAlignment="1">
      <alignment horizontal="center" vertical="center"/>
    </xf>
    <xf numFmtId="0" fontId="39" fillId="0" borderId="0" xfId="0" applyNumberFormat="1" applyFont="1" applyFill="1" applyAlignment="1" applyProtection="1">
      <alignment horizontal="center" vertical="center"/>
    </xf>
    <xf numFmtId="0" fontId="39" fillId="0" borderId="5" xfId="186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39" borderId="5" xfId="0" applyFill="1" applyBorder="1" applyAlignment="1">
      <alignment horizontal="center" vertical="center"/>
    </xf>
    <xf numFmtId="0" fontId="0" fillId="9" borderId="73" xfId="0" applyFill="1" applyBorder="1" applyAlignment="1">
      <alignment horizontal="center" vertical="center"/>
    </xf>
    <xf numFmtId="0" fontId="0" fillId="49" borderId="5" xfId="0" applyFill="1" applyBorder="1" applyAlignment="1">
      <alignment horizontal="center" vertical="center"/>
    </xf>
    <xf numFmtId="0" fontId="0" fillId="50" borderId="5" xfId="0" applyFill="1" applyBorder="1" applyAlignment="1">
      <alignment horizontal="center" vertical="center"/>
    </xf>
    <xf numFmtId="0" fontId="0" fillId="51" borderId="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8" borderId="5" xfId="0" applyFill="1" applyBorder="1" applyAlignment="1">
      <alignment horizontal="center" vertical="center"/>
    </xf>
    <xf numFmtId="0" fontId="0" fillId="9" borderId="76" xfId="0" applyFill="1" applyBorder="1" applyAlignment="1">
      <alignment horizontal="center" vertical="center"/>
    </xf>
    <xf numFmtId="0" fontId="0" fillId="52" borderId="73" xfId="0" applyFill="1" applyBorder="1" applyAlignment="1">
      <alignment horizontal="center" vertical="center"/>
    </xf>
    <xf numFmtId="0" fontId="0" fillId="53" borderId="5" xfId="0" applyFill="1" applyBorder="1" applyAlignment="1">
      <alignment horizontal="center" vertical="center"/>
    </xf>
    <xf numFmtId="2" fontId="0" fillId="54" borderId="5" xfId="0" applyNumberFormat="1" applyFill="1" applyBorder="1" applyAlignment="1">
      <alignment horizontal="center" vertical="center"/>
    </xf>
    <xf numFmtId="2" fontId="0" fillId="55" borderId="5" xfId="0" applyNumberFormat="1" applyFill="1" applyBorder="1" applyAlignment="1">
      <alignment horizontal="center" vertical="center"/>
    </xf>
    <xf numFmtId="0" fontId="0" fillId="56" borderId="5" xfId="0" applyFill="1" applyBorder="1" applyAlignment="1">
      <alignment horizontal="center" vertical="center"/>
    </xf>
    <xf numFmtId="0" fontId="0" fillId="57" borderId="5" xfId="0" applyFill="1" applyBorder="1" applyAlignment="1">
      <alignment horizontal="center" vertical="center"/>
    </xf>
    <xf numFmtId="0" fontId="0" fillId="52" borderId="76" xfId="0" applyFill="1" applyBorder="1" applyAlignment="1">
      <alignment horizontal="center" vertical="center"/>
    </xf>
    <xf numFmtId="0" fontId="0" fillId="52" borderId="77" xfId="0" applyFill="1" applyBorder="1" applyAlignment="1">
      <alignment horizontal="center" vertical="center"/>
    </xf>
    <xf numFmtId="0" fontId="0" fillId="53" borderId="78" xfId="0" applyFill="1" applyBorder="1" applyAlignment="1">
      <alignment horizontal="center" vertical="center"/>
    </xf>
    <xf numFmtId="2" fontId="0" fillId="55" borderId="78" xfId="0" applyNumberFormat="1" applyFill="1" applyBorder="1" applyAlignment="1">
      <alignment horizontal="center" vertical="center"/>
    </xf>
    <xf numFmtId="0" fontId="0" fillId="11" borderId="78" xfId="0" applyFill="1" applyBorder="1" applyAlignment="1">
      <alignment horizontal="center" vertical="center"/>
    </xf>
    <xf numFmtId="0" fontId="0" fillId="56" borderId="78" xfId="0" applyFill="1" applyBorder="1" applyAlignment="1">
      <alignment horizontal="center" vertical="center"/>
    </xf>
    <xf numFmtId="0" fontId="0" fillId="52" borderId="79" xfId="0" applyFill="1" applyBorder="1" applyAlignment="1">
      <alignment horizontal="center" vertical="center"/>
    </xf>
    <xf numFmtId="0" fontId="0" fillId="54" borderId="5" xfId="0" applyFill="1" applyBorder="1" applyAlignment="1">
      <alignment horizontal="center" vertical="center"/>
    </xf>
    <xf numFmtId="3" fontId="0" fillId="54" borderId="5" xfId="0" applyNumberFormat="1" applyFill="1" applyBorder="1" applyAlignment="1">
      <alignment horizontal="center" vertical="center"/>
    </xf>
    <xf numFmtId="0" fontId="0" fillId="55" borderId="5" xfId="0" applyFill="1" applyBorder="1" applyAlignment="1">
      <alignment horizontal="center" vertical="center"/>
    </xf>
    <xf numFmtId="0" fontId="0" fillId="58" borderId="5" xfId="0" applyFill="1" applyBorder="1" applyAlignment="1">
      <alignment horizontal="center" vertical="center"/>
    </xf>
    <xf numFmtId="0" fontId="0" fillId="57" borderId="78" xfId="0" applyFill="1" applyBorder="1" applyAlignment="1">
      <alignment horizontal="center" vertical="center"/>
    </xf>
    <xf numFmtId="0" fontId="0" fillId="58" borderId="24" xfId="0" applyFill="1" applyBorder="1" applyAlignment="1">
      <alignment vertical="center"/>
    </xf>
    <xf numFmtId="2" fontId="0" fillId="55" borderId="46" xfId="0" applyNumberFormat="1" applyFill="1" applyBorder="1" applyAlignment="1">
      <alignment horizontal="center" vertical="center"/>
    </xf>
    <xf numFmtId="2" fontId="0" fillId="55" borderId="82" xfId="0" applyNumberFormat="1" applyFill="1" applyBorder="1" applyAlignment="1">
      <alignment horizontal="center" vertical="center"/>
    </xf>
    <xf numFmtId="0" fontId="0" fillId="10" borderId="24" xfId="0" applyFill="1" applyBorder="1" applyAlignment="1">
      <alignment vertical="center"/>
    </xf>
    <xf numFmtId="0" fontId="0" fillId="39" borderId="25" xfId="0" applyFill="1" applyBorder="1" applyAlignment="1">
      <alignment horizontal="center" vertical="center"/>
    </xf>
    <xf numFmtId="0" fontId="0" fillId="9" borderId="68" xfId="0" applyFill="1" applyBorder="1" applyAlignment="1">
      <alignment horizontal="center" vertical="center"/>
    </xf>
    <xf numFmtId="0" fontId="0" fillId="49" borderId="68" xfId="0" applyFill="1" applyBorder="1" applyAlignment="1">
      <alignment horizontal="center" vertical="center"/>
    </xf>
    <xf numFmtId="0" fontId="0" fillId="50" borderId="68" xfId="0" applyFill="1" applyBorder="1" applyAlignment="1">
      <alignment horizontal="center" vertical="center"/>
    </xf>
    <xf numFmtId="0" fontId="0" fillId="51" borderId="68" xfId="0" applyFill="1" applyBorder="1" applyAlignment="1">
      <alignment horizontal="center" vertical="center"/>
    </xf>
    <xf numFmtId="0" fontId="0" fillId="9" borderId="68" xfId="0" applyFill="1" applyBorder="1" applyAlignment="1">
      <alignment horizontal="center"/>
    </xf>
    <xf numFmtId="0" fontId="0" fillId="4" borderId="68" xfId="0" applyFill="1" applyBorder="1" applyAlignment="1">
      <alignment horizontal="center" vertical="center"/>
    </xf>
    <xf numFmtId="0" fontId="0" fillId="52" borderId="5" xfId="0" applyFill="1" applyBorder="1" applyAlignment="1">
      <alignment horizontal="center" vertical="center"/>
    </xf>
    <xf numFmtId="2" fontId="0" fillId="58" borderId="5" xfId="0" applyNumberFormat="1" applyFill="1" applyBorder="1" applyAlignment="1">
      <alignment horizontal="center" vertical="center"/>
    </xf>
    <xf numFmtId="2" fontId="0" fillId="10" borderId="5" xfId="0" applyNumberFormat="1" applyFill="1" applyBorder="1" applyAlignment="1">
      <alignment horizontal="center" vertical="center"/>
    </xf>
    <xf numFmtId="0" fontId="52" fillId="56" borderId="5" xfId="0" applyFont="1" applyFill="1" applyBorder="1" applyAlignment="1">
      <alignment horizontal="center" vertical="center"/>
    </xf>
    <xf numFmtId="0" fontId="0" fillId="59" borderId="5" xfId="0" applyFill="1" applyBorder="1" applyAlignment="1">
      <alignment horizontal="center" vertical="center"/>
    </xf>
    <xf numFmtId="0" fontId="0" fillId="60" borderId="5" xfId="0" applyFill="1" applyBorder="1" applyAlignment="1">
      <alignment horizontal="center" vertical="center"/>
    </xf>
    <xf numFmtId="0" fontId="0" fillId="52" borderId="68" xfId="0" applyFill="1" applyBorder="1" applyAlignment="1">
      <alignment horizontal="center" vertical="center"/>
    </xf>
    <xf numFmtId="2" fontId="0" fillId="54" borderId="68" xfId="0" applyNumberFormat="1" applyFill="1" applyBorder="1" applyAlignment="1">
      <alignment horizontal="center" vertical="center"/>
    </xf>
    <xf numFmtId="2" fontId="0" fillId="55" borderId="68" xfId="0" applyNumberFormat="1" applyFill="1" applyBorder="1" applyAlignment="1">
      <alignment horizontal="center" vertical="center"/>
    </xf>
    <xf numFmtId="0" fontId="0" fillId="58" borderId="48" xfId="0" applyFill="1" applyBorder="1" applyAlignment="1">
      <alignment horizontal="center" vertical="center"/>
    </xf>
    <xf numFmtId="2" fontId="0" fillId="10" borderId="48" xfId="0" applyNumberFormat="1" applyFill="1" applyBorder="1" applyAlignment="1">
      <alignment horizontal="center" vertical="center"/>
    </xf>
    <xf numFmtId="2" fontId="0" fillId="54" borderId="48" xfId="0" applyNumberFormat="1" applyFill="1" applyBorder="1" applyAlignment="1">
      <alignment horizontal="center" vertical="center"/>
    </xf>
    <xf numFmtId="0" fontId="0" fillId="53" borderId="48" xfId="0" applyFill="1" applyBorder="1" applyAlignment="1">
      <alignment horizontal="center" vertical="center"/>
    </xf>
    <xf numFmtId="0" fontId="0" fillId="52" borderId="48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  <xf numFmtId="0" fontId="0" fillId="58" borderId="68" xfId="0" applyFill="1" applyBorder="1" applyAlignment="1">
      <alignment horizontal="center" vertical="center"/>
    </xf>
    <xf numFmtId="2" fontId="0" fillId="10" borderId="68" xfId="0" applyNumberFormat="1" applyFill="1" applyBorder="1" applyAlignment="1">
      <alignment horizontal="center" vertical="center"/>
    </xf>
    <xf numFmtId="0" fontId="0" fillId="53" borderId="68" xfId="0" applyFill="1" applyBorder="1" applyAlignment="1">
      <alignment horizontal="center" vertical="center"/>
    </xf>
    <xf numFmtId="0" fontId="1" fillId="0" borderId="0" xfId="0" applyFont="1"/>
    <xf numFmtId="0" fontId="50" fillId="0" borderId="0" xfId="0" applyFont="1"/>
    <xf numFmtId="0" fontId="50" fillId="0" borderId="0" xfId="0" applyFont="1" applyAlignment="1">
      <alignment horizontal="center" vertical="center"/>
    </xf>
    <xf numFmtId="0" fontId="0" fillId="0" borderId="37" xfId="0" applyBorder="1"/>
    <xf numFmtId="0" fontId="50" fillId="0" borderId="37" xfId="0" applyFont="1" applyBorder="1"/>
    <xf numFmtId="2" fontId="50" fillId="0" borderId="0" xfId="0" applyNumberFormat="1" applyFont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48" borderId="41" xfId="0" applyFill="1" applyBorder="1" applyAlignment="1">
      <alignment horizontal="center" vertical="center"/>
    </xf>
    <xf numFmtId="0" fontId="0" fillId="48" borderId="41" xfId="0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" fontId="0" fillId="58" borderId="5" xfId="0" applyNumberFormat="1" applyFill="1" applyBorder="1" applyAlignment="1">
      <alignment horizontal="center" vertical="center"/>
    </xf>
    <xf numFmtId="1" fontId="0" fillId="10" borderId="5" xfId="0" applyNumberFormat="1" applyFill="1" applyBorder="1" applyAlignment="1">
      <alignment horizontal="center" vertical="center"/>
    </xf>
    <xf numFmtId="0" fontId="59" fillId="58" borderId="11" xfId="0" applyFont="1" applyFill="1" applyBorder="1" applyAlignment="1">
      <alignment horizontal="center" vertical="center"/>
    </xf>
    <xf numFmtId="0" fontId="60" fillId="50" borderId="11" xfId="0" applyFont="1" applyFill="1" applyBorder="1" applyAlignment="1">
      <alignment horizontal="center" vertical="center"/>
    </xf>
    <xf numFmtId="0" fontId="6" fillId="61" borderId="84" xfId="0" applyFont="1" applyFill="1" applyBorder="1" applyAlignment="1">
      <alignment horizontal="center" vertical="center"/>
    </xf>
    <xf numFmtId="0" fontId="61" fillId="0" borderId="85" xfId="0" applyFont="1" applyBorder="1" applyAlignment="1">
      <alignment horizontal="center" vertical="center"/>
    </xf>
    <xf numFmtId="0" fontId="61" fillId="0" borderId="86" xfId="0" applyFont="1" applyBorder="1" applyAlignment="1">
      <alignment horizontal="center" vertical="center"/>
    </xf>
    <xf numFmtId="0" fontId="61" fillId="0" borderId="77" xfId="0" applyFont="1" applyBorder="1" applyAlignment="1">
      <alignment horizontal="center" vertical="center"/>
    </xf>
    <xf numFmtId="0" fontId="6" fillId="62" borderId="84" xfId="0" applyFont="1" applyFill="1" applyBorder="1" applyAlignment="1">
      <alignment horizontal="center" vertical="center"/>
    </xf>
    <xf numFmtId="0" fontId="61" fillId="0" borderId="73" xfId="0" applyFont="1" applyBorder="1" applyAlignment="1">
      <alignment horizontal="center" vertical="center"/>
    </xf>
    <xf numFmtId="0" fontId="6" fillId="63" borderId="84" xfId="0" applyFont="1" applyFill="1" applyBorder="1" applyAlignment="1">
      <alignment horizontal="center" vertical="center"/>
    </xf>
    <xf numFmtId="0" fontId="61" fillId="0" borderId="87" xfId="0" applyFont="1" applyBorder="1" applyAlignment="1">
      <alignment horizontal="center" vertical="center"/>
    </xf>
    <xf numFmtId="0" fontId="6" fillId="64" borderId="84" xfId="0" applyFont="1" applyFill="1" applyBorder="1" applyAlignment="1">
      <alignment horizontal="center" vertical="center"/>
    </xf>
    <xf numFmtId="0" fontId="62" fillId="65" borderId="88" xfId="0" applyFont="1" applyFill="1" applyBorder="1" applyAlignment="1">
      <alignment horizontal="center" vertical="center"/>
    </xf>
    <xf numFmtId="0" fontId="63" fillId="66" borderId="88" xfId="0" applyFont="1" applyFill="1" applyBorder="1" applyAlignment="1">
      <alignment horizontal="center" vertical="center"/>
    </xf>
    <xf numFmtId="2" fontId="60" fillId="50" borderId="11" xfId="0" applyNumberFormat="1" applyFont="1" applyFill="1" applyBorder="1" applyAlignment="1">
      <alignment horizontal="center" vertical="center"/>
    </xf>
    <xf numFmtId="2" fontId="0" fillId="0" borderId="68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164" fontId="0" fillId="0" borderId="78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6" fillId="0" borderId="68" xfId="0" applyNumberFormat="1" applyFont="1" applyBorder="1" applyAlignment="1">
      <alignment horizontal="center" vertical="center"/>
    </xf>
    <xf numFmtId="2" fontId="6" fillId="0" borderId="89" xfId="0" applyNumberFormat="1" applyFont="1" applyBorder="1" applyAlignment="1">
      <alignment horizontal="center" vertical="center"/>
    </xf>
    <xf numFmtId="2" fontId="62" fillId="66" borderId="88" xfId="0" applyNumberFormat="1" applyFont="1" applyFill="1" applyBorder="1" applyAlignment="1">
      <alignment horizontal="center" vertical="center"/>
    </xf>
    <xf numFmtId="0" fontId="60" fillId="50" borderId="11" xfId="0" applyFont="1" applyFill="1" applyBorder="1" applyAlignment="1">
      <alignment horizontal="center"/>
    </xf>
    <xf numFmtId="2" fontId="0" fillId="0" borderId="76" xfId="0" applyNumberFormat="1" applyBorder="1" applyAlignment="1">
      <alignment horizontal="center" vertical="center"/>
    </xf>
    <xf numFmtId="164" fontId="0" fillId="0" borderId="79" xfId="0" applyNumberFormat="1" applyBorder="1" applyAlignment="1">
      <alignment horizontal="center" vertical="center"/>
    </xf>
    <xf numFmtId="0" fontId="62" fillId="66" borderId="88" xfId="0" applyFont="1" applyFill="1" applyBorder="1" applyAlignment="1">
      <alignment horizontal="center" vertical="center"/>
    </xf>
    <xf numFmtId="164" fontId="6" fillId="67" borderId="88" xfId="0" applyNumberFormat="1" applyFont="1" applyFill="1" applyBorder="1" applyAlignment="1">
      <alignment horizontal="center" vertical="center"/>
    </xf>
    <xf numFmtId="0" fontId="61" fillId="0" borderId="83" xfId="0" applyFont="1" applyBorder="1"/>
    <xf numFmtId="0" fontId="61" fillId="48" borderId="8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1" fillId="48" borderId="91" xfId="0" applyFont="1" applyFill="1" applyBorder="1" applyAlignment="1">
      <alignment horizontal="center" vertical="center"/>
    </xf>
    <xf numFmtId="0" fontId="6" fillId="0" borderId="92" xfId="0" applyFont="1" applyBorder="1"/>
    <xf numFmtId="0" fontId="6" fillId="68" borderId="84" xfId="0" applyFont="1" applyFill="1" applyBorder="1" applyAlignment="1">
      <alignment horizontal="center" vertical="center"/>
    </xf>
    <xf numFmtId="0" fontId="65" fillId="16" borderId="93" xfId="0" applyFont="1" applyFill="1" applyBorder="1" applyAlignment="1">
      <alignment horizontal="center"/>
    </xf>
    <xf numFmtId="0" fontId="65" fillId="16" borderId="94" xfId="0" applyFont="1" applyFill="1" applyBorder="1" applyAlignment="1">
      <alignment horizontal="center"/>
    </xf>
    <xf numFmtId="0" fontId="65" fillId="16" borderId="95" xfId="0" applyFont="1" applyFill="1" applyBorder="1" applyAlignment="1">
      <alignment horizontal="center"/>
    </xf>
    <xf numFmtId="2" fontId="0" fillId="0" borderId="89" xfId="0" applyNumberFormat="1" applyBorder="1" applyAlignment="1">
      <alignment horizontal="center"/>
    </xf>
    <xf numFmtId="0" fontId="65" fillId="16" borderId="77" xfId="0" applyFont="1" applyFill="1" applyBorder="1" applyAlignment="1">
      <alignment horizontal="center"/>
    </xf>
    <xf numFmtId="0" fontId="65" fillId="16" borderId="78" xfId="0" applyFont="1" applyFill="1" applyBorder="1" applyAlignment="1">
      <alignment horizontal="center"/>
    </xf>
    <xf numFmtId="0" fontId="65" fillId="16" borderId="79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0" fontId="6" fillId="15" borderId="33" xfId="0" applyFont="1" applyFill="1" applyBorder="1" applyAlignment="1">
      <alignment horizontal="center" vertical="center"/>
    </xf>
    <xf numFmtId="0" fontId="61" fillId="0" borderId="96" xfId="0" applyFont="1" applyBorder="1" applyAlignment="1">
      <alignment horizontal="center" vertical="center"/>
    </xf>
    <xf numFmtId="0" fontId="61" fillId="0" borderId="34" xfId="0" applyFont="1" applyBorder="1" applyAlignment="1">
      <alignment horizontal="center" vertical="center"/>
    </xf>
    <xf numFmtId="0" fontId="58" fillId="0" borderId="81" xfId="209" applyBorder="1" applyAlignment="1" applyProtection="1">
      <alignment horizontal="center"/>
    </xf>
    <xf numFmtId="164" fontId="0" fillId="0" borderId="78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0" fontId="6" fillId="0" borderId="0" xfId="0" applyFont="1"/>
    <xf numFmtId="0" fontId="6" fillId="0" borderId="81" xfId="0" applyFont="1" applyBorder="1" applyAlignment="1">
      <alignment horizontal="center"/>
    </xf>
    <xf numFmtId="0" fontId="66" fillId="58" borderId="11" xfId="0" applyFont="1" applyFill="1" applyBorder="1" applyAlignment="1">
      <alignment horizontal="center" vertical="center"/>
    </xf>
    <xf numFmtId="0" fontId="60" fillId="38" borderId="11" xfId="0" applyFont="1" applyFill="1" applyBorder="1" applyAlignment="1">
      <alignment horizontal="center" vertical="center"/>
    </xf>
    <xf numFmtId="0" fontId="0" fillId="48" borderId="11" xfId="0" applyFill="1" applyBorder="1" applyAlignment="1">
      <alignment horizontal="center" vertical="center"/>
    </xf>
    <xf numFmtId="2" fontId="0" fillId="48" borderId="11" xfId="0" applyNumberFormat="1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0" fontId="6" fillId="0" borderId="0" xfId="0" applyFont="1" applyAlignment="1">
      <alignment horizontal="center"/>
    </xf>
    <xf numFmtId="0" fontId="13" fillId="70" borderId="5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/>
    </xf>
    <xf numFmtId="0" fontId="0" fillId="71" borderId="5" xfId="0" applyFill="1" applyBorder="1" applyAlignment="1">
      <alignment horizontal="center"/>
    </xf>
    <xf numFmtId="10" fontId="0" fillId="71" borderId="5" xfId="0" applyNumberFormat="1" applyFill="1" applyBorder="1"/>
    <xf numFmtId="164" fontId="0" fillId="0" borderId="5" xfId="0" applyNumberFormat="1" applyBorder="1" applyAlignment="1">
      <alignment horizontal="center"/>
    </xf>
    <xf numFmtId="164" fontId="0" fillId="71" borderId="5" xfId="0" applyNumberFormat="1" applyFill="1" applyBorder="1" applyAlignment="1">
      <alignment horizontal="center"/>
    </xf>
    <xf numFmtId="0" fontId="74" fillId="0" borderId="11" xfId="0" applyFont="1" applyBorder="1" applyAlignment="1">
      <alignment horizontal="center"/>
    </xf>
    <xf numFmtId="0" fontId="74" fillId="72" borderId="82" xfId="0" applyFont="1" applyFill="1" applyBorder="1" applyAlignment="1">
      <alignment horizontal="center"/>
    </xf>
    <xf numFmtId="0" fontId="75" fillId="72" borderId="0" xfId="0" applyFont="1" applyFill="1" applyAlignment="1">
      <alignment horizontal="center"/>
    </xf>
    <xf numFmtId="165" fontId="0" fillId="72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0" fontId="76" fillId="72" borderId="0" xfId="0" applyFont="1" applyFill="1" applyAlignment="1">
      <alignment horizontal="center"/>
    </xf>
    <xf numFmtId="0" fontId="74" fillId="72" borderId="11" xfId="0" applyFont="1" applyFill="1" applyBorder="1" applyAlignment="1">
      <alignment horizontal="center"/>
    </xf>
    <xf numFmtId="0" fontId="74" fillId="73" borderId="82" xfId="0" applyFont="1" applyFill="1" applyBorder="1" applyAlignment="1">
      <alignment horizontal="center"/>
    </xf>
    <xf numFmtId="0" fontId="75" fillId="61" borderId="0" xfId="0" applyFont="1" applyFill="1" applyAlignment="1">
      <alignment horizontal="center"/>
    </xf>
    <xf numFmtId="165" fontId="75" fillId="61" borderId="0" xfId="0" applyNumberFormat="1" applyFont="1" applyFill="1" applyAlignment="1">
      <alignment horizontal="center"/>
    </xf>
    <xf numFmtId="0" fontId="74" fillId="73" borderId="11" xfId="0" applyFont="1" applyFill="1" applyBorder="1" applyAlignment="1">
      <alignment horizontal="center"/>
    </xf>
    <xf numFmtId="0" fontId="76" fillId="73" borderId="0" xfId="0" applyFont="1" applyFill="1" applyAlignment="1">
      <alignment horizontal="center"/>
    </xf>
    <xf numFmtId="0" fontId="75" fillId="73" borderId="0" xfId="0" applyFont="1" applyFill="1" applyAlignment="1">
      <alignment horizontal="center"/>
    </xf>
    <xf numFmtId="165" fontId="0" fillId="73" borderId="0" xfId="0" applyNumberFormat="1" applyFill="1" applyAlignment="1">
      <alignment horizontal="center"/>
    </xf>
    <xf numFmtId="2" fontId="75" fillId="73" borderId="0" xfId="0" applyNumberFormat="1" applyFont="1" applyFill="1" applyAlignment="1">
      <alignment horizontal="center"/>
    </xf>
    <xf numFmtId="0" fontId="74" fillId="73" borderId="0" xfId="0" applyFont="1" applyFill="1" applyAlignment="1">
      <alignment horizontal="center"/>
    </xf>
    <xf numFmtId="0" fontId="6" fillId="73" borderId="0" xfId="0" applyFont="1" applyFill="1" applyAlignment="1">
      <alignment horizontal="center"/>
    </xf>
    <xf numFmtId="165" fontId="0" fillId="61" borderId="0" xfId="0" applyNumberFormat="1" applyFill="1" applyAlignment="1">
      <alignment horizontal="center"/>
    </xf>
    <xf numFmtId="2" fontId="75" fillId="61" borderId="0" xfId="0" applyNumberFormat="1" applyFont="1" applyFill="1" applyAlignment="1">
      <alignment horizontal="center"/>
    </xf>
    <xf numFmtId="165" fontId="76" fillId="61" borderId="0" xfId="0" applyNumberFormat="1" applyFont="1" applyFill="1" applyAlignment="1">
      <alignment horizontal="center"/>
    </xf>
    <xf numFmtId="0" fontId="0" fillId="0" borderId="82" xfId="0" applyBorder="1" applyAlignment="1">
      <alignment horizontal="center"/>
    </xf>
    <xf numFmtId="0" fontId="74" fillId="74" borderId="11" xfId="0" applyFont="1" applyFill="1" applyBorder="1" applyAlignment="1">
      <alignment horizontal="center"/>
    </xf>
    <xf numFmtId="0" fontId="75" fillId="74" borderId="0" xfId="0" applyFont="1" applyFill="1" applyAlignment="1">
      <alignment horizontal="center"/>
    </xf>
    <xf numFmtId="0" fontId="75" fillId="74" borderId="99" xfId="0" applyFont="1" applyFill="1" applyBorder="1" applyAlignment="1">
      <alignment horizontal="center"/>
    </xf>
    <xf numFmtId="165" fontId="0" fillId="74" borderId="0" xfId="0" applyNumberFormat="1" applyFill="1" applyAlignment="1">
      <alignment horizontal="center"/>
    </xf>
    <xf numFmtId="0" fontId="0" fillId="0" borderId="32" xfId="0" applyBorder="1" applyAlignment="1">
      <alignment horizontal="center"/>
    </xf>
    <xf numFmtId="0" fontId="74" fillId="61" borderId="99" xfId="0" applyFont="1" applyFill="1" applyBorder="1" applyAlignment="1">
      <alignment horizontal="center"/>
    </xf>
    <xf numFmtId="0" fontId="74" fillId="61" borderId="32" xfId="0" applyFont="1" applyFill="1" applyBorder="1" applyAlignment="1">
      <alignment horizontal="center"/>
    </xf>
    <xf numFmtId="0" fontId="58" fillId="0" borderId="0" xfId="209" applyAlignment="1" applyProtection="1"/>
    <xf numFmtId="0" fontId="77" fillId="0" borderId="0" xfId="210"/>
    <xf numFmtId="0" fontId="78" fillId="0" borderId="0" xfId="210" applyFont="1"/>
    <xf numFmtId="0" fontId="79" fillId="0" borderId="0" xfId="210" applyFont="1"/>
    <xf numFmtId="0" fontId="80" fillId="75" borderId="101" xfId="210" applyFont="1" applyFill="1" applyBorder="1" applyAlignment="1">
      <alignment horizontal="right"/>
    </xf>
    <xf numFmtId="0" fontId="81" fillId="0" borderId="101" xfId="210" applyFont="1" applyBorder="1" applyAlignment="1">
      <alignment horizontal="left"/>
    </xf>
    <xf numFmtId="4" fontId="81" fillId="0" borderId="101" xfId="210" applyNumberFormat="1" applyFont="1" applyBorder="1"/>
    <xf numFmtId="4" fontId="80" fillId="76" borderId="101" xfId="210" applyNumberFormat="1" applyFont="1" applyFill="1" applyBorder="1" applyAlignment="1">
      <alignment horizontal="center"/>
    </xf>
    <xf numFmtId="4" fontId="81" fillId="0" borderId="101" xfId="210" applyNumberFormat="1" applyFont="1" applyBorder="1" applyAlignment="1">
      <alignment horizontal="center"/>
    </xf>
    <xf numFmtId="0" fontId="79" fillId="0" borderId="101" xfId="210" applyFont="1" applyBorder="1" applyAlignment="1">
      <alignment horizontal="center"/>
    </xf>
    <xf numFmtId="0" fontId="82" fillId="77" borderId="101" xfId="210" applyFont="1" applyFill="1" applyBorder="1" applyAlignment="1">
      <alignment horizontal="right"/>
    </xf>
    <xf numFmtId="0" fontId="82" fillId="77" borderId="101" xfId="210" applyFont="1" applyFill="1" applyBorder="1" applyAlignment="1">
      <alignment horizontal="left"/>
    </xf>
    <xf numFmtId="0" fontId="82" fillId="77" borderId="101" xfId="210" applyFont="1" applyFill="1" applyBorder="1" applyAlignment="1">
      <alignment horizontal="center"/>
    </xf>
    <xf numFmtId="2" fontId="79" fillId="75" borderId="101" xfId="210" applyNumberFormat="1" applyFont="1" applyFill="1" applyBorder="1"/>
    <xf numFmtId="0" fontId="81" fillId="75" borderId="101" xfId="210" applyFont="1" applyFill="1" applyBorder="1"/>
    <xf numFmtId="0" fontId="82" fillId="79" borderId="101" xfId="210" applyFont="1" applyFill="1" applyBorder="1" applyAlignment="1">
      <alignment horizontal="center"/>
    </xf>
    <xf numFmtId="0" fontId="81" fillId="81" borderId="101" xfId="210" applyFont="1" applyFill="1" applyBorder="1"/>
    <xf numFmtId="0" fontId="82" fillId="78" borderId="101" xfId="210" applyFont="1" applyFill="1" applyBorder="1" applyAlignment="1">
      <alignment horizontal="left"/>
    </xf>
    <xf numFmtId="0" fontId="84" fillId="77" borderId="0" xfId="210" applyFont="1" applyFill="1" applyAlignment="1">
      <alignment horizontal="right"/>
    </xf>
    <xf numFmtId="0" fontId="47" fillId="0" borderId="0" xfId="0" applyNumberFormat="1" applyFont="1" applyFill="1" applyBorder="1" applyAlignment="1" applyProtection="1">
      <alignment horizontal="center" vertical="center"/>
    </xf>
    <xf numFmtId="0" fontId="46" fillId="0" borderId="0" xfId="0" applyNumberFormat="1" applyFont="1" applyFill="1" applyBorder="1" applyAlignment="1" applyProtection="1">
      <alignment horizontal="center" vertical="center"/>
    </xf>
    <xf numFmtId="0" fontId="48" fillId="0" borderId="0" xfId="0" applyNumberFormat="1" applyFont="1" applyFill="1" applyBorder="1" applyAlignment="1" applyProtection="1">
      <alignment horizontal="center" vertical="center"/>
    </xf>
    <xf numFmtId="1" fontId="44" fillId="40" borderId="24" xfId="0" applyNumberFormat="1" applyFont="1" applyFill="1" applyBorder="1" applyAlignment="1" applyProtection="1">
      <alignment horizontal="center" vertical="center"/>
      <protection locked="0"/>
    </xf>
    <xf numFmtId="1" fontId="44" fillId="40" borderId="25" xfId="0" applyNumberFormat="1" applyFont="1" applyFill="1" applyBorder="1" applyAlignment="1" applyProtection="1">
      <alignment horizontal="center" vertical="center"/>
      <protection locked="0"/>
    </xf>
    <xf numFmtId="1" fontId="44" fillId="40" borderId="27" xfId="0" applyNumberFormat="1" applyFont="1" applyFill="1" applyBorder="1" applyAlignment="1" applyProtection="1">
      <alignment horizontal="center" vertical="center"/>
      <protection locked="0"/>
    </xf>
    <xf numFmtId="1" fontId="44" fillId="40" borderId="0" xfId="0" applyNumberFormat="1" applyFont="1" applyFill="1" applyBorder="1" applyAlignment="1" applyProtection="1">
      <alignment horizontal="center" vertical="center"/>
      <protection locked="0"/>
    </xf>
    <xf numFmtId="1" fontId="44" fillId="40" borderId="28" xfId="0" applyNumberFormat="1" applyFont="1" applyFill="1" applyBorder="1" applyAlignment="1" applyProtection="1">
      <alignment horizontal="center" vertical="center"/>
      <protection locked="0"/>
    </xf>
    <xf numFmtId="1" fontId="44" fillId="40" borderId="29" xfId="0" applyNumberFormat="1" applyFont="1" applyFill="1" applyBorder="1" applyAlignment="1" applyProtection="1">
      <alignment horizontal="center" vertical="center"/>
      <protection locked="0"/>
    </xf>
    <xf numFmtId="1" fontId="44" fillId="40" borderId="30" xfId="0" applyNumberFormat="1" applyFont="1" applyFill="1" applyBorder="1" applyAlignment="1" applyProtection="1">
      <alignment horizontal="center" vertical="center"/>
      <protection locked="0"/>
    </xf>
    <xf numFmtId="1" fontId="44" fillId="40" borderId="31" xfId="0" applyNumberFormat="1" applyFont="1" applyFill="1" applyBorder="1" applyAlignment="1" applyProtection="1">
      <alignment horizontal="center" vertical="center"/>
      <protection locked="0"/>
    </xf>
    <xf numFmtId="0" fontId="44" fillId="40" borderId="25" xfId="0" applyNumberFormat="1" applyFont="1" applyFill="1" applyBorder="1" applyAlignment="1" applyProtection="1">
      <alignment horizontal="center" vertical="center"/>
    </xf>
    <xf numFmtId="0" fontId="44" fillId="40" borderId="26" xfId="0" applyNumberFormat="1" applyFont="1" applyFill="1" applyBorder="1" applyAlignment="1" applyProtection="1">
      <alignment horizontal="center" vertical="center"/>
    </xf>
    <xf numFmtId="0" fontId="44" fillId="40" borderId="27" xfId="0" applyNumberFormat="1" applyFont="1" applyFill="1" applyBorder="1" applyAlignment="1" applyProtection="1">
      <alignment horizontal="center" vertical="center"/>
    </xf>
    <xf numFmtId="0" fontId="44" fillId="40" borderId="0" xfId="0" applyNumberFormat="1" applyFont="1" applyFill="1" applyBorder="1" applyAlignment="1" applyProtection="1">
      <alignment horizontal="center" vertical="center"/>
    </xf>
    <xf numFmtId="0" fontId="44" fillId="40" borderId="28" xfId="0" applyNumberFormat="1" applyFont="1" applyFill="1" applyBorder="1" applyAlignment="1" applyProtection="1">
      <alignment horizontal="center" vertical="center"/>
    </xf>
    <xf numFmtId="0" fontId="44" fillId="40" borderId="29" xfId="0" applyNumberFormat="1" applyFont="1" applyFill="1" applyBorder="1" applyAlignment="1" applyProtection="1">
      <alignment horizontal="center" vertical="center"/>
    </xf>
    <xf numFmtId="0" fontId="44" fillId="40" borderId="30" xfId="0" applyNumberFormat="1" applyFont="1" applyFill="1" applyBorder="1" applyAlignment="1" applyProtection="1">
      <alignment horizontal="center" vertical="center"/>
    </xf>
    <xf numFmtId="0" fontId="44" fillId="40" borderId="31" xfId="0" applyNumberFormat="1" applyFont="1" applyFill="1" applyBorder="1" applyAlignment="1" applyProtection="1">
      <alignment horizontal="center" vertical="center"/>
    </xf>
    <xf numFmtId="0" fontId="42" fillId="39" borderId="33" xfId="7" applyNumberFormat="1" applyFont="1" applyFill="1" applyBorder="1" applyAlignment="1" applyProtection="1">
      <alignment horizontal="center" vertical="center"/>
    </xf>
    <xf numFmtId="0" fontId="42" fillId="39" borderId="34" xfId="7" applyNumberFormat="1" applyFont="1" applyFill="1" applyBorder="1" applyAlignment="1" applyProtection="1">
      <alignment horizontal="center" vertical="center"/>
    </xf>
    <xf numFmtId="0" fontId="43" fillId="40" borderId="5" xfId="0" applyNumberFormat="1" applyFont="1" applyFill="1" applyBorder="1" applyAlignment="1" applyProtection="1">
      <alignment horizontal="center" vertical="center"/>
      <protection locked="0"/>
    </xf>
    <xf numFmtId="0" fontId="42" fillId="39" borderId="5" xfId="0" applyNumberFormat="1" applyFont="1" applyFill="1" applyBorder="1" applyAlignment="1">
      <alignment horizontal="center" vertical="center"/>
    </xf>
    <xf numFmtId="0" fontId="82" fillId="77" borderId="104" xfId="210" applyFont="1" applyFill="1" applyBorder="1" applyAlignment="1">
      <alignment horizontal="center"/>
    </xf>
    <xf numFmtId="0" fontId="71" fillId="0" borderId="103" xfId="210" applyFont="1" applyBorder="1"/>
    <xf numFmtId="0" fontId="71" fillId="0" borderId="102" xfId="210" applyFont="1" applyBorder="1"/>
    <xf numFmtId="0" fontId="83" fillId="76" borderId="104" xfId="210" applyFont="1" applyFill="1" applyBorder="1" applyAlignment="1">
      <alignment horizontal="center"/>
    </xf>
    <xf numFmtId="0" fontId="82" fillId="80" borderId="104" xfId="210" applyFont="1" applyFill="1" applyBorder="1" applyAlignment="1">
      <alignment horizontal="center"/>
    </xf>
    <xf numFmtId="0" fontId="82" fillId="79" borderId="104" xfId="210" applyFont="1" applyFill="1" applyBorder="1" applyAlignment="1">
      <alignment horizontal="left"/>
    </xf>
    <xf numFmtId="0" fontId="82" fillId="78" borderId="104" xfId="210" applyFont="1" applyFill="1" applyBorder="1" applyAlignment="1">
      <alignment horizontal="left"/>
    </xf>
    <xf numFmtId="0" fontId="79" fillId="0" borderId="105" xfId="210" applyFont="1" applyBorder="1" applyAlignment="1">
      <alignment horizontal="center"/>
    </xf>
    <xf numFmtId="0" fontId="79" fillId="0" borderId="0" xfId="210" applyFont="1" applyAlignment="1">
      <alignment horizontal="center"/>
    </xf>
    <xf numFmtId="0" fontId="0" fillId="0" borderId="47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57" fillId="39" borderId="0" xfId="0" applyFont="1" applyFill="1" applyAlignment="1">
      <alignment horizontal="center" vertical="center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68" fillId="0" borderId="80" xfId="0" applyFont="1" applyBorder="1" applyAlignment="1">
      <alignment horizontal="center" vertical="center"/>
    </xf>
    <xf numFmtId="0" fontId="68" fillId="0" borderId="83" xfId="0" applyFont="1" applyBorder="1" applyAlignment="1">
      <alignment horizontal="center" vertical="center"/>
    </xf>
    <xf numFmtId="0" fontId="68" fillId="0" borderId="81" xfId="0" applyFont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8" xfId="0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28" xfId="0" applyFont="1" applyBorder="1" applyAlignment="1">
      <alignment horizontal="center"/>
    </xf>
    <xf numFmtId="0" fontId="61" fillId="38" borderId="80" xfId="0" applyFont="1" applyFill="1" applyBorder="1" applyAlignment="1">
      <alignment horizontal="center"/>
    </xf>
    <xf numFmtId="0" fontId="61" fillId="38" borderId="83" xfId="0" applyFont="1" applyFill="1" applyBorder="1" applyAlignment="1">
      <alignment horizontal="center"/>
    </xf>
    <xf numFmtId="0" fontId="61" fillId="38" borderId="81" xfId="0" applyFont="1" applyFill="1" applyBorder="1" applyAlignment="1">
      <alignment horizontal="center"/>
    </xf>
    <xf numFmtId="0" fontId="61" fillId="38" borderId="80" xfId="0" applyFont="1" applyFill="1" applyBorder="1" applyAlignment="1">
      <alignment horizontal="center" vertical="center"/>
    </xf>
    <xf numFmtId="0" fontId="61" fillId="38" borderId="83" xfId="0" applyFont="1" applyFill="1" applyBorder="1" applyAlignment="1">
      <alignment horizontal="center" vertical="center"/>
    </xf>
    <xf numFmtId="0" fontId="61" fillId="38" borderId="8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4" fontId="0" fillId="0" borderId="97" xfId="0" applyNumberFormat="1" applyBorder="1" applyAlignment="1">
      <alignment horizontal="center" vertical="center"/>
    </xf>
    <xf numFmtId="164" fontId="0" fillId="0" borderId="98" xfId="0" applyNumberFormat="1" applyBorder="1" applyAlignment="1">
      <alignment horizontal="center" vertical="center"/>
    </xf>
    <xf numFmtId="0" fontId="6" fillId="0" borderId="83" xfId="0" applyFont="1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81" xfId="0" applyBorder="1" applyAlignment="1">
      <alignment horizontal="center"/>
    </xf>
    <xf numFmtId="0" fontId="6" fillId="0" borderId="80" xfId="0" applyFont="1" applyBorder="1" applyAlignment="1">
      <alignment horizontal="center"/>
    </xf>
    <xf numFmtId="0" fontId="6" fillId="0" borderId="81" xfId="0" applyFont="1" applyBorder="1" applyAlignment="1">
      <alignment horizontal="center"/>
    </xf>
    <xf numFmtId="2" fontId="67" fillId="69" borderId="80" xfId="0" applyNumberFormat="1" applyFont="1" applyFill="1" applyBorder="1" applyAlignment="1">
      <alignment horizontal="center" vertical="center"/>
    </xf>
    <xf numFmtId="2" fontId="67" fillId="69" borderId="81" xfId="0" applyNumberFormat="1" applyFont="1" applyFill="1" applyBorder="1" applyAlignment="1">
      <alignment horizontal="center" vertical="center"/>
    </xf>
    <xf numFmtId="0" fontId="6" fillId="0" borderId="29" xfId="0" applyFont="1" applyBorder="1" applyAlignment="1">
      <alignment horizontal="center"/>
    </xf>
    <xf numFmtId="0" fontId="6" fillId="50" borderId="100" xfId="0" applyFont="1" applyFill="1" applyBorder="1" applyAlignment="1">
      <alignment horizontal="center"/>
    </xf>
    <xf numFmtId="0" fontId="6" fillId="50" borderId="26" xfId="0" applyFont="1" applyFill="1" applyBorder="1" applyAlignment="1">
      <alignment horizontal="center"/>
    </xf>
    <xf numFmtId="0" fontId="0" fillId="0" borderId="80" xfId="0" applyBorder="1" applyAlignment="1">
      <alignment horizontal="center"/>
    </xf>
    <xf numFmtId="0" fontId="64" fillId="51" borderId="80" xfId="0" applyFont="1" applyFill="1" applyBorder="1" applyAlignment="1">
      <alignment horizontal="center"/>
    </xf>
    <xf numFmtId="0" fontId="64" fillId="51" borderId="81" xfId="0" applyFont="1" applyFill="1" applyBorder="1" applyAlignment="1">
      <alignment horizontal="center"/>
    </xf>
    <xf numFmtId="0" fontId="0" fillId="50" borderId="90" xfId="0" applyFill="1" applyBorder="1" applyAlignment="1">
      <alignment horizontal="center"/>
    </xf>
    <xf numFmtId="0" fontId="0" fillId="50" borderId="81" xfId="0" applyFill="1" applyBorder="1" applyAlignment="1">
      <alignment horizontal="center"/>
    </xf>
    <xf numFmtId="0" fontId="6" fillId="38" borderId="80" xfId="0" applyFont="1" applyFill="1" applyBorder="1" applyAlignment="1">
      <alignment horizontal="center"/>
    </xf>
    <xf numFmtId="0" fontId="6" fillId="38" borderId="81" xfId="0" applyFont="1" applyFill="1" applyBorder="1" applyAlignment="1">
      <alignment horizontal="center"/>
    </xf>
    <xf numFmtId="0" fontId="74" fillId="0" borderId="80" xfId="0" applyFont="1" applyBorder="1" applyAlignment="1">
      <alignment horizontal="center"/>
    </xf>
    <xf numFmtId="0" fontId="0" fillId="0" borderId="81" xfId="0" applyBorder="1"/>
    <xf numFmtId="0" fontId="74" fillId="0" borderId="81" xfId="0" applyFont="1" applyBorder="1" applyAlignment="1">
      <alignment horizontal="center"/>
    </xf>
    <xf numFmtId="0" fontId="0" fillId="38" borderId="80" xfId="0" applyFill="1" applyBorder="1" applyAlignment="1">
      <alignment horizontal="center" vertical="center"/>
    </xf>
    <xf numFmtId="0" fontId="0" fillId="38" borderId="83" xfId="0" applyFill="1" applyBorder="1" applyAlignment="1">
      <alignment horizontal="center" vertical="center"/>
    </xf>
    <xf numFmtId="0" fontId="0" fillId="38" borderId="81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1" xfId="0" applyFill="1" applyBorder="1" applyAlignment="1">
      <alignment horizontal="center" vertical="center"/>
    </xf>
    <xf numFmtId="0" fontId="51" fillId="10" borderId="29" xfId="0" applyFont="1" applyFill="1" applyBorder="1" applyAlignment="1">
      <alignment horizontal="center" vertical="center"/>
    </xf>
    <xf numFmtId="0" fontId="51" fillId="10" borderId="30" xfId="0" applyFont="1" applyFill="1" applyBorder="1" applyAlignment="1">
      <alignment horizontal="center" vertical="center"/>
    </xf>
    <xf numFmtId="0" fontId="51" fillId="10" borderId="31" xfId="0" applyFont="1" applyFill="1" applyBorder="1" applyAlignment="1">
      <alignment horizontal="center" vertical="center"/>
    </xf>
    <xf numFmtId="0" fontId="0" fillId="58" borderId="80" xfId="0" applyFill="1" applyBorder="1" applyAlignment="1">
      <alignment horizontal="center" vertical="center"/>
    </xf>
    <xf numFmtId="0" fontId="0" fillId="58" borderId="81" xfId="0" applyFill="1" applyBorder="1" applyAlignment="1">
      <alignment horizontal="center" vertical="center"/>
    </xf>
    <xf numFmtId="0" fontId="0" fillId="38" borderId="74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2" xfId="0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38" borderId="75" xfId="0" applyFill="1" applyBorder="1" applyAlignment="1">
      <alignment horizontal="center" vertical="center"/>
    </xf>
    <xf numFmtId="0" fontId="0" fillId="11" borderId="69" xfId="0" applyFill="1" applyBorder="1" applyAlignment="1">
      <alignment horizontal="center" vertical="center"/>
    </xf>
    <xf numFmtId="0" fontId="0" fillId="11" borderId="70" xfId="0" applyFill="1" applyBorder="1" applyAlignment="1">
      <alignment horizontal="center" vertical="center"/>
    </xf>
    <xf numFmtId="0" fontId="0" fillId="11" borderId="71" xfId="0" applyFill="1" applyBorder="1" applyAlignment="1">
      <alignment horizontal="center" vertical="center"/>
    </xf>
    <xf numFmtId="0" fontId="0" fillId="11" borderId="72" xfId="0" applyFill="1" applyBorder="1" applyAlignment="1">
      <alignment horizontal="center" vertical="center"/>
    </xf>
    <xf numFmtId="0" fontId="0" fillId="11" borderId="73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74" xfId="0" applyFill="1" applyBorder="1" applyAlignment="1">
      <alignment horizontal="center" vertical="center"/>
    </xf>
    <xf numFmtId="0" fontId="0" fillId="11" borderId="75" xfId="0" applyFill="1" applyBorder="1" applyAlignment="1">
      <alignment horizontal="center" vertical="center"/>
    </xf>
    <xf numFmtId="0" fontId="38" fillId="0" borderId="1" xfId="3" applyNumberFormat="1" applyFont="1" applyFill="1" applyBorder="1" applyAlignment="1" applyProtection="1">
      <alignment horizontal="center" vertical="center"/>
    </xf>
    <xf numFmtId="0" fontId="38" fillId="0" borderId="2" xfId="3" applyNumberFormat="1" applyFont="1" applyFill="1" applyBorder="1" applyAlignment="1" applyProtection="1">
      <alignment horizontal="center" vertical="center"/>
    </xf>
    <xf numFmtId="0" fontId="38" fillId="0" borderId="10" xfId="3" applyNumberFormat="1" applyFont="1" applyFill="1" applyBorder="1" applyAlignment="1" applyProtection="1">
      <alignment horizontal="center" vertical="center"/>
    </xf>
    <xf numFmtId="0" fontId="38" fillId="0" borderId="1" xfId="0" applyNumberFormat="1" applyFont="1" applyFill="1" applyBorder="1" applyAlignment="1" applyProtection="1">
      <alignment horizontal="center" vertical="center"/>
    </xf>
    <xf numFmtId="0" fontId="38" fillId="0" borderId="10" xfId="0" applyNumberFormat="1" applyFont="1" applyFill="1" applyBorder="1" applyAlignment="1" applyProtection="1">
      <alignment horizontal="center" vertical="center"/>
    </xf>
    <xf numFmtId="0" fontId="38" fillId="0" borderId="2" xfId="0" applyNumberFormat="1" applyFont="1" applyFill="1" applyBorder="1" applyAlignment="1" applyProtection="1">
      <alignment horizontal="center" vertical="center"/>
    </xf>
    <xf numFmtId="0" fontId="38" fillId="38" borderId="5" xfId="3" applyNumberFormat="1" applyFont="1" applyFill="1" applyBorder="1" applyAlignment="1" applyProtection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38" fillId="7" borderId="5" xfId="0" applyFont="1" applyFill="1" applyBorder="1" applyAlignment="1">
      <alignment horizontal="center" vertical="center"/>
    </xf>
    <xf numFmtId="0" fontId="38" fillId="8" borderId="5" xfId="0" applyFont="1" applyFill="1" applyBorder="1" applyAlignment="1">
      <alignment horizontal="center" vertical="center"/>
    </xf>
    <xf numFmtId="0" fontId="38" fillId="9" borderId="5" xfId="0" applyFont="1" applyFill="1" applyBorder="1" applyAlignment="1">
      <alignment horizontal="center" vertical="center"/>
    </xf>
    <xf numFmtId="0" fontId="38" fillId="10" borderId="5" xfId="0" applyFont="1" applyFill="1" applyBorder="1" applyAlignment="1">
      <alignment horizontal="center" vertical="center"/>
    </xf>
    <xf numFmtId="0" fontId="38" fillId="12" borderId="5" xfId="0" applyFont="1" applyFill="1" applyBorder="1" applyAlignment="1">
      <alignment horizontal="center" vertical="center"/>
    </xf>
    <xf numFmtId="0" fontId="38" fillId="13" borderId="5" xfId="0" applyFont="1" applyFill="1" applyBorder="1" applyAlignment="1">
      <alignment horizontal="center" vertical="center"/>
    </xf>
    <xf numFmtId="0" fontId="38" fillId="14" borderId="5" xfId="0" applyFon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5" fillId="39" borderId="3" xfId="0" applyFont="1" applyFill="1" applyBorder="1" applyAlignment="1">
      <alignment horizontal="center" vertical="center"/>
    </xf>
    <xf numFmtId="0" fontId="45" fillId="39" borderId="46" xfId="0" applyFont="1" applyFill="1" applyBorder="1" applyAlignment="1">
      <alignment horizontal="center" vertical="center"/>
    </xf>
    <xf numFmtId="0" fontId="45" fillId="39" borderId="4" xfId="0" applyFont="1" applyFill="1" applyBorder="1" applyAlignment="1">
      <alignment horizontal="center" vertical="center"/>
    </xf>
    <xf numFmtId="0" fontId="45" fillId="39" borderId="5" xfId="0" applyFont="1" applyFill="1" applyBorder="1" applyAlignment="1">
      <alignment horizontal="center" vertical="center"/>
    </xf>
    <xf numFmtId="0" fontId="45" fillId="39" borderId="43" xfId="0" applyFont="1" applyFill="1" applyBorder="1" applyAlignment="1">
      <alignment horizontal="center" vertical="center"/>
    </xf>
    <xf numFmtId="0" fontId="45" fillId="39" borderId="44" xfId="0" applyFont="1" applyFill="1" applyBorder="1" applyAlignment="1">
      <alignment horizontal="center" vertical="center"/>
    </xf>
    <xf numFmtId="0" fontId="45" fillId="39" borderId="45" xfId="0" applyFont="1" applyFill="1" applyBorder="1" applyAlignment="1">
      <alignment horizontal="center" vertical="center"/>
    </xf>
    <xf numFmtId="0" fontId="45" fillId="39" borderId="42" xfId="0" applyFont="1" applyFill="1" applyBorder="1" applyAlignment="1">
      <alignment horizontal="center" vertical="center"/>
    </xf>
    <xf numFmtId="0" fontId="45" fillId="39" borderId="57" xfId="0" applyFont="1" applyFill="1" applyBorder="1" applyAlignment="1">
      <alignment horizontal="center" vertical="center"/>
    </xf>
    <xf numFmtId="0" fontId="45" fillId="39" borderId="56" xfId="0" applyFont="1" applyFill="1" applyBorder="1" applyAlignment="1">
      <alignment horizontal="center" vertical="center"/>
    </xf>
    <xf numFmtId="0" fontId="45" fillId="39" borderId="55" xfId="0" applyFont="1" applyFill="1" applyBorder="1" applyAlignment="1">
      <alignment horizontal="center" vertical="center"/>
    </xf>
    <xf numFmtId="0" fontId="41" fillId="3" borderId="0" xfId="3" applyFont="1" applyBorder="1" applyAlignment="1" applyProtection="1">
      <alignment horizontal="center" vertical="center"/>
    </xf>
    <xf numFmtId="0" fontId="40" fillId="0" borderId="5" xfId="205" applyFont="1" applyBorder="1" applyAlignment="1">
      <alignment horizontal="center" vertical="center"/>
    </xf>
    <xf numFmtId="0" fontId="45" fillId="39" borderId="43" xfId="205" applyFont="1" applyFill="1" applyBorder="1" applyAlignment="1">
      <alignment horizontal="center" vertical="center"/>
    </xf>
    <xf numFmtId="0" fontId="45" fillId="39" borderId="44" xfId="205" applyFont="1" applyFill="1" applyBorder="1" applyAlignment="1">
      <alignment horizontal="center" vertical="center"/>
    </xf>
    <xf numFmtId="0" fontId="45" fillId="39" borderId="42" xfId="205" applyFont="1" applyFill="1" applyBorder="1" applyAlignment="1">
      <alignment horizontal="center" vertical="center"/>
    </xf>
    <xf numFmtId="0" fontId="39" fillId="0" borderId="5" xfId="205" applyFont="1" applyBorder="1" applyAlignment="1">
      <alignment horizontal="center" vertical="center"/>
    </xf>
    <xf numFmtId="0" fontId="45" fillId="39" borderId="5" xfId="205" applyFont="1" applyFill="1" applyBorder="1" applyAlignment="1">
      <alignment horizontal="center" vertical="center"/>
    </xf>
    <xf numFmtId="0" fontId="45" fillId="39" borderId="57" xfId="205" applyFont="1" applyFill="1" applyBorder="1" applyAlignment="1">
      <alignment horizontal="center" vertical="center"/>
    </xf>
    <xf numFmtId="0" fontId="45" fillId="39" borderId="56" xfId="205" applyFont="1" applyFill="1" applyBorder="1" applyAlignment="1">
      <alignment horizontal="center" vertical="center"/>
    </xf>
    <xf numFmtId="0" fontId="45" fillId="39" borderId="55" xfId="205" applyFont="1" applyFill="1" applyBorder="1" applyAlignment="1">
      <alignment horizontal="center" vertical="center"/>
    </xf>
    <xf numFmtId="0" fontId="39" fillId="0" borderId="1" xfId="205" applyFont="1" applyBorder="1" applyAlignment="1">
      <alignment horizontal="center" vertical="center"/>
    </xf>
    <xf numFmtId="0" fontId="39" fillId="0" borderId="10" xfId="205" applyFont="1" applyBorder="1" applyAlignment="1">
      <alignment horizontal="center" vertical="center"/>
    </xf>
    <xf numFmtId="0" fontId="39" fillId="0" borderId="2" xfId="205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2" fontId="38" fillId="0" borderId="5" xfId="86" applyNumberFormat="1" applyFont="1" applyBorder="1" applyAlignment="1">
      <alignment horizontal="center" vertical="center"/>
    </xf>
    <xf numFmtId="2" fontId="38" fillId="0" borderId="3" xfId="86" applyNumberFormat="1" applyFont="1" applyBorder="1" applyAlignment="1">
      <alignment horizontal="center" vertical="center"/>
    </xf>
    <xf numFmtId="2" fontId="38" fillId="0" borderId="46" xfId="86" applyNumberFormat="1" applyFont="1" applyBorder="1" applyAlignment="1">
      <alignment horizontal="center" vertical="center"/>
    </xf>
    <xf numFmtId="2" fontId="38" fillId="0" borderId="4" xfId="86" applyNumberFormat="1" applyFont="1" applyBorder="1" applyAlignment="1">
      <alignment horizontal="center" vertical="center"/>
    </xf>
    <xf numFmtId="2" fontId="38" fillId="0" borderId="8" xfId="86" applyNumberFormat="1" applyFont="1" applyBorder="1" applyAlignment="1">
      <alignment horizontal="center" vertical="center"/>
    </xf>
    <xf numFmtId="2" fontId="38" fillId="0" borderId="37" xfId="86" applyNumberFormat="1" applyFont="1" applyBorder="1" applyAlignment="1">
      <alignment horizontal="center" vertical="center"/>
    </xf>
    <xf numFmtId="2" fontId="38" fillId="0" borderId="9" xfId="86" applyNumberFormat="1" applyFont="1" applyBorder="1" applyAlignment="1">
      <alignment horizontal="center" vertical="center"/>
    </xf>
    <xf numFmtId="2" fontId="38" fillId="0" borderId="1" xfId="5" applyNumberFormat="1" applyFont="1" applyBorder="1" applyAlignment="1">
      <alignment horizontal="center" vertical="center"/>
    </xf>
    <xf numFmtId="2" fontId="38" fillId="0" borderId="10" xfId="5" applyNumberFormat="1" applyFont="1" applyBorder="1" applyAlignment="1">
      <alignment horizontal="center" vertical="center"/>
    </xf>
    <xf numFmtId="2" fontId="38" fillId="0" borderId="2" xfId="5" applyNumberFormat="1" applyFont="1" applyBorder="1" applyAlignment="1">
      <alignment horizontal="center" vertical="center"/>
    </xf>
    <xf numFmtId="2" fontId="38" fillId="0" borderId="5" xfId="6" applyNumberFormat="1" applyFont="1" applyBorder="1" applyAlignment="1">
      <alignment horizontal="center" vertical="center"/>
    </xf>
    <xf numFmtId="2" fontId="38" fillId="0" borderId="1" xfId="86" applyNumberFormat="1" applyFont="1" applyBorder="1" applyAlignment="1">
      <alignment horizontal="center" vertical="center"/>
    </xf>
    <xf numFmtId="2" fontId="38" fillId="0" borderId="10" xfId="86" applyNumberFormat="1" applyFont="1" applyBorder="1" applyAlignment="1">
      <alignment horizontal="center" vertical="center"/>
    </xf>
    <xf numFmtId="2" fontId="38" fillId="0" borderId="2" xfId="86" applyNumberFormat="1" applyFont="1" applyBorder="1" applyAlignment="1">
      <alignment horizontal="center" vertical="center"/>
    </xf>
    <xf numFmtId="171" fontId="42" fillId="0" borderId="0" xfId="0" applyNumberFormat="1" applyFont="1" applyFill="1" applyBorder="1" applyAlignment="1">
      <alignment horizontal="center" vertical="center"/>
    </xf>
    <xf numFmtId="171" fontId="39" fillId="0" borderId="0" xfId="0" applyNumberFormat="1" applyFont="1" applyFill="1" applyBorder="1" applyAlignment="1" applyProtection="1">
      <alignment horizontal="center" vertical="center"/>
    </xf>
    <xf numFmtId="171" fontId="42" fillId="0" borderId="30" xfId="0" applyNumberFormat="1" applyFont="1" applyFill="1" applyBorder="1" applyAlignment="1">
      <alignment horizontal="center" vertical="center"/>
    </xf>
    <xf numFmtId="171" fontId="39" fillId="0" borderId="30" xfId="0" applyNumberFormat="1" applyFont="1" applyFill="1" applyBorder="1" applyAlignment="1" applyProtection="1">
      <alignment horizontal="center" vertical="center"/>
    </xf>
  </cellXfs>
  <cellStyles count="211">
    <cellStyle name="20% - Ênfase1 2" xfId="13" xr:uid="{00000000-0005-0000-0000-000000000000}"/>
    <cellStyle name="20% - Ênfase1 3" xfId="21" xr:uid="{00000000-0005-0000-0000-000001000000}"/>
    <cellStyle name="20% - Ênfase2 2" xfId="17" xr:uid="{00000000-0005-0000-0000-000002000000}"/>
    <cellStyle name="20% - Ênfase2 3" xfId="18" xr:uid="{00000000-0005-0000-0000-000003000000}"/>
    <cellStyle name="20% - Ênfase3 2" xfId="19" xr:uid="{00000000-0005-0000-0000-000004000000}"/>
    <cellStyle name="20% - Ênfase3 3" xfId="15" xr:uid="{00000000-0005-0000-0000-000005000000}"/>
    <cellStyle name="20% - Ênfase4 2" xfId="14" xr:uid="{00000000-0005-0000-0000-000006000000}"/>
    <cellStyle name="20% - Ênfase4 3" xfId="3" xr:uid="{00000000-0005-0000-0000-000007000000}"/>
    <cellStyle name="20% - Ênfase5 2" xfId="22" xr:uid="{00000000-0005-0000-0000-000008000000}"/>
    <cellStyle name="20% - Ênfase5 3" xfId="23" xr:uid="{00000000-0005-0000-0000-000009000000}"/>
    <cellStyle name="20% - Ênfase6 2" xfId="24" xr:uid="{00000000-0005-0000-0000-00000A000000}"/>
    <cellStyle name="20% - Ênfase6 3" xfId="25" xr:uid="{00000000-0005-0000-0000-00000B000000}"/>
    <cellStyle name="20% - ส่วนที่ถูกเน้น5 2" xfId="16" xr:uid="{00000000-0005-0000-0000-00000C000000}"/>
    <cellStyle name="40% - Dekorfärg2 2" xfId="170" xr:uid="{00000000-0005-0000-0000-00000D000000}"/>
    <cellStyle name="40% - Dekorfärg3 2" xfId="171" xr:uid="{00000000-0005-0000-0000-00000E000000}"/>
    <cellStyle name="40% - Ênfase1 2" xfId="26" xr:uid="{00000000-0005-0000-0000-00000F000000}"/>
    <cellStyle name="40% - Ênfase1 3" xfId="27" xr:uid="{00000000-0005-0000-0000-000010000000}"/>
    <cellStyle name="40% - Ênfase2 2" xfId="28" xr:uid="{00000000-0005-0000-0000-000011000000}"/>
    <cellStyle name="40% - Ênfase2 3" xfId="29" xr:uid="{00000000-0005-0000-0000-000012000000}"/>
    <cellStyle name="40% - Ênfase3 2" xfId="30" xr:uid="{00000000-0005-0000-0000-000013000000}"/>
    <cellStyle name="40% - Ênfase3 3" xfId="31" xr:uid="{00000000-0005-0000-0000-000014000000}"/>
    <cellStyle name="40% - Ênfase4 2" xfId="32" xr:uid="{00000000-0005-0000-0000-000015000000}"/>
    <cellStyle name="40% - Ênfase4 3" xfId="33" xr:uid="{00000000-0005-0000-0000-000016000000}"/>
    <cellStyle name="40% - Ênfase5 2" xfId="34" xr:uid="{00000000-0005-0000-0000-000017000000}"/>
    <cellStyle name="40% - Ênfase5 3" xfId="35" xr:uid="{00000000-0005-0000-0000-000018000000}"/>
    <cellStyle name="40% - Ênfase6 2" xfId="36" xr:uid="{00000000-0005-0000-0000-000019000000}"/>
    <cellStyle name="40% - Ênfase6 3" xfId="37" xr:uid="{00000000-0005-0000-0000-00001A000000}"/>
    <cellStyle name="40% - ส่วนที่ถูกเน้น2 2" xfId="195" xr:uid="{00000000-0005-0000-0000-00001B000000}"/>
    <cellStyle name="40% - ส่วนที่ถูกเน้น3 2" xfId="187" xr:uid="{00000000-0005-0000-0000-00001C000000}"/>
    <cellStyle name="60% - Ênfase1 2" xfId="39" xr:uid="{00000000-0005-0000-0000-00001D000000}"/>
    <cellStyle name="60% - Ênfase1 3" xfId="40" xr:uid="{00000000-0005-0000-0000-00001E000000}"/>
    <cellStyle name="60% - Ênfase2 2" xfId="41" xr:uid="{00000000-0005-0000-0000-00001F000000}"/>
    <cellStyle name="60% - Ênfase2 3" xfId="42" xr:uid="{00000000-0005-0000-0000-000020000000}"/>
    <cellStyle name="60% - Ênfase3 2" xfId="43" xr:uid="{00000000-0005-0000-0000-000021000000}"/>
    <cellStyle name="60% - Ênfase3 3" xfId="44" xr:uid="{00000000-0005-0000-0000-000022000000}"/>
    <cellStyle name="60% - Ênfase4 2" xfId="45" xr:uid="{00000000-0005-0000-0000-000023000000}"/>
    <cellStyle name="60% - Ênfase4 3" xfId="46" xr:uid="{00000000-0005-0000-0000-000024000000}"/>
    <cellStyle name="60% - Ênfase5 2" xfId="47" xr:uid="{00000000-0005-0000-0000-000025000000}"/>
    <cellStyle name="60% - Ênfase5 3" xfId="48" xr:uid="{00000000-0005-0000-0000-000026000000}"/>
    <cellStyle name="60% - Ênfase6 2" xfId="49" xr:uid="{00000000-0005-0000-0000-000027000000}"/>
    <cellStyle name="60% - Ênfase6 3" xfId="50" xr:uid="{00000000-0005-0000-0000-000028000000}"/>
    <cellStyle name="60% - ส่วนที่ถูกเน้น5 2" xfId="38" xr:uid="{00000000-0005-0000-0000-000029000000}"/>
    <cellStyle name="Bom 2" xfId="51" xr:uid="{00000000-0005-0000-0000-00002A000000}"/>
    <cellStyle name="Bom 3" xfId="52" xr:uid="{00000000-0005-0000-0000-00002B000000}"/>
    <cellStyle name="Cálculo 2" xfId="53" xr:uid="{00000000-0005-0000-0000-00002C000000}"/>
    <cellStyle name="Cálculo 3" xfId="54" xr:uid="{00000000-0005-0000-0000-00002D000000}"/>
    <cellStyle name="Célula de Verificação 2" xfId="55" xr:uid="{00000000-0005-0000-0000-00002E000000}"/>
    <cellStyle name="Célula de Verificação 3" xfId="56" xr:uid="{00000000-0005-0000-0000-00002F000000}"/>
    <cellStyle name="Célula Vinculada 2" xfId="57" xr:uid="{00000000-0005-0000-0000-000030000000}"/>
    <cellStyle name="Célula Vinculada 3" xfId="58" xr:uid="{00000000-0005-0000-0000-000031000000}"/>
    <cellStyle name="Check Cell 2" xfId="59" xr:uid="{00000000-0005-0000-0000-000032000000}"/>
    <cellStyle name="Comma [0] 2" xfId="200" xr:uid="{00000000-0005-0000-0000-000033000000}"/>
    <cellStyle name="Comma 2" xfId="168" xr:uid="{00000000-0005-0000-0000-000034000000}"/>
    <cellStyle name="Ênfase1 2" xfId="60" xr:uid="{00000000-0005-0000-0000-000035000000}"/>
    <cellStyle name="Ênfase1 3" xfId="61" xr:uid="{00000000-0005-0000-0000-000036000000}"/>
    <cellStyle name="Ênfase2 2" xfId="62" xr:uid="{00000000-0005-0000-0000-000037000000}"/>
    <cellStyle name="Ênfase2 3" xfId="63" xr:uid="{00000000-0005-0000-0000-000038000000}"/>
    <cellStyle name="Ênfase3 2" xfId="64" xr:uid="{00000000-0005-0000-0000-000039000000}"/>
    <cellStyle name="Ênfase3 3" xfId="65" xr:uid="{00000000-0005-0000-0000-00003A000000}"/>
    <cellStyle name="Ênfase4 2" xfId="66" xr:uid="{00000000-0005-0000-0000-00003B000000}"/>
    <cellStyle name="Ênfase4 3" xfId="67" xr:uid="{00000000-0005-0000-0000-00003C000000}"/>
    <cellStyle name="Ênfase5 2" xfId="68" xr:uid="{00000000-0005-0000-0000-00003D000000}"/>
    <cellStyle name="Ênfase5 3" xfId="69" xr:uid="{00000000-0005-0000-0000-00003E000000}"/>
    <cellStyle name="Ênfase6 2" xfId="70" xr:uid="{00000000-0005-0000-0000-00003F000000}"/>
    <cellStyle name="Ênfase6 3" xfId="71" xr:uid="{00000000-0005-0000-0000-000040000000}"/>
    <cellStyle name="Entrada 2" xfId="72" xr:uid="{00000000-0005-0000-0000-000041000000}"/>
    <cellStyle name="Entrada 3" xfId="73" xr:uid="{00000000-0005-0000-0000-000042000000}"/>
    <cellStyle name="Estilo 1" xfId="178" xr:uid="{00000000-0005-0000-0000-000043000000}"/>
    <cellStyle name="Excel Built-in Comma" xfId="74" xr:uid="{00000000-0005-0000-0000-000044000000}"/>
    <cellStyle name="Excel Built-in Currency" xfId="75" xr:uid="{00000000-0005-0000-0000-000045000000}"/>
    <cellStyle name="Excel Built-in Excel Built-in Normal" xfId="179" xr:uid="{00000000-0005-0000-0000-000046000000}"/>
    <cellStyle name="Excel Built-in Normal" xfId="76" xr:uid="{00000000-0005-0000-0000-000047000000}"/>
    <cellStyle name="Excel Built-in Normal 1" xfId="77" xr:uid="{00000000-0005-0000-0000-000048000000}"/>
    <cellStyle name="Excel Built-in Normal 2" xfId="78" xr:uid="{00000000-0005-0000-0000-000049000000}"/>
    <cellStyle name="Excel Built-in Normal_274y+66" xfId="79" xr:uid="{00000000-0005-0000-0000-00004A000000}"/>
    <cellStyle name="Excel Built-in Percent" xfId="80" xr:uid="{00000000-0005-0000-0000-00004B000000}"/>
    <cellStyle name="Excel Built-in 표준_아이스스파" xfId="180" xr:uid="{00000000-0005-0000-0000-00004C000000}"/>
    <cellStyle name="Excel_BuiltIn_Saída 1" xfId="181" xr:uid="{00000000-0005-0000-0000-00004D000000}"/>
    <cellStyle name="Hiperlink" xfId="209" builtinId="8"/>
    <cellStyle name="Incorreto 2" xfId="81" xr:uid="{00000000-0005-0000-0000-00004F000000}"/>
    <cellStyle name="Incorreto 3" xfId="82" xr:uid="{00000000-0005-0000-0000-000050000000}"/>
    <cellStyle name="Moeda 2" xfId="83" xr:uid="{00000000-0005-0000-0000-000051000000}"/>
    <cellStyle name="Neutra 2" xfId="84" xr:uid="{00000000-0005-0000-0000-000052000000}"/>
    <cellStyle name="Neutra 3" xfId="85" xr:uid="{00000000-0005-0000-0000-000053000000}"/>
    <cellStyle name="Neutro" xfId="2" builtinId="28"/>
    <cellStyle name="Normal" xfId="0" builtinId="0"/>
    <cellStyle name="Normal 10" xfId="190" xr:uid="{00000000-0005-0000-0000-000055000000}"/>
    <cellStyle name="Normal 11" xfId="86" xr:uid="{00000000-0005-0000-0000-000056000000}"/>
    <cellStyle name="Normal 11 2" xfId="193" xr:uid="{00000000-0005-0000-0000-000057000000}"/>
    <cellStyle name="Normal 12" xfId="20" xr:uid="{00000000-0005-0000-0000-000058000000}"/>
    <cellStyle name="Normal 13" xfId="9" xr:uid="{00000000-0005-0000-0000-000059000000}"/>
    <cellStyle name="Normal 14" xfId="205" xr:uid="{62A898F1-E24D-412C-8B1A-7ACA4B0ACF78}"/>
    <cellStyle name="Normal 15" xfId="210" xr:uid="{2FE00C13-2D75-485A-BD71-0132CFEEC8B0}"/>
    <cellStyle name="Normal 2" xfId="10" xr:uid="{00000000-0005-0000-0000-00005A000000}"/>
    <cellStyle name="Normal 2 2" xfId="87" xr:uid="{00000000-0005-0000-0000-00005B000000}"/>
    <cellStyle name="Normal 2 2 2" xfId="88" xr:uid="{00000000-0005-0000-0000-00005C000000}"/>
    <cellStyle name="Normal 2 2 2 2" xfId="6" xr:uid="{00000000-0005-0000-0000-00005D000000}"/>
    <cellStyle name="Normal 2 2 2 2 2" xfId="204" xr:uid="{00000000-0005-0000-0000-00005E000000}"/>
    <cellStyle name="Normal 2 3" xfId="89" xr:uid="{00000000-0005-0000-0000-00005F000000}"/>
    <cellStyle name="Normal 2 4" xfId="90" xr:uid="{00000000-0005-0000-0000-000060000000}"/>
    <cellStyle name="Normal 2 5" xfId="91" xr:uid="{00000000-0005-0000-0000-000061000000}"/>
    <cellStyle name="Normal 2 6" xfId="92" xr:uid="{00000000-0005-0000-0000-000062000000}"/>
    <cellStyle name="Normal 2 7" xfId="4" xr:uid="{00000000-0005-0000-0000-000063000000}"/>
    <cellStyle name="Normal 2 8" xfId="93" xr:uid="{00000000-0005-0000-0000-000064000000}"/>
    <cellStyle name="Normal 2 8 2" xfId="94" xr:uid="{00000000-0005-0000-0000-000065000000}"/>
    <cellStyle name="Normal 3" xfId="95" xr:uid="{00000000-0005-0000-0000-000066000000}"/>
    <cellStyle name="Normal 3 2" xfId="96" xr:uid="{00000000-0005-0000-0000-000067000000}"/>
    <cellStyle name="Normal 3 2 2" xfId="5" xr:uid="{00000000-0005-0000-0000-000068000000}"/>
    <cellStyle name="Normal 3 2 2 2" xfId="176" xr:uid="{00000000-0005-0000-0000-000069000000}"/>
    <cellStyle name="Normal 3 2 2 2 2" xfId="208" xr:uid="{F2868A8B-D634-4245-B131-8FA622B937FF}"/>
    <cellStyle name="Normal 4" xfId="97" xr:uid="{00000000-0005-0000-0000-00006A000000}"/>
    <cellStyle name="Normal 4 2" xfId="98" xr:uid="{00000000-0005-0000-0000-00006B000000}"/>
    <cellStyle name="Normal 4 3" xfId="99" xr:uid="{00000000-0005-0000-0000-00006C000000}"/>
    <cellStyle name="Normal 5" xfId="100" xr:uid="{00000000-0005-0000-0000-00006D000000}"/>
    <cellStyle name="Normal 6" xfId="101" xr:uid="{00000000-0005-0000-0000-00006E000000}"/>
    <cellStyle name="Normal 7" xfId="102" xr:uid="{00000000-0005-0000-0000-00006F000000}"/>
    <cellStyle name="Normal 7 2" xfId="103" xr:uid="{00000000-0005-0000-0000-000070000000}"/>
    <cellStyle name="Normal 8" xfId="104" xr:uid="{00000000-0005-0000-0000-000071000000}"/>
    <cellStyle name="Normal 9" xfId="105" xr:uid="{00000000-0005-0000-0000-000072000000}"/>
    <cellStyle name="Nota 2" xfId="106" xr:uid="{00000000-0005-0000-0000-000073000000}"/>
    <cellStyle name="Nota 3" xfId="107" xr:uid="{00000000-0005-0000-0000-000074000000}"/>
    <cellStyle name="Percent 2" xfId="11" xr:uid="{00000000-0005-0000-0000-000076000000}"/>
    <cellStyle name="Percent 2 2" xfId="108" xr:uid="{00000000-0005-0000-0000-000077000000}"/>
    <cellStyle name="Percent 3" xfId="175" xr:uid="{00000000-0005-0000-0000-000078000000}"/>
    <cellStyle name="Percent 4" xfId="206" xr:uid="{77C92CC8-69C4-44F1-9D67-A4B1B3641781}"/>
    <cellStyle name="Porcentagem" xfId="1" builtinId="5"/>
    <cellStyle name="Porcentagem 2" xfId="174" xr:uid="{00000000-0005-0000-0000-000079000000}"/>
    <cellStyle name="Saída 2" xfId="109" xr:uid="{00000000-0005-0000-0000-00007A000000}"/>
    <cellStyle name="Saída 3" xfId="110" xr:uid="{00000000-0005-0000-0000-00007B000000}"/>
    <cellStyle name="Separador de milhares 2" xfId="111" xr:uid="{00000000-0005-0000-0000-00007C000000}"/>
    <cellStyle name="Separador de milhares 3" xfId="112" xr:uid="{00000000-0005-0000-0000-00007D000000}"/>
    <cellStyle name="Separador de milhares 4" xfId="113" xr:uid="{00000000-0005-0000-0000-00007E000000}"/>
    <cellStyle name="Standaard_Blad1" xfId="182" xr:uid="{00000000-0005-0000-0000-00007F000000}"/>
    <cellStyle name="Style 1" xfId="114" xr:uid="{00000000-0005-0000-0000-000080000000}"/>
    <cellStyle name="Style 1 2" xfId="172" xr:uid="{00000000-0005-0000-0000-000081000000}"/>
    <cellStyle name="Style 1 2 2" xfId="201" xr:uid="{00000000-0005-0000-0000-000082000000}"/>
    <cellStyle name="Style 1 2 3" xfId="203" xr:uid="{00000000-0005-0000-0000-000083000000}"/>
    <cellStyle name="Style 1 2 4" xfId="194" xr:uid="{00000000-0005-0000-0000-000084000000}"/>
    <cellStyle name="Style 1 3" xfId="192" xr:uid="{00000000-0005-0000-0000-000085000000}"/>
    <cellStyle name="Texto de Aviso 2" xfId="115" xr:uid="{00000000-0005-0000-0000-000086000000}"/>
    <cellStyle name="Texto de Aviso 3" xfId="116" xr:uid="{00000000-0005-0000-0000-000087000000}"/>
    <cellStyle name="Texto Explicativo 2" xfId="117" xr:uid="{00000000-0005-0000-0000-000088000000}"/>
    <cellStyle name="Texto Explicativo 3" xfId="118" xr:uid="{00000000-0005-0000-0000-000089000000}"/>
    <cellStyle name="Título 1 1" xfId="119" xr:uid="{00000000-0005-0000-0000-00008A000000}"/>
    <cellStyle name="Título 1 1 1" xfId="120" xr:uid="{00000000-0005-0000-0000-00008B000000}"/>
    <cellStyle name="Título 1 1 1 1" xfId="121" xr:uid="{00000000-0005-0000-0000-00008C000000}"/>
    <cellStyle name="Título 1 1 1 1 1" xfId="122" xr:uid="{00000000-0005-0000-0000-00008D000000}"/>
    <cellStyle name="Título 1 1 1 1 1 1" xfId="123" xr:uid="{00000000-0005-0000-0000-00008E000000}"/>
    <cellStyle name="Título 1 1 1 1 1 1 1" xfId="124" xr:uid="{00000000-0005-0000-0000-00008F000000}"/>
    <cellStyle name="Título 1 2" xfId="125" xr:uid="{00000000-0005-0000-0000-000090000000}"/>
    <cellStyle name="Título 1 3" xfId="126" xr:uid="{00000000-0005-0000-0000-000091000000}"/>
    <cellStyle name="Título 2 2" xfId="127" xr:uid="{00000000-0005-0000-0000-000092000000}"/>
    <cellStyle name="Título 2 3" xfId="128" xr:uid="{00000000-0005-0000-0000-000093000000}"/>
    <cellStyle name="Título 3 2" xfId="129" xr:uid="{00000000-0005-0000-0000-000094000000}"/>
    <cellStyle name="Título 3 3" xfId="130" xr:uid="{00000000-0005-0000-0000-000095000000}"/>
    <cellStyle name="Título 4 2" xfId="131" xr:uid="{00000000-0005-0000-0000-000096000000}"/>
    <cellStyle name="Título 4 3" xfId="132" xr:uid="{00000000-0005-0000-0000-000097000000}"/>
    <cellStyle name="Total 2" xfId="133" xr:uid="{00000000-0005-0000-0000-000098000000}"/>
    <cellStyle name="Total 3" xfId="134" xr:uid="{00000000-0005-0000-0000-000099000000}"/>
    <cellStyle name="Tusental 2" xfId="173" xr:uid="{00000000-0005-0000-0000-00009A000000}"/>
    <cellStyle name="Tusental 2 2" xfId="202" xr:uid="{00000000-0005-0000-0000-00009B000000}"/>
    <cellStyle name="เครื่องหมายจุลภาค 2" xfId="183" xr:uid="{00000000-0005-0000-0000-00009C000000}"/>
    <cellStyle name="เครื่องหมายจุลภาค 2 2" xfId="184" xr:uid="{00000000-0005-0000-0000-00009D000000}"/>
    <cellStyle name="เซลล์ตรวจสอบ 2" xfId="196" xr:uid="{00000000-0005-0000-0000-00009E000000}"/>
    <cellStyle name="แย่ 2" xfId="199" xr:uid="{00000000-0005-0000-0000-00009F000000}"/>
    <cellStyle name="ดี 2" xfId="198" xr:uid="{00000000-0005-0000-0000-0000A0000000}"/>
    <cellStyle name="ปกติ 2" xfId="7" xr:uid="{00000000-0005-0000-0000-0000A1000000}"/>
    <cellStyle name="ปกติ 2 2" xfId="186" xr:uid="{00000000-0005-0000-0000-0000A2000000}"/>
    <cellStyle name="ปกติ 3" xfId="177" xr:uid="{00000000-0005-0000-0000-0000A3000000}"/>
    <cellStyle name="ปกติ 3 2" xfId="188" xr:uid="{00000000-0005-0000-0000-0000A4000000}"/>
    <cellStyle name="ปกติ 3 3" xfId="189" xr:uid="{00000000-0005-0000-0000-0000A5000000}"/>
    <cellStyle name="ปกติ 3 4" xfId="8" xr:uid="{00000000-0005-0000-0000-0000A6000000}"/>
    <cellStyle name="ปกติ 3 5" xfId="191" xr:uid="{00000000-0005-0000-0000-0000A7000000}"/>
    <cellStyle name="ปกติ_270.newzera-s5_VITA(Love) Hwi 256y beta!S5" xfId="207" xr:uid="{1DC8E34D-A010-4ABB-A215-B2DC215E4F36}"/>
    <cellStyle name="ปานกลาง 2" xfId="12" xr:uid="{00000000-0005-0000-0000-0000A9000000}"/>
    <cellStyle name="ส่วนที่ถูกเน้น6 2" xfId="197" xr:uid="{00000000-0005-0000-0000-0000AA000000}"/>
    <cellStyle name="표준 10" xfId="135" xr:uid="{00000000-0005-0000-0000-0000AB000000}"/>
    <cellStyle name="표준 11" xfId="136" xr:uid="{00000000-0005-0000-0000-0000AC000000}"/>
    <cellStyle name="표준 12" xfId="137" xr:uid="{00000000-0005-0000-0000-0000AD000000}"/>
    <cellStyle name="표준 13" xfId="138" xr:uid="{00000000-0005-0000-0000-0000AE000000}"/>
    <cellStyle name="표준 14" xfId="139" xr:uid="{00000000-0005-0000-0000-0000AF000000}"/>
    <cellStyle name="표준 15" xfId="140" xr:uid="{00000000-0005-0000-0000-0000B0000000}"/>
    <cellStyle name="표준 16" xfId="141" xr:uid="{00000000-0005-0000-0000-0000B1000000}"/>
    <cellStyle name="표준 17 2" xfId="142" xr:uid="{00000000-0005-0000-0000-0000B2000000}"/>
    <cellStyle name="표준 2" xfId="143" xr:uid="{00000000-0005-0000-0000-0000B3000000}"/>
    <cellStyle name="표준 2 10" xfId="185" xr:uid="{00000000-0005-0000-0000-0000B4000000}"/>
    <cellStyle name="표준 2 2" xfId="144" xr:uid="{00000000-0005-0000-0000-0000B5000000}"/>
    <cellStyle name="표준 2 2 2" xfId="145" xr:uid="{00000000-0005-0000-0000-0000B6000000}"/>
    <cellStyle name="표준 2 3" xfId="146" xr:uid="{00000000-0005-0000-0000-0000B7000000}"/>
    <cellStyle name="표준 2 4" xfId="147" xr:uid="{00000000-0005-0000-0000-0000B8000000}"/>
    <cellStyle name="표준 2 5" xfId="148" xr:uid="{00000000-0005-0000-0000-0000B9000000}"/>
    <cellStyle name="표준 2 6" xfId="149" xr:uid="{00000000-0005-0000-0000-0000BA000000}"/>
    <cellStyle name="표준 2 7" xfId="150" xr:uid="{00000000-0005-0000-0000-0000BB000000}"/>
    <cellStyle name="표준 2 8" xfId="151" xr:uid="{00000000-0005-0000-0000-0000BC000000}"/>
    <cellStyle name="표준 2 9" xfId="152" xr:uid="{00000000-0005-0000-0000-0000BD000000}"/>
    <cellStyle name="표준 3" xfId="153" xr:uid="{00000000-0005-0000-0000-0000BE000000}"/>
    <cellStyle name="표준 3 2" xfId="154" xr:uid="{00000000-0005-0000-0000-0000BF000000}"/>
    <cellStyle name="표준 3 3" xfId="155" xr:uid="{00000000-0005-0000-0000-0000C0000000}"/>
    <cellStyle name="표준 3 4" xfId="156" xr:uid="{00000000-0005-0000-0000-0000C1000000}"/>
    <cellStyle name="표준 3 4 6" xfId="169" xr:uid="{00000000-0005-0000-0000-0000C2000000}"/>
    <cellStyle name="표준 3 5" xfId="157" xr:uid="{00000000-0005-0000-0000-0000C3000000}"/>
    <cellStyle name="표준 3 6" xfId="158" xr:uid="{00000000-0005-0000-0000-0000C4000000}"/>
    <cellStyle name="표준 3 7" xfId="159" xr:uid="{00000000-0005-0000-0000-0000C5000000}"/>
    <cellStyle name="표준 3 8" xfId="160" xr:uid="{00000000-0005-0000-0000-0000C6000000}"/>
    <cellStyle name="표준 4" xfId="161" xr:uid="{00000000-0005-0000-0000-0000C7000000}"/>
    <cellStyle name="표준 5" xfId="162" xr:uid="{00000000-0005-0000-0000-0000C8000000}"/>
    <cellStyle name="표준 6" xfId="163" xr:uid="{00000000-0005-0000-0000-0000C9000000}"/>
    <cellStyle name="표준 7" xfId="164" xr:uid="{00000000-0005-0000-0000-0000CA000000}"/>
    <cellStyle name="표준 8" xfId="165" xr:uid="{00000000-0005-0000-0000-0000CB000000}"/>
    <cellStyle name="표준 9" xfId="166" xr:uid="{00000000-0005-0000-0000-0000CC000000}"/>
    <cellStyle name="표준_아이스스파" xfId="167" xr:uid="{00000000-0005-0000-0000-0000CD000000}"/>
  </cellStyles>
  <dxfs count="15">
    <dxf>
      <font>
        <color theme="7" tint="0.59996337778862885"/>
      </font>
    </dxf>
    <dxf>
      <font>
        <color theme="8" tint="0.59996337778862885"/>
      </font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 patternType="solid">
          <fgColor auto="1"/>
          <bgColor theme="0" tint="-0.14996795556505021"/>
        </patternFill>
      </fill>
    </dxf>
    <dxf>
      <font>
        <color theme="0"/>
      </font>
      <fill>
        <patternFill>
          <bgColor theme="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92D050"/>
        </patternFill>
      </fill>
    </dxf>
    <dxf>
      <font>
        <b val="0"/>
        <i val="0"/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B5EAD7"/>
        </patternFill>
      </fill>
    </dxf>
    <dxf>
      <font>
        <color theme="0"/>
      </font>
      <fill>
        <patternFill>
          <bgColor rgb="FFE2F0CB"/>
        </patternFill>
      </fill>
    </dxf>
    <dxf>
      <font>
        <color theme="0"/>
      </font>
      <fill>
        <patternFill>
          <bgColor rgb="FFFFBDCD"/>
        </patternFill>
      </fill>
    </dxf>
    <dxf>
      <font>
        <color theme="0"/>
      </font>
      <fill>
        <patternFill>
          <bgColor rgb="FFFEC8D8"/>
        </patternFill>
      </fill>
    </dxf>
  </dxfs>
  <tableStyles count="0" defaultTableStyle="TableStyleMedium2" defaultPivotStyle="PivotStyleLight16"/>
  <colors>
    <mruColors>
      <color rgb="FFFFBDCD"/>
      <color rgb="FFFFABBF"/>
      <color rgb="FFFF9EB5"/>
      <color rgb="FFDEA5A4"/>
      <color rgb="FFE0BBE4"/>
      <color rgb="FFFEC8D8"/>
      <color rgb="FFB5EAD7"/>
      <color rgb="FFE2F0CB"/>
      <color rgb="FFFF9AA2"/>
      <color rgb="FFFFB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4" Type="http://schemas.openxmlformats.org/officeDocument/2006/relationships/image" Target="../media/image13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1074209</xdr:colOff>
      <xdr:row>28</xdr:row>
      <xdr:rowOff>171450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56E40D6E-BA54-4595-A2EC-23B473D6A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637434" cy="5505450"/>
        </a:xfrm>
        <a:prstGeom prst="rect">
          <a:avLst/>
        </a:prstGeom>
      </xdr:spPr>
    </xdr:pic>
    <xdr:clientData/>
  </xdr:twoCellAnchor>
  <xdr:twoCellAnchor editAs="oneCell">
    <xdr:from>
      <xdr:col>9</xdr:col>
      <xdr:colOff>1590675</xdr:colOff>
      <xdr:row>0</xdr:row>
      <xdr:rowOff>0</xdr:rowOff>
    </xdr:from>
    <xdr:to>
      <xdr:col>20</xdr:col>
      <xdr:colOff>571500</xdr:colOff>
      <xdr:row>29</xdr:row>
      <xdr:rowOff>9525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9F70C899-1354-416B-998F-BF5AF9A9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0" y="0"/>
          <a:ext cx="8801100" cy="5534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0</xdr:row>
      <xdr:rowOff>0</xdr:rowOff>
    </xdr:from>
    <xdr:to>
      <xdr:col>28</xdr:col>
      <xdr:colOff>485775</xdr:colOff>
      <xdr:row>20</xdr:row>
      <xdr:rowOff>141847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732132D7-EF10-484D-80E1-07ED452AC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0"/>
          <a:ext cx="8353425" cy="3951847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21</xdr:row>
      <xdr:rowOff>19051</xdr:rowOff>
    </xdr:from>
    <xdr:to>
      <xdr:col>28</xdr:col>
      <xdr:colOff>543499</xdr:colOff>
      <xdr:row>48</xdr:row>
      <xdr:rowOff>152401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51B32989-B447-42EE-97E9-4FC697FF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4038601"/>
          <a:ext cx="8392099" cy="5276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19051</xdr:colOff>
      <xdr:row>3</xdr:row>
      <xdr:rowOff>9526</xdr:rowOff>
    </xdr:from>
    <xdr:to>
      <xdr:col>26</xdr:col>
      <xdr:colOff>85726</xdr:colOff>
      <xdr:row>20</xdr:row>
      <xdr:rowOff>104776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F3C3F50-A8EC-4E90-A657-C13A072B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1" y="600076"/>
          <a:ext cx="5676900" cy="333375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19051</xdr:colOff>
      <xdr:row>19</xdr:row>
      <xdr:rowOff>76199</xdr:rowOff>
    </xdr:from>
    <xdr:to>
      <xdr:col>26</xdr:col>
      <xdr:colOff>114300</xdr:colOff>
      <xdr:row>34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18789B-5EF8-4E86-AEF8-D8E4146F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1" y="3714749"/>
          <a:ext cx="5705474" cy="2819401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37</xdr:row>
      <xdr:rowOff>28575</xdr:rowOff>
    </xdr:from>
    <xdr:to>
      <xdr:col>26</xdr:col>
      <xdr:colOff>123825</xdr:colOff>
      <xdr:row>55</xdr:row>
      <xdr:rowOff>95846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F41AE4D-50F0-4549-8FCB-8B0AED1F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7025" y="7096125"/>
          <a:ext cx="5705475" cy="3496271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49</xdr:row>
      <xdr:rowOff>85726</xdr:rowOff>
    </xdr:from>
    <xdr:to>
      <xdr:col>26</xdr:col>
      <xdr:colOff>133350</xdr:colOff>
      <xdr:row>67</xdr:row>
      <xdr:rowOff>159545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E620464-2492-4994-BEFB-4DDFF619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7025" y="9448801"/>
          <a:ext cx="5715000" cy="350281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e\m01\geradores\Jogos\PangYa\274+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older\folder\&#3650;&#3615;&#3621;&#3648;&#3604;&#3629;&#3619;&#3660;&#3651;&#3627;&#3617;&#3656;\3428ByTingZa\Documents%20and%20Settings\Administrator\My%20Documents\Downloads\Users\Garena\Downloads\niet%20school\Muziek\Pangya%20crap\Nieuwe%20map%20(3)\forHIO!koohENGLIS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dora"/>
      <sheetName val="Calliper"/>
      <sheetName val="Calculos"/>
      <sheetName val="Pink Wind"/>
      <sheetName val="Terreno"/>
      <sheetName val="6i"/>
      <sheetName val="Blue Lagoon By Misa"/>
      <sheetName val="INCLINAÇÃO DETALHADA - BL"/>
      <sheetName val="Plan4"/>
      <sheetName val="6igontijo"/>
      <sheetName val="Calculos Enfadonhos Ice Spa"/>
      <sheetName val="ANG"/>
      <sheetName val="Ice Spa"/>
      <sheetName val="Callip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O4">
            <v>70</v>
          </cell>
          <cell r="P4">
            <v>1.99</v>
          </cell>
        </row>
        <row r="5">
          <cell r="O5">
            <v>69</v>
          </cell>
          <cell r="P5">
            <v>1.96</v>
          </cell>
        </row>
        <row r="6">
          <cell r="O6">
            <v>68</v>
          </cell>
          <cell r="P6">
            <v>1.93</v>
          </cell>
        </row>
        <row r="7">
          <cell r="O7">
            <v>67</v>
          </cell>
          <cell r="P7">
            <v>1.9</v>
          </cell>
        </row>
        <row r="8">
          <cell r="O8">
            <v>66</v>
          </cell>
          <cell r="P8">
            <v>1.87</v>
          </cell>
        </row>
        <row r="9">
          <cell r="O9">
            <v>65</v>
          </cell>
          <cell r="P9">
            <v>1.84</v>
          </cell>
        </row>
        <row r="10">
          <cell r="O10">
            <v>64</v>
          </cell>
          <cell r="P10">
            <v>1.81</v>
          </cell>
        </row>
        <row r="11">
          <cell r="O11">
            <v>63</v>
          </cell>
          <cell r="P11">
            <v>1.78</v>
          </cell>
        </row>
        <row r="12">
          <cell r="O12">
            <v>62</v>
          </cell>
          <cell r="P12">
            <v>1.75</v>
          </cell>
        </row>
        <row r="13">
          <cell r="O13">
            <v>61</v>
          </cell>
          <cell r="P13">
            <v>1.72</v>
          </cell>
        </row>
        <row r="14">
          <cell r="O14">
            <v>60</v>
          </cell>
          <cell r="P14">
            <v>1.69</v>
          </cell>
        </row>
        <row r="15">
          <cell r="O15">
            <v>59</v>
          </cell>
          <cell r="P15">
            <v>1.66</v>
          </cell>
        </row>
        <row r="16">
          <cell r="O16">
            <v>58</v>
          </cell>
          <cell r="P16">
            <v>1.63</v>
          </cell>
        </row>
        <row r="17">
          <cell r="O17">
            <v>57</v>
          </cell>
          <cell r="P17">
            <v>1.6</v>
          </cell>
        </row>
        <row r="18">
          <cell r="O18">
            <v>56</v>
          </cell>
          <cell r="P18">
            <v>1.57</v>
          </cell>
        </row>
        <row r="19">
          <cell r="O19">
            <v>55</v>
          </cell>
          <cell r="P19">
            <v>1.55</v>
          </cell>
        </row>
        <row r="20">
          <cell r="O20">
            <v>54</v>
          </cell>
          <cell r="P20">
            <v>1.52</v>
          </cell>
        </row>
        <row r="21">
          <cell r="O21">
            <v>53</v>
          </cell>
          <cell r="P21">
            <v>1.49</v>
          </cell>
        </row>
        <row r="22">
          <cell r="O22">
            <v>52</v>
          </cell>
          <cell r="P22">
            <v>1.46</v>
          </cell>
        </row>
        <row r="23">
          <cell r="O23">
            <v>51</v>
          </cell>
          <cell r="P23">
            <v>1.43</v>
          </cell>
        </row>
        <row r="24">
          <cell r="O24">
            <v>50</v>
          </cell>
          <cell r="P24">
            <v>1.41</v>
          </cell>
        </row>
        <row r="25">
          <cell r="O25">
            <v>49</v>
          </cell>
          <cell r="P25">
            <v>1.38</v>
          </cell>
        </row>
        <row r="26">
          <cell r="O26">
            <v>48</v>
          </cell>
          <cell r="P26">
            <v>1.35</v>
          </cell>
        </row>
        <row r="27">
          <cell r="O27">
            <v>47</v>
          </cell>
          <cell r="P27">
            <v>1.32</v>
          </cell>
        </row>
        <row r="28">
          <cell r="O28">
            <v>46</v>
          </cell>
          <cell r="P28">
            <v>1.29</v>
          </cell>
        </row>
        <row r="29">
          <cell r="O29">
            <v>45</v>
          </cell>
          <cell r="P29">
            <v>1.26</v>
          </cell>
        </row>
        <row r="30">
          <cell r="O30">
            <v>44</v>
          </cell>
          <cell r="P30">
            <v>1.24</v>
          </cell>
        </row>
        <row r="31">
          <cell r="O31">
            <v>43</v>
          </cell>
          <cell r="P31">
            <v>1.21</v>
          </cell>
        </row>
        <row r="32">
          <cell r="O32">
            <v>42</v>
          </cell>
          <cell r="P32">
            <v>1.18</v>
          </cell>
        </row>
        <row r="33">
          <cell r="O33">
            <v>41</v>
          </cell>
          <cell r="P33">
            <v>1.1499999999999999</v>
          </cell>
        </row>
        <row r="34">
          <cell r="O34">
            <v>40</v>
          </cell>
          <cell r="P34">
            <v>1.1200000000000001</v>
          </cell>
        </row>
        <row r="35">
          <cell r="O35">
            <v>39</v>
          </cell>
          <cell r="P35">
            <v>1.1000000000000001</v>
          </cell>
        </row>
        <row r="36">
          <cell r="O36">
            <v>38</v>
          </cell>
          <cell r="P36">
            <v>1.07</v>
          </cell>
        </row>
        <row r="37">
          <cell r="O37">
            <v>37</v>
          </cell>
          <cell r="P37">
            <v>1.04</v>
          </cell>
        </row>
        <row r="38">
          <cell r="O38">
            <v>36</v>
          </cell>
          <cell r="P38">
            <v>1.01</v>
          </cell>
        </row>
        <row r="39">
          <cell r="O39">
            <v>35</v>
          </cell>
          <cell r="P39">
            <v>0.98</v>
          </cell>
        </row>
        <row r="40">
          <cell r="O40">
            <v>34</v>
          </cell>
          <cell r="P40">
            <v>0.96</v>
          </cell>
        </row>
        <row r="41">
          <cell r="O41">
            <v>33</v>
          </cell>
          <cell r="P41">
            <v>0.93</v>
          </cell>
        </row>
        <row r="42">
          <cell r="O42">
            <v>32</v>
          </cell>
          <cell r="P42">
            <v>0.9</v>
          </cell>
        </row>
        <row r="43">
          <cell r="O43">
            <v>31</v>
          </cell>
          <cell r="P43">
            <v>0.87</v>
          </cell>
        </row>
        <row r="44">
          <cell r="O44">
            <v>30</v>
          </cell>
          <cell r="P44">
            <v>0.84</v>
          </cell>
        </row>
        <row r="45">
          <cell r="O45">
            <v>29</v>
          </cell>
          <cell r="P45">
            <v>0.82</v>
          </cell>
        </row>
        <row r="46">
          <cell r="O46">
            <v>28</v>
          </cell>
          <cell r="P46">
            <v>0.79</v>
          </cell>
        </row>
        <row r="47">
          <cell r="O47">
            <v>27</v>
          </cell>
          <cell r="P47">
            <v>0.76</v>
          </cell>
        </row>
        <row r="48">
          <cell r="O48">
            <v>26</v>
          </cell>
          <cell r="P48">
            <v>0.73</v>
          </cell>
        </row>
        <row r="49">
          <cell r="O49">
            <v>25</v>
          </cell>
          <cell r="P49">
            <v>0.7</v>
          </cell>
        </row>
        <row r="50">
          <cell r="O50">
            <v>24</v>
          </cell>
          <cell r="P50">
            <v>0.67</v>
          </cell>
        </row>
        <row r="51">
          <cell r="O51">
            <v>23</v>
          </cell>
          <cell r="P51">
            <v>0.65</v>
          </cell>
        </row>
        <row r="52">
          <cell r="O52">
            <v>22</v>
          </cell>
          <cell r="P52">
            <v>0.62</v>
          </cell>
        </row>
        <row r="53">
          <cell r="O53">
            <v>21</v>
          </cell>
          <cell r="P53">
            <v>0.59</v>
          </cell>
        </row>
        <row r="54">
          <cell r="O54">
            <v>20</v>
          </cell>
          <cell r="P54">
            <v>0.56000000000000005</v>
          </cell>
        </row>
        <row r="55">
          <cell r="O55">
            <v>19</v>
          </cell>
          <cell r="P55">
            <v>0.53</v>
          </cell>
        </row>
        <row r="56">
          <cell r="O56">
            <v>18</v>
          </cell>
          <cell r="P56">
            <v>0.51</v>
          </cell>
        </row>
        <row r="57">
          <cell r="O57">
            <v>17</v>
          </cell>
          <cell r="P57">
            <v>0.48</v>
          </cell>
        </row>
        <row r="58">
          <cell r="O58">
            <v>16</v>
          </cell>
          <cell r="P58">
            <v>0.45</v>
          </cell>
        </row>
        <row r="59">
          <cell r="O59">
            <v>15</v>
          </cell>
          <cell r="P59">
            <v>0.42</v>
          </cell>
        </row>
        <row r="60">
          <cell r="O60">
            <v>14</v>
          </cell>
          <cell r="P60">
            <v>0.39</v>
          </cell>
        </row>
        <row r="61">
          <cell r="O61">
            <v>13</v>
          </cell>
          <cell r="P61">
            <v>0.37</v>
          </cell>
        </row>
        <row r="62">
          <cell r="O62">
            <v>12</v>
          </cell>
          <cell r="P62">
            <v>0.34</v>
          </cell>
        </row>
        <row r="63">
          <cell r="O63">
            <v>11</v>
          </cell>
          <cell r="P63">
            <v>0.31</v>
          </cell>
        </row>
        <row r="64">
          <cell r="O64">
            <v>10</v>
          </cell>
          <cell r="P64">
            <v>0.28000000000000003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使用說明"/>
      <sheetName val="Wind Hill亂風整合"/>
      <sheetName val="炸釘蛇拉I桿炸全能計算機"/>
      <sheetName val="一桿洞(S4ver.)"/>
      <sheetName val="風角地偏"/>
      <sheetName val="LINK"/>
    </sheetNames>
    <sheetDataSet>
      <sheetData sheetId="0" refreshError="1"/>
      <sheetData sheetId="1">
        <row r="3">
          <cell r="B3">
            <v>4</v>
          </cell>
          <cell r="C3">
            <v>7</v>
          </cell>
        </row>
        <row r="4">
          <cell r="B4">
            <v>42</v>
          </cell>
          <cell r="E4">
            <v>0.6</v>
          </cell>
          <cell r="F4">
            <v>1.6059134552612597</v>
          </cell>
          <cell r="G4">
            <v>0.4</v>
          </cell>
          <cell r="H4">
            <v>9.7718590767002719E-2</v>
          </cell>
        </row>
        <row r="5">
          <cell r="B5">
            <v>2</v>
          </cell>
        </row>
        <row r="6">
          <cell r="F6">
            <v>1.7835475811457462</v>
          </cell>
          <cell r="H6">
            <v>2.7982943156534681</v>
          </cell>
        </row>
        <row r="7">
          <cell r="B7">
            <v>6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www.mediafire.com/file/l5ph9cvqqgrybq6/end_of_pangya_No_move_Update_4-3-2020-Oat.rar/fil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CB23-6F76-4598-8796-DB3B93DAD41F}">
  <dimension ref="A1:AB31"/>
  <sheetViews>
    <sheetView showGridLines="0" showRowColHeaders="0" tabSelected="1" topLeftCell="A13" zoomScaleNormal="100" workbookViewId="0">
      <selection activeCell="I7" sqref="I7"/>
    </sheetView>
  </sheetViews>
  <sheetFormatPr defaultColWidth="10.5703125" defaultRowHeight="18.95" customHeight="1"/>
  <cols>
    <col min="1" max="16384" width="10.5703125" style="295"/>
  </cols>
  <sheetData>
    <row r="1" spans="1:28" ht="18.95" customHeight="1">
      <c r="A1" s="293"/>
      <c r="B1" s="293"/>
      <c r="C1" s="293"/>
      <c r="D1" s="293"/>
      <c r="E1" s="293"/>
      <c r="G1" s="293"/>
      <c r="H1" s="293"/>
      <c r="I1" s="293"/>
      <c r="M1" s="293"/>
      <c r="N1" s="293"/>
      <c r="O1" s="293"/>
      <c r="P1" s="293"/>
      <c r="Q1" s="293"/>
    </row>
    <row r="2" spans="1:28" ht="18.95" customHeight="1">
      <c r="A2" s="293"/>
      <c r="B2" s="293"/>
      <c r="C2" s="293"/>
      <c r="D2" s="293"/>
      <c r="E2" s="293"/>
      <c r="F2" s="294"/>
      <c r="G2" s="293"/>
      <c r="H2" s="293"/>
      <c r="I2" s="293"/>
      <c r="M2" s="293"/>
      <c r="N2" s="293"/>
      <c r="O2" s="293"/>
      <c r="P2" s="293"/>
      <c r="Q2" s="293"/>
      <c r="R2" s="521" t="s">
        <v>227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</row>
    <row r="3" spans="1:28" ht="18.95" customHeight="1">
      <c r="A3" s="293"/>
      <c r="B3" s="296" t="s">
        <v>79</v>
      </c>
      <c r="C3" s="296" t="s">
        <v>196</v>
      </c>
      <c r="D3" s="296" t="s">
        <v>80</v>
      </c>
      <c r="E3" s="296" t="s">
        <v>197</v>
      </c>
      <c r="F3" s="321" t="s">
        <v>221</v>
      </c>
      <c r="G3" s="296" t="s">
        <v>261</v>
      </c>
      <c r="H3" s="296" t="s">
        <v>198</v>
      </c>
      <c r="I3" s="293"/>
      <c r="J3" s="297" t="s">
        <v>222</v>
      </c>
      <c r="K3" s="297" t="s">
        <v>221</v>
      </c>
      <c r="L3" s="297" t="s">
        <v>199</v>
      </c>
      <c r="M3" s="298"/>
      <c r="N3" s="541" t="s">
        <v>224</v>
      </c>
      <c r="O3" s="541"/>
      <c r="P3" s="297" t="s">
        <v>225</v>
      </c>
      <c r="Q3" s="293"/>
      <c r="R3" s="521"/>
      <c r="S3" s="521"/>
      <c r="T3" s="521"/>
      <c r="U3" s="521"/>
      <c r="V3" s="521"/>
      <c r="W3" s="521"/>
      <c r="X3" s="521"/>
      <c r="Y3" s="521"/>
      <c r="Z3" s="521"/>
      <c r="AA3" s="521"/>
      <c r="AB3" s="521"/>
    </row>
    <row r="4" spans="1:28" ht="18.95" customHeight="1">
      <c r="A4" s="293"/>
      <c r="B4" s="107">
        <v>236</v>
      </c>
      <c r="C4" s="107">
        <v>4</v>
      </c>
      <c r="D4" s="108">
        <v>5</v>
      </c>
      <c r="E4" s="107">
        <v>50</v>
      </c>
      <c r="F4" s="107">
        <f>F6*F5</f>
        <v>3.6149999999999998</v>
      </c>
      <c r="G4" s="107">
        <v>0</v>
      </c>
      <c r="H4" s="291">
        <v>1</v>
      </c>
      <c r="I4" s="293"/>
      <c r="J4" s="107">
        <v>0</v>
      </c>
      <c r="K4" s="108">
        <v>0</v>
      </c>
      <c r="L4" s="305">
        <f>(K4/(Slope.px!C4/Slope.px!C2))*COS(RADIANS(J4))/Slope.px!C3</f>
        <v>0</v>
      </c>
      <c r="M4" s="298"/>
      <c r="N4" s="540" t="s">
        <v>283</v>
      </c>
      <c r="O4" s="540"/>
      <c r="P4" s="292" t="s">
        <v>226</v>
      </c>
      <c r="Q4" s="293"/>
      <c r="R4" s="521"/>
      <c r="S4" s="521"/>
      <c r="T4" s="521"/>
      <c r="U4" s="521"/>
      <c r="V4" s="521"/>
      <c r="W4" s="521"/>
      <c r="X4" s="521"/>
      <c r="Y4" s="521"/>
      <c r="Z4" s="521"/>
      <c r="AA4" s="521"/>
      <c r="AB4" s="521"/>
    </row>
    <row r="5" spans="1:28" ht="18.95" customHeight="1">
      <c r="A5" s="293"/>
      <c r="B5" s="293"/>
      <c r="C5" s="293"/>
      <c r="D5" s="294"/>
      <c r="E5" s="684" t="s">
        <v>509</v>
      </c>
      <c r="F5" s="685">
        <v>0.24099999999999999</v>
      </c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519" t="s">
        <v>285</v>
      </c>
      <c r="S5" s="520"/>
      <c r="T5" s="520"/>
      <c r="U5" s="520"/>
      <c r="V5" s="520"/>
      <c r="W5" s="520"/>
      <c r="X5" s="520"/>
      <c r="Y5" s="520"/>
      <c r="Z5" s="520"/>
      <c r="AA5" s="520"/>
      <c r="AB5" s="520"/>
    </row>
    <row r="6" spans="1:28" ht="18.95" customHeight="1" thickBot="1">
      <c r="A6" s="293"/>
      <c r="B6" s="293"/>
      <c r="C6" s="293"/>
      <c r="D6" s="293"/>
      <c r="E6" s="686" t="s">
        <v>510</v>
      </c>
      <c r="F6" s="687">
        <v>15</v>
      </c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</row>
    <row r="7" spans="1:28" ht="18.95" customHeight="1">
      <c r="A7" s="293"/>
      <c r="B7" s="522">
        <v>280</v>
      </c>
      <c r="C7" s="523"/>
      <c r="D7" s="523"/>
      <c r="E7" s="526"/>
      <c r="F7" s="532">
        <f>IF(Index!B7=266,Link!C2,IF(Index!B7=276,Link!C3,IF(Index!B7=280,Link!C4,IF(Index!B7=286,Link!C5))))</f>
        <v>6</v>
      </c>
      <c r="G7" s="530"/>
      <c r="H7" s="531"/>
      <c r="I7" s="293"/>
      <c r="J7" s="102" t="s">
        <v>213</v>
      </c>
      <c r="K7" s="98" t="s">
        <v>202</v>
      </c>
      <c r="L7" s="98" t="s">
        <v>203</v>
      </c>
      <c r="M7" s="99"/>
      <c r="N7" s="102" t="s">
        <v>212</v>
      </c>
      <c r="O7" s="98" t="s">
        <v>202</v>
      </c>
      <c r="P7" s="98" t="s">
        <v>203</v>
      </c>
      <c r="Q7" s="99"/>
      <c r="R7" s="102" t="s">
        <v>211</v>
      </c>
      <c r="S7" s="98" t="s">
        <v>202</v>
      </c>
      <c r="T7" s="98" t="s">
        <v>203</v>
      </c>
      <c r="U7" s="99"/>
      <c r="V7" s="102" t="s">
        <v>210</v>
      </c>
      <c r="W7" s="98" t="s">
        <v>202</v>
      </c>
      <c r="X7" s="98" t="s">
        <v>203</v>
      </c>
      <c r="Y7" s="99"/>
      <c r="Z7" s="102" t="s">
        <v>209</v>
      </c>
      <c r="AA7" s="98" t="s">
        <v>202</v>
      </c>
      <c r="AB7" s="98" t="s">
        <v>203</v>
      </c>
    </row>
    <row r="8" spans="1:28" ht="18.95" customHeight="1">
      <c r="A8" s="293"/>
      <c r="B8" s="524"/>
      <c r="C8" s="525"/>
      <c r="D8" s="525"/>
      <c r="E8" s="526"/>
      <c r="F8" s="532"/>
      <c r="G8" s="533"/>
      <c r="H8" s="534"/>
      <c r="I8" s="293"/>
      <c r="J8" s="299" t="s">
        <v>83</v>
      </c>
      <c r="K8" s="306">
        <f>IF(Index!$B$7=266,'266'!H167,IF(Index!$B$7=276,'276'!H167,IF(Index!$B$7=280,'280'!H167,IF(Index!$B$7=286,'286'!H167))))/0.2165*Index!$C$13</f>
        <v>29.999669591372534</v>
      </c>
      <c r="L8" s="306">
        <f>IF(Index!$B$7=266,'266'!I167,IF(Index!$B$7=276,'276'!I167,IF(Index!$B$7=280,'280'!I167,IF(Index!$B$7=286,'286'!I167))))/0.2165*Index!$C$13</f>
        <v>30.932813690174726</v>
      </c>
      <c r="M8" s="99"/>
      <c r="N8" s="299" t="s">
        <v>83</v>
      </c>
      <c r="O8" s="306">
        <f>IF(Index!$B$7=266,'266'!H228,IF(Index!$B$7=276,'276'!H228,IF(Index!$B$7=280,'280'!H228,IF(Index!$B$7=286,'286'!H228))))/0.2165*Index!$C$13*0.99</f>
        <v>33.937248345627879</v>
      </c>
      <c r="P8" s="306">
        <f>IF(Index!$B$7=266,'266'!I228,IF(Index!$B$7=276,'276'!I228,IF(Index!$B$7=280,'280'!I228,IF(Index!$B$7=286,'286'!I228))))/0.2165*Index!$C$13*0.99</f>
        <v>35.378169733558735</v>
      </c>
      <c r="Q8" s="99"/>
      <c r="R8" s="299" t="s">
        <v>83</v>
      </c>
      <c r="S8" s="306">
        <f>IF(Index!$B$7=266,'266'!H248,IF(Index!$B$7=276,'276'!H248,IF(Index!$B$7=280,'280'!H248,IF(Index!$B$7=286,'286'!H248))))/0.2165*Index!$C$13*0.995</f>
        <v>43.817314013094169</v>
      </c>
      <c r="T8" s="306">
        <f>IF(Index!$B$7=266,'266'!I248,IF(Index!$B$7=276,'276'!I248,IF(Index!$B$7=280,'280'!I248,IF(Index!$B$7=286,'286'!I248))))/0.2165*Index!$C$13*0.995</f>
        <v>46.196854748415646</v>
      </c>
      <c r="U8" s="99"/>
      <c r="V8" s="299" t="s">
        <v>83</v>
      </c>
      <c r="W8" s="306">
        <f>IF(Index!$B$7=266,'266'!H188,IF(Index!$B$7=276,'276'!H188,IF(Index!$B$7=280,'280'!H188,IF(Index!$B$7=286,'286'!H188))))/0.2165*Index!$C$13</f>
        <v>26.226741339264343</v>
      </c>
      <c r="X8" s="306">
        <f>IF(Index!$B$7=266,'266'!I188,IF(Index!$B$7=276,'276'!I188,IF(Index!$B$7=280,'280'!I188,IF(Index!$B$7=286,'286'!I188))))/0.2165*Index!$C$13</f>
        <v>26.947524375472458</v>
      </c>
      <c r="Y8" s="99"/>
      <c r="Z8" s="299" t="s">
        <v>83</v>
      </c>
      <c r="AA8" s="306">
        <f>IF(Index!$B$7=266,'266'!H208,IF(Index!$B$7=276,'276'!H208,IF(Index!$B$7=280,'280'!H208,IF(Index!$B$7=286,'286'!H208))))/0.2165*Index!$C$13</f>
        <v>24.183781572215146</v>
      </c>
      <c r="AB8" s="306">
        <f>IF(Index!$B$7=266,'266'!I208,IF(Index!$B$7=276,'276'!I208,IF(Index!$B$7=280,'280'!I208,IF(Index!$B$7=286,'286'!I208))))/0.2165*Index!$C$13</f>
        <v>24.806238580866822</v>
      </c>
    </row>
    <row r="9" spans="1:28" ht="18.95" customHeight="1">
      <c r="A9" s="293"/>
      <c r="B9" s="524"/>
      <c r="C9" s="525"/>
      <c r="D9" s="525"/>
      <c r="E9" s="526"/>
      <c r="F9" s="532"/>
      <c r="G9" s="533"/>
      <c r="H9" s="534"/>
      <c r="I9" s="293"/>
      <c r="J9" s="299" t="s">
        <v>195</v>
      </c>
      <c r="K9" s="306">
        <f>K8/Index!E13</f>
        <v>7.4999173978431335</v>
      </c>
      <c r="L9" s="306">
        <f>L8/Index!E13</f>
        <v>7.7332034225436814</v>
      </c>
      <c r="M9" s="99"/>
      <c r="N9" s="299" t="s">
        <v>195</v>
      </c>
      <c r="O9" s="306">
        <f>O8/Index!E13</f>
        <v>8.4843120864069697</v>
      </c>
      <c r="P9" s="306">
        <f>P8/Index!E13</f>
        <v>8.8445424333896838</v>
      </c>
      <c r="Q9" s="99"/>
      <c r="R9" s="299" t="s">
        <v>195</v>
      </c>
      <c r="S9" s="306">
        <f>S8/Index!E13</f>
        <v>10.954328503273542</v>
      </c>
      <c r="T9" s="306">
        <f>T8/Index!E13</f>
        <v>11.549213687103911</v>
      </c>
      <c r="U9" s="99"/>
      <c r="V9" s="299" t="s">
        <v>195</v>
      </c>
      <c r="W9" s="306">
        <f>W8/Index!E13</f>
        <v>6.5566853348160858</v>
      </c>
      <c r="X9" s="306">
        <f>X8/Index!E13</f>
        <v>6.7368810938681145</v>
      </c>
      <c r="Y9" s="99"/>
      <c r="Z9" s="299" t="s">
        <v>195</v>
      </c>
      <c r="AA9" s="306">
        <f>AA8/Index!E13</f>
        <v>6.0459453930537865</v>
      </c>
      <c r="AB9" s="306">
        <f>AB8/Index!E13</f>
        <v>6.2015596452167054</v>
      </c>
    </row>
    <row r="10" spans="1:28" ht="18.95" customHeight="1">
      <c r="A10" s="293"/>
      <c r="B10" s="524"/>
      <c r="C10" s="525"/>
      <c r="D10" s="525"/>
      <c r="E10" s="526"/>
      <c r="F10" s="532"/>
      <c r="G10" s="533"/>
      <c r="H10" s="534"/>
      <c r="I10" s="293"/>
      <c r="J10" s="98" t="s">
        <v>200</v>
      </c>
      <c r="K10" s="306">
        <f>K8/4.75</f>
        <v>6.3157199139731652</v>
      </c>
      <c r="L10" s="306">
        <f>L8/4.75</f>
        <v>6.5121713031946795</v>
      </c>
      <c r="M10" s="99"/>
      <c r="N10" s="98" t="s">
        <v>200</v>
      </c>
      <c r="O10" s="306">
        <f>O8/4.75</f>
        <v>7.1446838622374482</v>
      </c>
      <c r="P10" s="306">
        <f>P8/4.75</f>
        <v>7.4480357333807863</v>
      </c>
      <c r="Q10" s="99"/>
      <c r="R10" s="98" t="s">
        <v>200</v>
      </c>
      <c r="S10" s="306">
        <f>S8/4.75</f>
        <v>9.2246976869671933</v>
      </c>
      <c r="T10" s="306">
        <f>T8/4.75</f>
        <v>9.7256536312453985</v>
      </c>
      <c r="U10" s="99"/>
      <c r="V10" s="98" t="s">
        <v>200</v>
      </c>
      <c r="W10" s="306">
        <f>W8/4.75</f>
        <v>5.5214192293188091</v>
      </c>
      <c r="X10" s="306">
        <f>X8/4.75</f>
        <v>5.6731630264152546</v>
      </c>
      <c r="Y10" s="99"/>
      <c r="Z10" s="98" t="s">
        <v>200</v>
      </c>
      <c r="AA10" s="306">
        <f>AA8/4.75</f>
        <v>5.0913224362558198</v>
      </c>
      <c r="AB10" s="306">
        <f>AB8/4.75</f>
        <v>5.2223660170245942</v>
      </c>
    </row>
    <row r="11" spans="1:28" ht="18.95" customHeight="1">
      <c r="A11" s="293"/>
      <c r="B11" s="524"/>
      <c r="C11" s="525"/>
      <c r="D11" s="525"/>
      <c r="E11" s="526"/>
      <c r="F11" s="532"/>
      <c r="G11" s="533"/>
      <c r="H11" s="534"/>
      <c r="I11" s="293"/>
      <c r="J11" s="299" t="s">
        <v>5</v>
      </c>
      <c r="K11" s="100">
        <f>IF(Index!$B$7=266,'266'!H168,IF(Index!$B$7=276,'276'!H168,IF(Index!$B$7=280,'280'!H168,IF(Index!$B$7=286,'286'!H168))))</f>
        <v>92.471052898565929</v>
      </c>
      <c r="L11" s="100">
        <f>IF(Index!$B$7=266,'266'!I168,IF(Index!$B$7=276,'276'!I168,IF(Index!$B$7=280,'280'!I168,IF(Index!$B$7=286,'286'!I168))))</f>
        <v>94.194119641061491</v>
      </c>
      <c r="M11" s="99"/>
      <c r="N11" s="299" t="s">
        <v>5</v>
      </c>
      <c r="O11" s="100">
        <f>IF(Index!$B$7=266,'266'!H229,IF(Index!$B$7=276,'276'!H229,IF(Index!$B$7=280,'280'!H229,IF(Index!$B$7=286,'286'!H229))))</f>
        <v>96.65172972921296</v>
      </c>
      <c r="P11" s="100">
        <f>IF(Index!$B$7=266,'266'!I229,IF(Index!$B$7=276,'276'!I229,IF(Index!$B$7=280,'280'!I229,IF(Index!$B$7=286,'286'!I229))))</f>
        <v>99.089942769165788</v>
      </c>
      <c r="Q11" s="99"/>
      <c r="R11" s="299" t="s">
        <v>5</v>
      </c>
      <c r="S11" s="100">
        <f>IF(Index!$B$7=266,'266'!H249,IF(Index!$B$7=276,'276'!H249,IF(Index!$B$7=280,'280'!H249,IF(Index!$B$7=286,'286'!H249))))</f>
        <v>101.99547473821895</v>
      </c>
      <c r="T11" s="100">
        <f>IF(Index!$B$7=266,'266'!I249,IF(Index!$B$7=276,'276'!I249,IF(Index!$B$7=280,'280'!I249,IF(Index!$B$7=286,'286'!I249))))</f>
        <v>105.40033517589791</v>
      </c>
      <c r="U11" s="99"/>
      <c r="V11" s="299" t="s">
        <v>5</v>
      </c>
      <c r="W11" s="100">
        <f>IF(Index!$B$7=266,'266'!H189,IF(Index!$B$7=276,'276'!H189,IF(Index!$B$7=280,'280'!H189,IF(Index!$B$7=286,'286'!H189))))</f>
        <v>89.219975669950003</v>
      </c>
      <c r="X11" s="100">
        <f>IF(Index!$B$7=266,'266'!I189,IF(Index!$B$7=276,'276'!I189,IF(Index!$B$7=280,'280'!I189,IF(Index!$B$7=286,'286'!I189))))</f>
        <v>90.733310855387018</v>
      </c>
      <c r="Y11" s="99"/>
      <c r="Z11" s="299" t="s">
        <v>5</v>
      </c>
      <c r="AA11" s="100">
        <f>IF(Index!$B$7=266,'266'!H209,IF(Index!$B$7=276,'276'!H209,IF(Index!$B$7=280,'280'!H209,IF(Index!$B$7=286,'286'!H209))))</f>
        <v>87.444172495183565</v>
      </c>
      <c r="AB11" s="100">
        <f>IF(Index!$B$7=266,'266'!I209,IF(Index!$B$7=276,'276'!I209,IF(Index!$B$7=280,'280'!I209,IF(Index!$B$7=286,'286'!I209))))</f>
        <v>88.866755948735388</v>
      </c>
    </row>
    <row r="12" spans="1:28" ht="18.95" customHeight="1" thickBot="1">
      <c r="A12" s="293"/>
      <c r="B12" s="527"/>
      <c r="C12" s="528"/>
      <c r="D12" s="528"/>
      <c r="E12" s="529"/>
      <c r="F12" s="535"/>
      <c r="G12" s="536"/>
      <c r="H12" s="537"/>
      <c r="I12" s="293"/>
      <c r="J12" s="299" t="s">
        <v>84</v>
      </c>
      <c r="K12" s="100">
        <f>IF(Index!$B$7=266,'266'!H169,IF(Index!$B$7=276,'276'!H169,IF(Index!$B$7=280,'280'!H169,IF(Index!$B$7=286,'286'!H169))))</f>
        <v>259.00000000000017</v>
      </c>
      <c r="L12" s="100">
        <f>IF(Index!$B$7=266,'266'!I169,IF(Index!$B$7=276,'276'!I169,IF(Index!$B$7=280,'280'!I169,IF(Index!$B$7=286,'286'!I169))))</f>
        <v>263.6666666666668</v>
      </c>
      <c r="M12" s="99"/>
      <c r="N12" s="299" t="s">
        <v>84</v>
      </c>
      <c r="O12" s="100">
        <f>IF(Index!$B$7=266,'266'!H230,IF(Index!$B$7=276,'276'!H230,IF(Index!$B$7=280,'280'!H230,IF(Index!$B$7=286,'286'!H230))))</f>
        <v>251.33333333333326</v>
      </c>
      <c r="P12" s="100">
        <f>IF(Index!$B$7=266,'266'!I230,IF(Index!$B$7=276,'276'!I230,IF(Index!$B$7=280,'280'!I230,IF(Index!$B$7=286,'286'!I230))))</f>
        <v>257.83333333333331</v>
      </c>
      <c r="Q12" s="99"/>
      <c r="R12" s="299" t="s">
        <v>84</v>
      </c>
      <c r="S12" s="100" t="e">
        <f>IF(Index!$B$7=266,'266'!H250,IF(Index!$B$7=276,'276'!H250,IF(Index!$B$7=280,'280'!H250,IF(Index!$B$7=286,'286'!H250))))</f>
        <v>#REF!</v>
      </c>
      <c r="T12" s="100" t="e">
        <f>IF(Index!$B$7=266,'266'!I250,IF(Index!$B$7=276,'276'!I250,IF(Index!$B$7=280,'280'!I250,IF(Index!$B$7=286,'286'!I250))))</f>
        <v>#REF!</v>
      </c>
      <c r="U12" s="99"/>
      <c r="V12" s="299" t="s">
        <v>84</v>
      </c>
      <c r="W12" s="100">
        <f>IF(Index!$B$7=266,'266'!H190,IF(Index!$B$7=276,'276'!H190,IF(Index!$B$7=280,'280'!H190,IF(Index!$B$7=286,'286'!H190))))</f>
        <v>263.93333333333442</v>
      </c>
      <c r="X12" s="100">
        <f>IF(Index!$B$7=266,'266'!I190,IF(Index!$B$7=276,'276'!I190,IF(Index!$B$7=280,'280'!I190,IF(Index!$B$7=286,'286'!I190))))</f>
        <v>268.86666666666758</v>
      </c>
      <c r="Y12" s="99"/>
      <c r="Z12" s="299" t="s">
        <v>84</v>
      </c>
      <c r="AA12" s="100">
        <f>IF(Index!$B$7=266,'266'!H210,IF(Index!$B$7=276,'276'!H210,IF(Index!$B$7=280,'280'!H210,IF(Index!$B$7=286,'286'!H210))))</f>
        <v>267.74999999999898</v>
      </c>
      <c r="AB12" s="100">
        <f>IF(Index!$B$7=266,'266'!I210,IF(Index!$B$7=276,'276'!I210,IF(Index!$B$7=280,'280'!I210,IF(Index!$B$7=286,'286'!I210))))</f>
        <v>271.99999999999909</v>
      </c>
    </row>
    <row r="13" spans="1:28" ht="18.95" customHeight="1" thickBot="1">
      <c r="A13" s="293"/>
      <c r="B13" s="300" t="s">
        <v>83</v>
      </c>
      <c r="C13" s="106">
        <v>1</v>
      </c>
      <c r="D13" s="301" t="s">
        <v>195</v>
      </c>
      <c r="E13" s="96">
        <v>4</v>
      </c>
      <c r="F13" s="538" t="s">
        <v>201</v>
      </c>
      <c r="G13" s="539"/>
      <c r="H13" s="302">
        <v>144</v>
      </c>
      <c r="I13" s="293"/>
      <c r="J13" s="299" t="s">
        <v>85</v>
      </c>
      <c r="K13" s="101">
        <f>IF(Index!$B$7=266,'266'!H170,IF(Index!$B$7=276,'276'!H170,IF(Index!$B$7=280,'280'!H170,IF(Index!$B$7=286,'286'!H170))))</f>
        <v>30</v>
      </c>
      <c r="L13" s="101">
        <f>IF(Index!$B$7=266,'266'!I170,IF(Index!$B$7=276,'276'!I170,IF(Index!$B$7=280,'280'!I170,IF(Index!$B$7=286,'286'!I170))))</f>
        <v>30</v>
      </c>
      <c r="M13" s="99"/>
      <c r="N13" s="299" t="s">
        <v>85</v>
      </c>
      <c r="O13" s="101">
        <f>IF(Index!$B$7=266,'266'!H231,IF(Index!$B$7=276,'276'!H231,IF(Index!$B$7=280,'280'!H231,IF(Index!$B$7=286,'286'!H231))))</f>
        <v>30</v>
      </c>
      <c r="P13" s="101">
        <f>IF(Index!$B$7=266,'266'!I231,IF(Index!$B$7=276,'276'!I231,IF(Index!$B$7=280,'280'!I231,IF(Index!$B$7=286,'286'!I231))))</f>
        <v>30</v>
      </c>
      <c r="Q13" s="99"/>
      <c r="R13" s="299" t="s">
        <v>85</v>
      </c>
      <c r="S13" s="101">
        <f>IF(Index!$B$7=266,'266'!H251,IF(Index!$B$7=276,'276'!H251,IF(Index!$B$7=280,'280'!H251,IF(Index!$B$7=286,'286'!H251))))</f>
        <v>30</v>
      </c>
      <c r="T13" s="101">
        <f>IF(Index!$B$7=266,'266'!I251,IF(Index!$B$7=276,'276'!I251,IF(Index!$B$7=280,'280'!I251,IF(Index!$B$7=286,'286'!I251))))</f>
        <v>29</v>
      </c>
      <c r="U13" s="99"/>
      <c r="V13" s="299" t="s">
        <v>85</v>
      </c>
      <c r="W13" s="101">
        <f>IF(Index!$B$7=266,'266'!H191,IF(Index!$B$7=276,'276'!H191,IF(Index!$B$7=280,'280'!H191,IF(Index!$B$7=286,'286'!H191))))</f>
        <v>30</v>
      </c>
      <c r="X13" s="101">
        <f>IF(Index!$B$7=266,'266'!I191,IF(Index!$B$7=276,'276'!I191,IF(Index!$B$7=280,'280'!I191,IF(Index!$B$7=286,'286'!I191))))</f>
        <v>29</v>
      </c>
      <c r="Y13" s="99"/>
      <c r="Z13" s="299" t="s">
        <v>85</v>
      </c>
      <c r="AA13" s="101">
        <f>IF(Index!$B$7=266,'266'!H211,IF(Index!$B$7=276,'276'!H211,IF(Index!$B$7=280,'280'!H211,IF(Index!$B$7=286,'286'!H211))))</f>
        <v>30</v>
      </c>
      <c r="AB13" s="101">
        <f>IF(Index!$B$7=266,'266'!I211,IF(Index!$B$7=276,'276'!I211,IF(Index!$B$7=280,'280'!I211,IF(Index!$B$7=286,'286'!I211))))</f>
        <v>30</v>
      </c>
    </row>
    <row r="14" spans="1:28" ht="18.95" customHeight="1">
      <c r="A14" s="293"/>
      <c r="B14" s="293"/>
      <c r="C14" s="293"/>
      <c r="D14" s="293"/>
      <c r="E14" s="293"/>
      <c r="F14" s="294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</row>
    <row r="15" spans="1:28" ht="18.95" customHeight="1">
      <c r="A15" s="293"/>
      <c r="B15" s="293"/>
      <c r="C15" s="293"/>
      <c r="D15" s="293"/>
      <c r="E15" s="293"/>
      <c r="F15" s="294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</row>
    <row r="16" spans="1:28" ht="18.95" customHeight="1">
      <c r="A16" s="293"/>
      <c r="B16" s="102" t="s">
        <v>204</v>
      </c>
      <c r="C16" s="98" t="s">
        <v>202</v>
      </c>
      <c r="D16" s="98" t="s">
        <v>203</v>
      </c>
      <c r="E16" s="99"/>
      <c r="F16" s="102" t="s">
        <v>205</v>
      </c>
      <c r="G16" s="98" t="s">
        <v>202</v>
      </c>
      <c r="H16" s="98" t="s">
        <v>203</v>
      </c>
      <c r="I16" s="99"/>
      <c r="J16" s="102" t="s">
        <v>206</v>
      </c>
      <c r="K16" s="98" t="s">
        <v>202</v>
      </c>
      <c r="L16" s="98" t="s">
        <v>203</v>
      </c>
      <c r="M16" s="293"/>
      <c r="N16" s="104" t="s">
        <v>207</v>
      </c>
      <c r="O16" s="98" t="s">
        <v>202</v>
      </c>
      <c r="P16" s="98" t="s">
        <v>203</v>
      </c>
      <c r="Q16" s="293"/>
      <c r="R16" s="105" t="s">
        <v>208</v>
      </c>
      <c r="S16" s="98" t="s">
        <v>202</v>
      </c>
      <c r="T16" s="98" t="s">
        <v>203</v>
      </c>
      <c r="U16" s="99"/>
      <c r="V16" s="105" t="s">
        <v>228</v>
      </c>
      <c r="W16" s="98" t="s">
        <v>202</v>
      </c>
      <c r="X16" s="98" t="s">
        <v>203</v>
      </c>
      <c r="Y16" s="99"/>
      <c r="Z16" s="105" t="s">
        <v>229</v>
      </c>
      <c r="AA16" s="98" t="s">
        <v>202</v>
      </c>
      <c r="AB16" s="98" t="s">
        <v>203</v>
      </c>
    </row>
    <row r="17" spans="1:28" ht="18.95" customHeight="1">
      <c r="A17" s="293"/>
      <c r="B17" s="299" t="s">
        <v>83</v>
      </c>
      <c r="C17" s="306">
        <f>IF(Index!$B$7=266,'266'!H38,IF(Index!$B$7=276,'276'!H38,IF(Index!$B$7=280,'280'!H38,IF(Index!$B$7=286,'286'!H38))))/0.2165*Index!$C$13</f>
        <v>29.236191838495582</v>
      </c>
      <c r="D17" s="306">
        <f>IF(Index!$B$7=266,'266'!I38,IF(Index!$B$7=276,'276'!I38,IF(Index!$B$7=280,'280'!I38,IF(Index!$B$7=286,'286'!I38))))/0.2165*Index!$C$13</f>
        <v>30.118146711330894</v>
      </c>
      <c r="E17" s="99"/>
      <c r="F17" s="299" t="s">
        <v>83</v>
      </c>
      <c r="G17" s="306">
        <f>IF(Index!$B$7=266,'266'!H99,IF(Index!$B$7=276,'276'!H99,IF(Index!$B$7=280,'280'!H99,IF(Index!$B$7=286,'286'!H99))))/0.2165*Index!$C$13</f>
        <v>35.883508681735243</v>
      </c>
      <c r="H17" s="306">
        <f>IF(Index!$B$7=266,'266'!I99,IF(Index!$B$7=276,'276'!I99,IF(Index!$B$7=280,'280'!I99,IF(Index!$B$7=286,'286'!I99))))/0.2165*Index!$C$13</f>
        <v>37.301163463998321</v>
      </c>
      <c r="I17" s="99"/>
      <c r="J17" s="299" t="s">
        <v>83</v>
      </c>
      <c r="K17" s="306">
        <f>IF(Index!$B$7=266,'266'!H124,IF(Index!$B$7=276,'276'!H124,IF(Index!$B$7=280,'280'!H124,IF(Index!$B$7=286,'286'!H124))))/0.2165*Index!$C$13</f>
        <v>41.782122331541849</v>
      </c>
      <c r="L17" s="306">
        <f>IF(Index!$B$7=266,'266'!I124,IF(Index!$B$7=276,'276'!I124,IF(Index!$B$7=280,'280'!I124,IF(Index!$B$7=286,'286'!I124))))/0.2165*Index!$C$13</f>
        <v>43.305009146247571</v>
      </c>
      <c r="M17" s="293"/>
      <c r="N17" s="299" t="s">
        <v>83</v>
      </c>
      <c r="O17" s="306" t="b">
        <f>IF(Index!B7=276,'276'!$H$378/0.2165*Index!$C$13,FALSE)</f>
        <v>0</v>
      </c>
      <c r="P17" s="306" t="b">
        <f>IF(Index!B7=276,'276'!$H$379/0.2165*Index!$C$13,FALSE)</f>
        <v>0</v>
      </c>
      <c r="Q17" s="293"/>
      <c r="R17" s="299" t="s">
        <v>83</v>
      </c>
      <c r="S17" s="306">
        <f>IF(Index!$B$7=266,'266'!H149,IF(Index!$B$7=276,'276'!H149,IF(Index!$B$7=280,'280'!H149,IF(Index!$B$7=286,'286'!H149))))/0.2165*Index!$C$13</f>
        <v>30.552072440589459</v>
      </c>
      <c r="T17" s="306">
        <f>IF(Index!$B$7=266,'266'!I149,IF(Index!$B$7=276,'276'!I149,IF(Index!$B$7=280,'280'!I149,IF(Index!$B$7=286,'286'!I149))))/0.2165*Index!$C$13</f>
        <v>30.959440132037042</v>
      </c>
      <c r="U17" s="99"/>
      <c r="V17" s="299" t="s">
        <v>83</v>
      </c>
      <c r="W17" s="306" t="e">
        <f>IF(Index!B7=266,'266 Spike 30'!B9,IF(Index!B7=276,'276SR Spike 30'!B9,IF(Index!B7=280,'280SR Spike 30'!B9,IF(Index!B7=286,'286SR Spike 30'!B9))))</f>
        <v>#DIV/0!</v>
      </c>
      <c r="X17" s="306" t="e">
        <f>IF(Index!B7=266,'266 Spike 30'!C9,IF(Index!B7=276,'276SR Spike 30'!C9,IF(Index!B7=280,'280SR Spike 30'!C9,IF(Index!B7=286,'286SR Spike 30'!C9))))</f>
        <v>#DIV/0!</v>
      </c>
      <c r="Y17" s="99"/>
      <c r="Z17" s="299" t="s">
        <v>83</v>
      </c>
      <c r="AA17" s="306" t="e">
        <f>IF(Index!B7=266,'266 Spike 30'!B40,IF(Index!B7=276,'276SR Spike 30'!B40,IF(Index!B7=280,'280SR Spike 30'!B40,IF(Index!B7=286,'286SR Spike 30'!B40))))</f>
        <v>#DIV/0!</v>
      </c>
      <c r="AB17" s="306" t="e">
        <f>IF(Index!B7=266,'266 Spike 30'!C40,IF(Index!B7=276,'276SR Spike 30'!C40,IF(Index!B7=280,'280SR Spike 30'!C40,IF(Index!B7=286,'286SR Spike 30'!C40))))</f>
        <v>#DIV/0!</v>
      </c>
    </row>
    <row r="18" spans="1:28" ht="18.95" customHeight="1">
      <c r="A18" s="293"/>
      <c r="B18" s="299" t="s">
        <v>195</v>
      </c>
      <c r="C18" s="306">
        <f>C17/Index!E13</f>
        <v>7.3090479596238955</v>
      </c>
      <c r="D18" s="306">
        <f>D17/Index!E13</f>
        <v>7.5295366778327235</v>
      </c>
      <c r="E18" s="99"/>
      <c r="F18" s="299" t="s">
        <v>195</v>
      </c>
      <c r="G18" s="306">
        <f>G17/Index!E13</f>
        <v>8.9708771704338108</v>
      </c>
      <c r="H18" s="306">
        <f>H17/Index!E13</f>
        <v>9.3252908659995803</v>
      </c>
      <c r="I18" s="99"/>
      <c r="J18" s="299" t="s">
        <v>195</v>
      </c>
      <c r="K18" s="306">
        <f>K17/Index!E13</f>
        <v>10.445530582885462</v>
      </c>
      <c r="L18" s="306">
        <f>L17/Index!E13</f>
        <v>10.826252286561893</v>
      </c>
      <c r="M18" s="293"/>
      <c r="N18" s="299" t="s">
        <v>195</v>
      </c>
      <c r="O18" s="306" t="b">
        <f>IF(Index!B7=276,$O$17/Index!$E$13,FALSE)</f>
        <v>0</v>
      </c>
      <c r="P18" s="306" t="b">
        <f>IF(Index!B7=276,$P$17/Index!$E$13,FALSE)</f>
        <v>0</v>
      </c>
      <c r="Q18" s="293"/>
      <c r="R18" s="299" t="s">
        <v>195</v>
      </c>
      <c r="S18" s="306">
        <f>S17/Index!E13</f>
        <v>7.6380181101473648</v>
      </c>
      <c r="T18" s="306">
        <f>T17/Index!E13</f>
        <v>7.7398600330092604</v>
      </c>
      <c r="U18" s="99"/>
      <c r="V18" s="299" t="s">
        <v>195</v>
      </c>
      <c r="W18" s="306" t="e">
        <f>W17/Index!E13</f>
        <v>#DIV/0!</v>
      </c>
      <c r="X18" s="306" t="e">
        <f>X17/Index!E13</f>
        <v>#DIV/0!</v>
      </c>
      <c r="Y18" s="99"/>
      <c r="Z18" s="299" t="s">
        <v>195</v>
      </c>
      <c r="AA18" s="306" t="e">
        <f>AA17/Index!E13</f>
        <v>#DIV/0!</v>
      </c>
      <c r="AB18" s="306" t="e">
        <f>AB17/Index!E13</f>
        <v>#DIV/0!</v>
      </c>
    </row>
    <row r="19" spans="1:28" ht="18.95" customHeight="1">
      <c r="A19" s="293"/>
      <c r="B19" s="98" t="s">
        <v>200</v>
      </c>
      <c r="C19" s="306">
        <f>C17/4.75</f>
        <v>6.1549877554727539</v>
      </c>
      <c r="D19" s="306">
        <f>D17/4.75</f>
        <v>6.3406624655433461</v>
      </c>
      <c r="E19" s="99"/>
      <c r="F19" s="98" t="s">
        <v>200</v>
      </c>
      <c r="G19" s="306">
        <f>G17/4.75</f>
        <v>7.5544228803653146</v>
      </c>
      <c r="H19" s="306">
        <f>H17/4.75</f>
        <v>7.8528765187364886</v>
      </c>
      <c r="I19" s="99"/>
      <c r="J19" s="98" t="s">
        <v>200</v>
      </c>
      <c r="K19" s="306">
        <f>K17/4.75</f>
        <v>8.7962362803245995</v>
      </c>
      <c r="L19" s="306">
        <f>L17/4.75</f>
        <v>9.1168440307889629</v>
      </c>
      <c r="M19" s="293"/>
      <c r="N19" s="98" t="s">
        <v>200</v>
      </c>
      <c r="O19" s="306" t="b">
        <f>IF(Index!B7=276,$O$17/4.75,FALSE)</f>
        <v>0</v>
      </c>
      <c r="P19" s="306" t="b">
        <f>IF(Index!B7=276,$P$17/4.75,FALSE)</f>
        <v>0</v>
      </c>
      <c r="Q19" s="293"/>
      <c r="R19" s="98" t="s">
        <v>200</v>
      </c>
      <c r="S19" s="306">
        <f>S17/4.75</f>
        <v>6.4320152506504122</v>
      </c>
      <c r="T19" s="306">
        <f>T17/4.75</f>
        <v>6.5177768699025354</v>
      </c>
      <c r="U19" s="99"/>
      <c r="V19" s="98" t="s">
        <v>200</v>
      </c>
      <c r="W19" s="306" t="e">
        <f>W17/4.75</f>
        <v>#DIV/0!</v>
      </c>
      <c r="X19" s="306" t="e">
        <f>X17/4.75</f>
        <v>#DIV/0!</v>
      </c>
      <c r="Y19" s="99"/>
      <c r="Z19" s="98" t="s">
        <v>200</v>
      </c>
      <c r="AA19" s="306" t="e">
        <f>AA17/4.75</f>
        <v>#DIV/0!</v>
      </c>
      <c r="AB19" s="306" t="e">
        <f>AB17/4.75</f>
        <v>#DIV/0!</v>
      </c>
    </row>
    <row r="20" spans="1:28" ht="18.95" customHeight="1">
      <c r="A20" s="293"/>
      <c r="B20" s="299" t="s">
        <v>5</v>
      </c>
      <c r="C20" s="100">
        <f>IF(Index!$B$7=266,'266'!H39,IF(Index!$B$7=276,'276'!H39,IF(Index!$B$7=280,'280'!H39,IF(Index!$B$7=286,'286'!H39))))</f>
        <v>95.668538451603112</v>
      </c>
      <c r="D20" s="100">
        <f>IF(Index!$B$7=266,'266'!I39,IF(Index!$B$7=276,'276'!I39,IF(Index!$B$7=280,'280'!I39,IF(Index!$B$7=286,'286'!I39))))</f>
        <v>97.437573976148954</v>
      </c>
      <c r="E20" s="99"/>
      <c r="F20" s="299" t="s">
        <v>5</v>
      </c>
      <c r="G20" s="100">
        <f>IF(Index!$B$7=266,'266'!H100,IF(Index!$B$7=276,'276'!H100,IF(Index!$B$7=280,'280'!H100,IF(Index!$B$7=286,'286'!H100))))</f>
        <v>100.14262839624661</v>
      </c>
      <c r="H20" s="100">
        <f>IF(Index!$B$7=266,'266'!I100,IF(Index!$B$7=276,'276'!I100,IF(Index!$B$7=280,'280'!I100,IF(Index!$B$7=286,'286'!I100))))</f>
        <v>102.54941737201679</v>
      </c>
      <c r="I20" s="99"/>
      <c r="J20" s="299" t="s">
        <v>5</v>
      </c>
      <c r="K20" s="100">
        <f>IF(Index!$B$7=266,'266'!H125,IF(Index!$B$7=276,'276'!H125,IF(Index!$B$7=280,'280'!H125,IF(Index!$B$7=286,'286'!H125))))</f>
        <v>103.91394263947069</v>
      </c>
      <c r="L20" s="100">
        <f>IF(Index!$B$7=266,'266'!I125,IF(Index!$B$7=276,'276'!I125,IF(Index!$B$7=280,'280'!I125,IF(Index!$B$7=286,'286'!I125))))</f>
        <v>103.87277414774337</v>
      </c>
      <c r="M20" s="293"/>
      <c r="N20" s="299" t="s">
        <v>5</v>
      </c>
      <c r="O20" s="100" t="b">
        <f>IF(Index!B7=276,'276'!$G$378,FALSE)</f>
        <v>0</v>
      </c>
      <c r="P20" s="100" t="b">
        <f>IF(Index!B7=276,'276'!$G$379,FALSE)</f>
        <v>0</v>
      </c>
      <c r="Q20" s="293"/>
      <c r="R20" s="299" t="s">
        <v>5</v>
      </c>
      <c r="S20" s="100">
        <f>IF(Index!$B$7=266,'266'!H150,IF(Index!$B$7=276,'276'!H150,IF(Index!$B$7=280,'280'!H150,IF(Index!$B$7=286,'286'!H150))))</f>
        <v>74.987933731073696</v>
      </c>
      <c r="T20" s="100">
        <f>IF(Index!$B$7=266,'266'!I150,IF(Index!$B$7=276,'276'!I150,IF(Index!$B$7=280,'280'!I150,IF(Index!$B$7=286,'286'!I150))))</f>
        <v>78.140055114377489</v>
      </c>
      <c r="U20" s="99"/>
      <c r="V20" s="299" t="s">
        <v>5</v>
      </c>
      <c r="W20" s="100" t="e">
        <f>IF(Index!B7=266,'266 Spike 30'!B10,IF(Index!B7=276,'276SR Spike 30'!B10,IF(Index!B7=280,'280SR Spike 30'!B10,IF(Index!B7=286,'286SR Spike 30'!B10))))</f>
        <v>#DIV/0!</v>
      </c>
      <c r="X20" s="100" t="e">
        <f>IF(Index!B7=266,'266 Spike 30'!C10,IF(Index!B7=276,'276SR Spike 30'!C10,IF(Index!B7=280,'280SR Spike 30'!C10,IF(Index!B7=286,'286SR Spike 30'!C10))))</f>
        <v>#DIV/0!</v>
      </c>
      <c r="Y20" s="99"/>
      <c r="Z20" s="299" t="s">
        <v>5</v>
      </c>
      <c r="AA20" s="100" t="e">
        <f>IF(Index!B7=266,'266 Spike 30'!B41,IF(Index!B7=276,'276SR Spike 30'!B41,IF(Index!B7=280,'280SR Spike 30'!B41,IF(Index!B7=286,'286SR Spike 30'!B41))))</f>
        <v>#DIV/0!</v>
      </c>
      <c r="AB20" s="100" t="e">
        <f>IF(Index!B7=266,'266 Spike 30'!C41,IF(Index!B7=276,'276SR Spike 30'!C41,IF(Index!B7=280,'280SR Spike 30'!C41,IF(Index!B7=286,'286SR Spike 30'!C41))))</f>
        <v>#DIV/0!</v>
      </c>
    </row>
    <row r="21" spans="1:28" ht="18.95" customHeight="1">
      <c r="A21" s="293"/>
      <c r="B21" s="299" t="s">
        <v>84</v>
      </c>
      <c r="C21" s="100">
        <f>IF(Index!$B$7=266,'266'!H40,IF(Index!$B$7=276,'276'!H40,IF(Index!$B$7=280,'280'!H40,IF(Index!$B$7=286,'286'!H40))))</f>
        <v>268.33333333333343</v>
      </c>
      <c r="D21" s="100">
        <f>IF(Index!$B$7=266,'266'!I40,IF(Index!$B$7=276,'276'!I40,IF(Index!$B$7=280,'280'!I40,IF(Index!$B$7=286,'286'!I40))))</f>
        <v>273.00000000000006</v>
      </c>
      <c r="E21" s="99"/>
      <c r="F21" s="299" t="s">
        <v>84</v>
      </c>
      <c r="G21" s="100" t="e">
        <f>IF(Index!$B$7=266,'266'!H101,IF(Index!$B$7=276,'276'!H101,IF(Index!$B$7=280,'280'!H101,IF(Index!$B$7=286,'286'!H101))))</f>
        <v>#REF!</v>
      </c>
      <c r="H21" s="100" t="e">
        <f>IF(Index!$B$7=266,'266'!I101,IF(Index!$B$7=276,'276'!I101,IF(Index!$B$7=280,'280'!I101,IF(Index!$B$7=286,'286'!I101))))</f>
        <v>#REF!</v>
      </c>
      <c r="I21" s="99"/>
      <c r="J21" s="299" t="s">
        <v>84</v>
      </c>
      <c r="K21" s="100" t="e">
        <f>IF(Index!$B$7=266,'266'!H126,IF(Index!$B$7=276,'276'!H126,IF(Index!$B$7=280,'280'!H126,IF(Index!$B$7=286,'286'!H126))))</f>
        <v>#REF!</v>
      </c>
      <c r="L21" s="100" t="e">
        <f>IF(Index!$B$7=266,'266'!I126,IF(Index!$B$7=276,'276'!I126,IF(Index!$B$7=280,'280'!I126,IF(Index!$B$7=286,'286'!I126))))</f>
        <v>#REF!</v>
      </c>
      <c r="M21" s="293"/>
      <c r="N21" s="299" t="s">
        <v>84</v>
      </c>
      <c r="O21" s="100" t="b">
        <f>IF(Index!B7=276,'276'!$F$378,FALSE)</f>
        <v>0</v>
      </c>
      <c r="P21" s="100" t="b">
        <f>IF(Index!B7=276,'276'!$F$379,FALSE)</f>
        <v>0</v>
      </c>
      <c r="Q21" s="293"/>
      <c r="R21" s="299" t="s">
        <v>84</v>
      </c>
      <c r="S21" s="100" t="e">
        <f>IF(Index!$B$7=266,'266'!H151,IF(Index!$B$7=276,'276'!H151,IF(Index!$B$7=280,'280'!H151,IF(Index!$B$7=286,'286'!H151))))</f>
        <v>#VALUE!</v>
      </c>
      <c r="T21" s="100" t="e">
        <f>IF(Index!$B$7=266,'266'!I151,IF(Index!$B$7=276,'276'!I151,IF(Index!$B$7=280,'280'!I151,IF(Index!$B$7=286,'286'!I151))))</f>
        <v>#VALUE!</v>
      </c>
      <c r="U21" s="99"/>
      <c r="V21" s="299" t="s">
        <v>84</v>
      </c>
      <c r="W21" s="100" t="e">
        <f>IF(Index!B7=266,'266 Spike 30'!B11,IF(Index!B7=276,'276SR Spike 30'!B11,IF(Index!B7=280,'280SR Spike 30'!B11,IF(Index!B7=286,'286SR Spike 30'!B11))))</f>
        <v>#DIV/0!</v>
      </c>
      <c r="X21" s="100" t="e">
        <f>IF(Index!B7=266,'266 Spike 30'!C11,IF(Index!B7=276,'276SR Spike 30'!C11,IF(Index!B7=280,'280SR Spike 30'!C11,IF(Index!B7=286,'286SR Spike 30'!C11))))</f>
        <v>#DIV/0!</v>
      </c>
      <c r="Y21" s="99"/>
      <c r="Z21" s="299" t="s">
        <v>84</v>
      </c>
      <c r="AA21" s="100" t="e">
        <f>IF(Index!B7=266,'266 Spike 30'!B42,IF(Index!B7=276,'276SR Spike 30'!B42,IF(Index!B7=280,'280SR Spike 30'!B42,IF(Index!B7=286,'286SR Spike 30'!B42))))</f>
        <v>#DIV/0!</v>
      </c>
      <c r="AB21" s="100" t="e">
        <f>IF(Index!B7=266,'266 Spike 30'!C42,IF(Index!B7=276,'276SR Spike 30'!C42,IF(Index!B7=280,'280SR Spike 30'!C42,IF(Index!B7=286,'286SR Spike 30'!C42))))</f>
        <v>#DIV/0!</v>
      </c>
    </row>
    <row r="22" spans="1:28" ht="18.95" customHeight="1">
      <c r="A22" s="293"/>
      <c r="B22" s="299" t="s">
        <v>85</v>
      </c>
      <c r="C22" s="101">
        <f>IF(Index!$B$7=266,'266'!H41,IF(Index!$B$7=276,'276'!H41,IF(Index!$B$7=280,'280'!H41,IF(Index!$B$7=286,'286'!H41))))</f>
        <v>10</v>
      </c>
      <c r="D22" s="101">
        <f>IF(Index!$B$7=266,'266'!I41,IF(Index!$B$7=276,'276'!I41,IF(Index!$B$7=280,'280'!I41,IF(Index!$B$7=286,'286'!I41))))</f>
        <v>11</v>
      </c>
      <c r="E22" s="99"/>
      <c r="F22" s="299" t="s">
        <v>85</v>
      </c>
      <c r="G22" s="101">
        <f>IF(Index!$B$7=266,'266'!H102,IF(Index!$B$7=276,'276'!H102,IF(Index!$B$7=280,'280'!H102,IF(Index!$B$7=286,'286'!H102))))</f>
        <v>10</v>
      </c>
      <c r="H22" s="101">
        <f>IF(Index!$B$7=266,'266'!I102,IF(Index!$B$7=276,'276'!I102,IF(Index!$B$7=280,'280'!I102,IF(Index!$B$7=286,'286'!I102))))</f>
        <v>11</v>
      </c>
      <c r="I22" s="99"/>
      <c r="J22" s="299" t="s">
        <v>85</v>
      </c>
      <c r="K22" s="101">
        <f>IF(Index!$B$7=266,'266'!H127,IF(Index!$B$7=276,'276'!H127,IF(Index!$B$7=280,'280'!H127,IF(Index!$B$7=286,'286'!H127))))</f>
        <v>11</v>
      </c>
      <c r="L22" s="101">
        <f>IF(Index!$B$7=266,'266'!I127,IF(Index!$B$7=276,'276'!I127,IF(Index!$B$7=280,'280'!I127,IF(Index!$B$7=286,'286'!I127))))</f>
        <v>11</v>
      </c>
      <c r="M22" s="293"/>
      <c r="N22" s="299" t="s">
        <v>85</v>
      </c>
      <c r="O22" s="101" t="b">
        <f>IF(Index!B7=276,'276'!$I$378,FALSE)</f>
        <v>0</v>
      </c>
      <c r="P22" s="101" t="b">
        <f>IF(Index!B7=276,'276'!$I$379,FALSE)</f>
        <v>0</v>
      </c>
      <c r="Q22" s="293"/>
      <c r="R22" s="299" t="s">
        <v>85</v>
      </c>
      <c r="S22" s="101">
        <v>7</v>
      </c>
      <c r="T22" s="101">
        <v>7</v>
      </c>
      <c r="U22" s="99"/>
      <c r="V22" s="299" t="s">
        <v>85</v>
      </c>
      <c r="W22" s="100" t="e">
        <f>IF(Index!B7=266,'266 Spike 30'!B12,IF(Index!B7=276,'276SR Spike 30'!B12,IF(Index!B7=280,'280SR Spike 30'!B12,IF(Index!B7=286,'286SR Spike 30'!B12))))</f>
        <v>#DIV/0!</v>
      </c>
      <c r="X22" s="100" t="e">
        <f>IF(Index!B7=266,'266 Spike 30'!C12,IF(Index!B7=276,'276SR Spike 30'!C12,IF(Index!B7=280,'280SR Spike 30'!C12,IF(Index!B7=286,'286SR Spike 30'!C12))))</f>
        <v>#DIV/0!</v>
      </c>
      <c r="Y22" s="99"/>
      <c r="Z22" s="299" t="s">
        <v>85</v>
      </c>
      <c r="AA22" s="100" t="e">
        <f>IF(Index!B7=266,'266 Spike 30'!B43,IF(Index!B7=276,'276SR Spike 30'!B43,IF(Index!B7=280,'280SR Spike 30'!B43,IF(Index!B7=286,'286SR Spike 30'!B43))))</f>
        <v>#DIV/0!</v>
      </c>
      <c r="AB22" s="100" t="e">
        <f>IF(Index!B7=266,'266 Spike 30'!C43,IF(Index!B7=276,'276SR Spike 30'!C43,IF(Index!B7=280,'280SR Spike 30'!C43,IF(Index!B7=286,'286SR Spike 30'!C43))))</f>
        <v>#DIV/0!</v>
      </c>
    </row>
    <row r="23" spans="1:28" ht="18.95" customHeight="1">
      <c r="A23" s="293"/>
      <c r="B23" s="293"/>
      <c r="C23" s="293"/>
      <c r="D23" s="293"/>
      <c r="E23" s="293"/>
      <c r="F23" s="294"/>
      <c r="G23" s="293"/>
      <c r="H23" s="293"/>
      <c r="I23" s="293"/>
      <c r="J23" s="293"/>
      <c r="K23" s="293"/>
      <c r="L23" s="293"/>
      <c r="M23" s="293"/>
      <c r="N23" s="293"/>
      <c r="O23" s="293"/>
      <c r="P23" s="293"/>
      <c r="Q23" s="293"/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</row>
    <row r="24" spans="1:28" ht="18.95" customHeight="1">
      <c r="A24" s="293"/>
      <c r="B24" s="293"/>
      <c r="C24" s="293"/>
      <c r="D24" s="293"/>
      <c r="E24" s="293"/>
      <c r="F24" s="293"/>
      <c r="G24" s="303"/>
      <c r="H24" s="293"/>
      <c r="I24" s="293"/>
      <c r="J24" s="293"/>
      <c r="K24" s="293"/>
      <c r="L24" s="293"/>
      <c r="M24" s="293"/>
      <c r="N24" s="293"/>
      <c r="O24" s="293"/>
      <c r="P24" s="293"/>
      <c r="Q24" s="293"/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</row>
    <row r="25" spans="1:28" ht="18.95" customHeight="1">
      <c r="A25" s="293"/>
      <c r="B25" s="103" t="s">
        <v>214</v>
      </c>
      <c r="C25" s="98" t="s">
        <v>202</v>
      </c>
      <c r="D25" s="98" t="s">
        <v>203</v>
      </c>
      <c r="E25" s="99"/>
      <c r="F25" s="103" t="s">
        <v>215</v>
      </c>
      <c r="G25" s="98" t="s">
        <v>202</v>
      </c>
      <c r="H25" s="98" t="s">
        <v>203</v>
      </c>
      <c r="I25" s="99"/>
      <c r="J25" s="103" t="s">
        <v>216</v>
      </c>
      <c r="K25" s="98" t="s">
        <v>202</v>
      </c>
      <c r="L25" s="98" t="s">
        <v>203</v>
      </c>
      <c r="M25" s="99"/>
      <c r="N25" s="103" t="s">
        <v>217</v>
      </c>
      <c r="O25" s="98" t="s">
        <v>202</v>
      </c>
      <c r="P25" s="98" t="s">
        <v>203</v>
      </c>
      <c r="Q25" s="99"/>
      <c r="R25" s="103" t="s">
        <v>218</v>
      </c>
      <c r="S25" s="98" t="s">
        <v>202</v>
      </c>
      <c r="T25" s="98" t="s">
        <v>203</v>
      </c>
      <c r="U25" s="99"/>
      <c r="V25" s="103" t="s">
        <v>219</v>
      </c>
      <c r="W25" s="98" t="s">
        <v>202</v>
      </c>
      <c r="X25" s="98" t="s">
        <v>203</v>
      </c>
      <c r="Y25" s="293"/>
      <c r="Z25" s="304" t="s">
        <v>220</v>
      </c>
      <c r="AA25" s="98" t="s">
        <v>202</v>
      </c>
      <c r="AB25" s="98" t="s">
        <v>203</v>
      </c>
    </row>
    <row r="26" spans="1:28" ht="18.95" customHeight="1">
      <c r="A26" s="293"/>
      <c r="B26" s="299" t="s">
        <v>83</v>
      </c>
      <c r="C26" s="306">
        <f>IF(Index!$B$7=266,'266'!H20,IF(Index!$B$7=276,'276'!H20,IF(Index!$B$7=280,'280'!H20,IF(Index!$B$7=286,'286'!H20))))/0.2165*Index!$C$13</f>
        <v>16.240232805796563</v>
      </c>
      <c r="D26" s="306">
        <f>IF(Index!$B$7=266,'266'!I20,IF(Index!$B$7=276,'276'!I20,IF(Index!$B$7=280,'280'!I20,IF(Index!$B$7=286,'286'!I20))))/0.2165*Index!$C$13</f>
        <v>16.543865921801736</v>
      </c>
      <c r="E26" s="99"/>
      <c r="F26" s="299" t="s">
        <v>83</v>
      </c>
      <c r="G26" s="306">
        <f>IF(Index!$B$7=266,'266'!H63,IF(Index!$B$7=276,'276'!H63,IF(Index!$B$7=280,'280'!H63,IF(Index!$B$7=286,'286'!H63))))/0.2165*Index!$C$13</f>
        <v>19.79517685786643</v>
      </c>
      <c r="H26" s="306">
        <f>IF(Index!$B$7=266,'266'!I63,IF(Index!$B$7=276,'276'!I63,IF(Index!$B$7=280,'280'!I63,IF(Index!$B$7=286,'286'!I63))))/0.2165*Index!$C$13</f>
        <v>20.28563230564291</v>
      </c>
      <c r="I26" s="99"/>
      <c r="J26" s="299" t="s">
        <v>83</v>
      </c>
      <c r="K26" s="306">
        <f>IF(Index!$B$7=266,'266'!H81,IF(Index!$B$7=276,'276'!H81,IF(Index!$B$7=280,'280'!H81,IF(Index!$B$7=286,'286'!H81))))/0.2165*Index!$C$13</f>
        <v>23.764416082769788</v>
      </c>
      <c r="L26" s="306">
        <f>IF(Index!$B$7=266,'266'!I81,IF(Index!$B$7=276,'276'!I81,IF(Index!$B$7=280,'280'!I81,IF(Index!$B$7=286,'286'!I81))))/0.2165*Index!$C$13</f>
        <v>24.521037762083889</v>
      </c>
      <c r="M26" s="99"/>
      <c r="N26" s="299" t="s">
        <v>83</v>
      </c>
      <c r="O26" s="306">
        <f>IF(Index!$B$7=266,C26*0.931,IF(Index!$B$7=276,C26*0.92,IF(Index!$B$7=280,C26*0.92,IF(Index!$B$7=286,C26*0.92))))</f>
        <v>14.941014181332838</v>
      </c>
      <c r="P26" s="306">
        <f>IF(Index!$B$7=266,D26*0.931,IF(Index!$B$7=276,D26*0.92,IF(Index!$B$7=280,D26*0.92,IF(Index!$B$7=286,D26*0.92))))</f>
        <v>15.220356648057598</v>
      </c>
      <c r="Q26" s="99"/>
      <c r="R26" s="299" t="s">
        <v>83</v>
      </c>
      <c r="S26" s="306">
        <f>IF(Index!$B$7=266,'266'!H268,IF(Index!$B$7=276,'276'!H268,IF(Index!$B$7=280,'280'!H268,IF(Index!$B$7=286,'286'!H268))))/0.2165*Index!$C$13</f>
        <v>16.877668802431327</v>
      </c>
      <c r="T26" s="306">
        <f>IF(Index!$B$7=266,'266'!I268,IF(Index!$B$7=276,'276'!I268,IF(Index!$B$7=280,'280'!I268,IF(Index!$B$7=286,'286'!I268))))/0.2165*Index!$C$13</f>
        <v>17.209016756529618</v>
      </c>
      <c r="U26" s="99"/>
      <c r="V26" s="299" t="s">
        <v>83</v>
      </c>
      <c r="W26" s="306">
        <f>IF(Index!$B$7=266,'266'!H288,IF(Index!$B$7=276,'276'!H288,IF(Index!$B$7=280,'280'!H288,IF(Index!$B$7=286,'286'!H288))))/0.2165*Index!$C$13</f>
        <v>16.003623176204012</v>
      </c>
      <c r="X26" s="306">
        <f>IF(Index!$B$7=266,'266'!I288,IF(Index!$B$7=276,'276'!I288,IF(Index!$B$7=280,'280'!I288,IF(Index!$B$7=286,'286'!I288))))/0.2165*Index!$C$13</f>
        <v>16.307035643208302</v>
      </c>
      <c r="Y26" s="293"/>
      <c r="Z26" s="299" t="s">
        <v>83</v>
      </c>
      <c r="AA26" s="306">
        <f>'6i Chip-in'!L5*C13</f>
        <v>27.123519353292007</v>
      </c>
      <c r="AB26" s="306">
        <f>'6i Chip-in'!M5*C13</f>
        <v>27.123519353292007</v>
      </c>
    </row>
    <row r="27" spans="1:28" ht="18.95" customHeight="1">
      <c r="A27" s="293"/>
      <c r="B27" s="299" t="s">
        <v>195</v>
      </c>
      <c r="C27" s="306">
        <f>C26/Index!E13</f>
        <v>4.0600582014491406</v>
      </c>
      <c r="D27" s="306">
        <f>D26/Index!E13</f>
        <v>4.1359664804504339</v>
      </c>
      <c r="E27" s="99"/>
      <c r="F27" s="299" t="s">
        <v>195</v>
      </c>
      <c r="G27" s="306">
        <f>G26/Index!E13</f>
        <v>4.9487942144666075</v>
      </c>
      <c r="H27" s="306">
        <f>H26/Index!E13</f>
        <v>5.0714080764107274</v>
      </c>
      <c r="I27" s="99"/>
      <c r="J27" s="299" t="s">
        <v>195</v>
      </c>
      <c r="K27" s="306">
        <f>K26/Index!E13</f>
        <v>5.941104020692447</v>
      </c>
      <c r="L27" s="306">
        <f>L26/Index!E13</f>
        <v>6.1302594405209723</v>
      </c>
      <c r="M27" s="99"/>
      <c r="N27" s="299" t="s">
        <v>195</v>
      </c>
      <c r="O27" s="306">
        <f>O26/Index!E13</f>
        <v>3.7352535453332094</v>
      </c>
      <c r="P27" s="306">
        <f>P26/Index!E13</f>
        <v>3.8050891620143994</v>
      </c>
      <c r="Q27" s="99"/>
      <c r="R27" s="299" t="s">
        <v>195</v>
      </c>
      <c r="S27" s="306">
        <f>S26/Index!E13</f>
        <v>4.2194172006078317</v>
      </c>
      <c r="T27" s="306">
        <f>T26/Index!E13</f>
        <v>4.3022541891324044</v>
      </c>
      <c r="U27" s="99"/>
      <c r="V27" s="299" t="s">
        <v>195</v>
      </c>
      <c r="W27" s="306">
        <f>W26/Index!E13</f>
        <v>4.0009057940510031</v>
      </c>
      <c r="X27" s="306">
        <f>X26/Index!E13</f>
        <v>4.0767589108020754</v>
      </c>
      <c r="Y27" s="293"/>
      <c r="Z27" s="299" t="s">
        <v>195</v>
      </c>
      <c r="AA27" s="306">
        <f>AA26/Index!E13</f>
        <v>6.7808798383230018</v>
      </c>
      <c r="AB27" s="306">
        <f>AB26/Index!E13</f>
        <v>6.7808798383230018</v>
      </c>
    </row>
    <row r="28" spans="1:28" ht="18.95" customHeight="1">
      <c r="A28" s="293"/>
      <c r="B28" s="98" t="s">
        <v>200</v>
      </c>
      <c r="C28" s="306">
        <f>C26/4.75</f>
        <v>3.4189963801676972</v>
      </c>
      <c r="D28" s="306">
        <f>D26/4.75</f>
        <v>3.4829191414319443</v>
      </c>
      <c r="E28" s="99"/>
      <c r="F28" s="98" t="s">
        <v>200</v>
      </c>
      <c r="G28" s="306">
        <f>G26/4.75</f>
        <v>4.1674056542876698</v>
      </c>
      <c r="H28" s="306">
        <f>H26/4.75</f>
        <v>4.2706594327669283</v>
      </c>
      <c r="I28" s="99"/>
      <c r="J28" s="98" t="s">
        <v>200</v>
      </c>
      <c r="K28" s="306">
        <f>K26/4.75</f>
        <v>5.0030349647936392</v>
      </c>
      <c r="L28" s="306">
        <f>L26/4.75</f>
        <v>5.1623237393860819</v>
      </c>
      <c r="M28" s="99"/>
      <c r="N28" s="98" t="s">
        <v>200</v>
      </c>
      <c r="O28" s="306">
        <f>O26/4.75</f>
        <v>3.1454766697542818</v>
      </c>
      <c r="P28" s="306">
        <f>P26/4.75</f>
        <v>3.2042856101173891</v>
      </c>
      <c r="Q28" s="99"/>
      <c r="R28" s="98" t="s">
        <v>200</v>
      </c>
      <c r="S28" s="306">
        <f>S26/4.75</f>
        <v>3.5531934320908056</v>
      </c>
      <c r="T28" s="306">
        <f>T26/4.75</f>
        <v>3.6229508961114987</v>
      </c>
      <c r="U28" s="99"/>
      <c r="V28" s="98" t="s">
        <v>200</v>
      </c>
      <c r="W28" s="306">
        <f>W26/4.75</f>
        <v>3.369183826569266</v>
      </c>
      <c r="X28" s="306">
        <f>X26/4.75</f>
        <v>3.4330601354122741</v>
      </c>
      <c r="Y28" s="293"/>
      <c r="Z28" s="98" t="s">
        <v>200</v>
      </c>
      <c r="AA28" s="306">
        <f>AA26/4.75</f>
        <v>5.7102146006930541</v>
      </c>
      <c r="AB28" s="306">
        <f>AB26/4.75</f>
        <v>5.7102146006930541</v>
      </c>
    </row>
    <row r="29" spans="1:28" ht="18.95" customHeight="1">
      <c r="A29" s="293"/>
      <c r="B29" s="299" t="s">
        <v>5</v>
      </c>
      <c r="C29" s="100">
        <f>IF(Index!$B$7=266,'266'!H21,IF(Index!$B$7=276,'276'!H21,IF(Index!$B$7=280,'280'!H21,IF(Index!$B$7=286,'286'!H21))))</f>
        <v>81.183987688372497</v>
      </c>
      <c r="D29" s="100">
        <f>IF(Index!$B$7=266,'266'!I21,IF(Index!$B$7=276,'276'!I21,IF(Index!$B$7=280,'280'!I21,IF(Index!$B$7=286,'286'!I21))))</f>
        <v>82.261767512787685</v>
      </c>
      <c r="E29" s="99"/>
      <c r="F29" s="299" t="s">
        <v>5</v>
      </c>
      <c r="G29" s="100">
        <f>IF(Index!$B$7=266,'266'!H64,IF(Index!$B$7=276,'276'!H64,IF(Index!$B$7=280,'280'!H64,IF(Index!$B$7=286,'286'!H64))))</f>
        <v>83.98927047924802</v>
      </c>
      <c r="H29" s="100">
        <f>IF(Index!$B$7=266,'266'!I64,IF(Index!$B$7=276,'276'!I64,IF(Index!$B$7=280,'280'!I64,IF(Index!$B$7=286,'286'!I64))))</f>
        <v>85.507376366571776</v>
      </c>
      <c r="I29" s="99"/>
      <c r="J29" s="299" t="s">
        <v>5</v>
      </c>
      <c r="K29" s="100">
        <f>IF(Index!$B$7=266,'266'!H82,IF(Index!$B$7=276,'276'!H82,IF(Index!$B$7=280,'280'!H82,IF(Index!$B$7=286,'286'!H82))))</f>
        <v>88.209266000021387</v>
      </c>
      <c r="L29" s="100">
        <f>IF(Index!$B$7=266,'266'!I82,IF(Index!$B$7=276,'276'!I82,IF(Index!$B$7=280,'280'!I82,IF(Index!$B$7=286,'286'!I82))))</f>
        <v>90.270322997621221</v>
      </c>
      <c r="M29" s="99"/>
      <c r="N29" s="299" t="s">
        <v>5</v>
      </c>
      <c r="O29" s="100">
        <f>IF(Index!$B$7=266,C29-2.3,IF(Index!$B$7=276,C29-2.3,IF(Index!$B$7=280,C29-2.3,IF(Index!$B$7=286,C29-2.3))))</f>
        <v>78.8839876883725</v>
      </c>
      <c r="P29" s="100">
        <f>IF(Index!$B$7=266,D29-2.3,IF(Index!$B$7=276,D29-2.3,IF(Index!$B$7=280,D29-2.3,IF(Index!$B$7=286,D29-2.3))))</f>
        <v>79.961767512787688</v>
      </c>
      <c r="Q29" s="99"/>
      <c r="R29" s="299" t="s">
        <v>5</v>
      </c>
      <c r="S29" s="100">
        <f>IF(Index!$B$7=266,'266'!H269,IF(Index!$B$7=276,'276'!H269,IF(Index!$B$7=280,'280'!H269,IF(Index!$B$7=286,'286'!H269))))</f>
        <v>78.137115534803129</v>
      </c>
      <c r="T29" s="100">
        <f>IF(Index!$B$7=266,'266'!I269,IF(Index!$B$7=276,'276'!I269,IF(Index!$B$7=280,'280'!I269,IF(Index!$B$7=286,'286'!I269))))</f>
        <v>79.180741827995305</v>
      </c>
      <c r="U29" s="99"/>
      <c r="V29" s="299" t="s">
        <v>5</v>
      </c>
      <c r="W29" s="100">
        <f>IF(Index!$B$7=266,'266'!H289,IF(Index!$B$7=276,'276'!H289,IF(Index!$B$7=280,'280'!H289,IF(Index!$B$7=286,'286'!H289))))</f>
        <v>76.16203229791283</v>
      </c>
      <c r="X29" s="100">
        <f>IF(Index!$B$7=266,'266'!I289,IF(Index!$B$7=276,'276'!I289,IF(Index!$B$7=280,'280'!I289,IF(Index!$B$7=286,'286'!I289))))</f>
        <v>77.161466387690083</v>
      </c>
      <c r="Y29" s="293"/>
      <c r="Z29" s="299" t="s">
        <v>5</v>
      </c>
      <c r="AA29" s="100" t="e">
        <f>AA30*100/H13</f>
        <v>#REF!</v>
      </c>
      <c r="AB29" s="100" t="e">
        <f>AB30*100/H13</f>
        <v>#REF!</v>
      </c>
    </row>
    <row r="30" spans="1:28" ht="18.95" customHeight="1">
      <c r="A30" s="293"/>
      <c r="B30" s="299" t="s">
        <v>84</v>
      </c>
      <c r="C30" s="100">
        <f>IF(Index!$B$7=266,'266'!H22,IF(Index!$B$7=276,'276'!H22,IF(Index!$B$7=280,'280'!H22,IF(Index!$B$7=286,'286'!H22))))</f>
        <v>240.91111111111243</v>
      </c>
      <c r="D30" s="100">
        <f>IF(Index!$B$7=266,'266'!I22,IF(Index!$B$7=276,'276'!I22,IF(Index!$B$7=280,'280'!I22,IF(Index!$B$7=286,'286'!I22))))</f>
        <v>244.20000000000132</v>
      </c>
      <c r="E30" s="99"/>
      <c r="F30" s="299" t="s">
        <v>84</v>
      </c>
      <c r="G30" s="100">
        <f>IF(Index!$B$7=266,'266'!H65,IF(Index!$B$7=276,'276'!H65,IF(Index!$B$7=280,'280'!H65,IF(Index!$B$7=286,'286'!H65))))</f>
        <v>232.29999999999998</v>
      </c>
      <c r="H30" s="100">
        <f>IF(Index!$B$7=266,'266'!I65,IF(Index!$B$7=276,'276'!I65,IF(Index!$B$7=280,'280'!I65,IF(Index!$B$7=286,'286'!I65))))</f>
        <v>236.13333333333338</v>
      </c>
      <c r="I30" s="99"/>
      <c r="J30" s="299" t="s">
        <v>84</v>
      </c>
      <c r="K30" s="100">
        <f>IF(Index!$B$7=266,'266'!H83,IF(Index!$B$7=276,'276'!H83,IF(Index!$B$7=280,'280'!H83,IF(Index!$B$7=286,'286'!H83))))</f>
        <v>226.13333333333344</v>
      </c>
      <c r="L30" s="100">
        <f>IF(Index!$B$7=266,'266'!I83,IF(Index!$B$7=276,'276'!I83,IF(Index!$B$7=280,'280'!I83,IF(Index!$B$7=286,'286'!I83))))</f>
        <v>231.1111111111112</v>
      </c>
      <c r="M30" s="99"/>
      <c r="N30" s="299" t="s">
        <v>84</v>
      </c>
      <c r="O30" s="100" t="e">
        <f>IF(Index!$B$7=266,'266'!H30,IF(Index!$B$7=276,'276'!H30,IF(Index!$B$7=280,'280'!H30,IF(Index!$B$7=286,'286'!H30))))</f>
        <v>#VALUE!</v>
      </c>
      <c r="P30" s="100">
        <f>IF(Index!$B$7=266,'266'!I30,IF(Index!$B$7=276,'276'!I30,IF(Index!$B$7=280,'280'!I30,IF(Index!$B$7=286,'286'!I30))))</f>
        <v>244.79999999999876</v>
      </c>
      <c r="Q30" s="99"/>
      <c r="R30" s="299" t="s">
        <v>84</v>
      </c>
      <c r="S30" s="100">
        <f>IF(Index!$B$7=266,'266'!H270,IF(Index!$B$7=276,'276'!H270,IF(Index!$B$7=280,'280'!H270,IF(Index!$B$7=286,'286'!H270))))</f>
        <v>231.86666666666798</v>
      </c>
      <c r="T30" s="100">
        <f>IF(Index!$B$7=266,'266'!I270,IF(Index!$B$7=276,'276'!I270,IF(Index!$B$7=280,'280'!I270,IF(Index!$B$7=286,'286'!I270))))</f>
        <v>234.33333333333465</v>
      </c>
      <c r="U30" s="99"/>
      <c r="V30" s="299" t="s">
        <v>84</v>
      </c>
      <c r="W30" s="100">
        <f>IF(Index!$B$7=266,'266'!H290,IF(Index!$B$7=276,'276'!H290,IF(Index!$B$7=280,'280'!H290,IF(Index!$B$7=286,'286'!H290))))</f>
        <v>232.89999999999884</v>
      </c>
      <c r="X30" s="100">
        <f>IF(Index!$B$7=266,'266'!I290,IF(Index!$B$7=276,'276'!I290,IF(Index!$B$7=280,'280'!I290,IF(Index!$B$7=286,'286'!I290))))</f>
        <v>236.29999999999882</v>
      </c>
      <c r="Y30" s="293"/>
      <c r="Z30" s="299" t="s">
        <v>84</v>
      </c>
      <c r="AA30" s="100" t="e">
        <f>'6i Chip-in'!L6</f>
        <v>#REF!</v>
      </c>
      <c r="AB30" s="100" t="e">
        <f>'6i Chip-in'!M6</f>
        <v>#REF!</v>
      </c>
    </row>
    <row r="31" spans="1:28" ht="18.95" customHeight="1">
      <c r="A31" s="293"/>
      <c r="B31" s="299" t="s">
        <v>85</v>
      </c>
      <c r="C31" s="101">
        <v>7</v>
      </c>
      <c r="D31" s="101">
        <v>7</v>
      </c>
      <c r="E31" s="99"/>
      <c r="F31" s="299" t="s">
        <v>85</v>
      </c>
      <c r="G31" s="101">
        <v>7</v>
      </c>
      <c r="H31" s="101">
        <v>7</v>
      </c>
      <c r="I31" s="99"/>
      <c r="J31" s="299" t="s">
        <v>85</v>
      </c>
      <c r="K31" s="101">
        <v>7</v>
      </c>
      <c r="L31" s="101">
        <v>7</v>
      </c>
      <c r="M31" s="99"/>
      <c r="N31" s="299" t="s">
        <v>85</v>
      </c>
      <c r="O31" s="101">
        <v>7</v>
      </c>
      <c r="P31" s="101">
        <v>7</v>
      </c>
      <c r="Q31" s="99"/>
      <c r="R31" s="299" t="s">
        <v>85</v>
      </c>
      <c r="S31" s="101">
        <f>IF(Index!$B$7=266,'266'!H271,IF(Index!$B$7=276,'276'!H271,IF(Index!$B$7=280,'280'!H271,IF(Index!$B$7=286,'286'!H271))))</f>
        <v>29</v>
      </c>
      <c r="T31" s="101">
        <f>IF(Index!$B$7=266,'266'!I271,IF(Index!$B$7=276,'276'!I271,IF(Index!$B$7=280,'280'!I271,IF(Index!$B$7=286,'286'!I271))))</f>
        <v>30</v>
      </c>
      <c r="U31" s="99"/>
      <c r="V31" s="299" t="s">
        <v>85</v>
      </c>
      <c r="W31" s="101">
        <f>IF(Index!$B$7=266,'266'!H291,IF(Index!$B$7=276,'276'!H291,IF(Index!$B$7=280,'280'!H291,IF(Index!$B$7=286,'286'!H291))))</f>
        <v>30</v>
      </c>
      <c r="X31" s="101">
        <f>IF(Index!$B$7=266,'266'!I291,IF(Index!$B$7=276,'276'!I291,IF(Index!$B$7=280,'280'!I291,IF(Index!$B$7=286,'286'!I291))))</f>
        <v>30</v>
      </c>
      <c r="Y31" s="293"/>
      <c r="Z31" s="299" t="s">
        <v>85</v>
      </c>
      <c r="AA31" s="101">
        <v>0</v>
      </c>
      <c r="AB31" s="101">
        <v>0</v>
      </c>
    </row>
  </sheetData>
  <sheetProtection selectLockedCells="1"/>
  <protectedRanges>
    <protectedRange sqref="B13" name="Range2_1"/>
  </protectedRanges>
  <mergeCells count="7">
    <mergeCell ref="R5:AB5"/>
    <mergeCell ref="R2:AB4"/>
    <mergeCell ref="B7:E12"/>
    <mergeCell ref="F7:H12"/>
    <mergeCell ref="F13:G13"/>
    <mergeCell ref="N4:O4"/>
    <mergeCell ref="N3:O3"/>
  </mergeCells>
  <conditionalFormatting sqref="B7">
    <cfRule type="containsText" dxfId="14" priority="12" operator="containsText" text="266">
      <formula>NOT(ISERROR(SEARCH("266",B7)))</formula>
    </cfRule>
    <cfRule type="containsText" dxfId="13" priority="13" operator="containsText" text="276">
      <formula>NOT(ISERROR(SEARCH("276",B7)))</formula>
    </cfRule>
    <cfRule type="containsText" dxfId="12" priority="14" operator="containsText" text="280">
      <formula>NOT(ISERROR(SEARCH("280",B7)))</formula>
    </cfRule>
    <cfRule type="containsText" dxfId="11" priority="15" operator="containsText" text="286">
      <formula>NOT(ISERROR(SEARCH("286",B7)))</formula>
    </cfRule>
  </conditionalFormatting>
  <conditionalFormatting sqref="H4">
    <cfRule type="expression" dxfId="10" priority="7">
      <formula>$H$4=98%</formula>
    </cfRule>
    <cfRule type="expression" dxfId="9" priority="8">
      <formula>$H$4=97%</formula>
    </cfRule>
    <cfRule type="expression" dxfId="8" priority="9">
      <formula>$H$4=100%</formula>
    </cfRule>
    <cfRule type="expression" dxfId="7" priority="10">
      <formula>$H$4=95%</formula>
    </cfRule>
    <cfRule type="expression" dxfId="6" priority="11">
      <formula>$H$4=85%</formula>
    </cfRule>
  </conditionalFormatting>
  <conditionalFormatting sqref="F7:H12">
    <cfRule type="containsText" dxfId="5" priority="5" operator="containsText" text="0">
      <formula>NOT(ISERROR(SEARCH("0",F7)))</formula>
    </cfRule>
    <cfRule type="containsText" dxfId="4" priority="6" operator="containsText" text="6">
      <formula>NOT(ISERROR(SEARCH("6",F7)))</formula>
    </cfRule>
  </conditionalFormatting>
  <conditionalFormatting sqref="P4">
    <cfRule type="containsText" dxfId="3" priority="3" operator="containsText" text="Unbalance">
      <formula>NOT(ISERROR(SEARCH("Unbalance",P4)))</formula>
    </cfRule>
    <cfRule type="containsText" dxfId="2" priority="4" operator="containsText" text="Balance">
      <formula>NOT(ISERROR(SEARCH("Balance",P4)))</formula>
    </cfRule>
  </conditionalFormatting>
  <conditionalFormatting sqref="E3">
    <cfRule type="containsText" dxfId="1" priority="1" operator="containsText" text="360°">
      <formula>NOT(ISERROR(SEARCH("360°",E3)))</formula>
    </cfRule>
    <cfRule type="containsText" dxfId="0" priority="2" operator="containsText" text="90°">
      <formula>NOT(ISERROR(SEARCH("90°",E3)))</formula>
    </cfRule>
  </conditionalFormatting>
  <dataValidations count="6">
    <dataValidation type="list" allowBlank="1" showInputMessage="1" showErrorMessage="1" sqref="P4" xr:uid="{00000000-0002-0000-0000-000006000000}">
      <formula1>"Balance,Unbalance"</formula1>
    </dataValidation>
    <dataValidation type="list" allowBlank="1" showInputMessage="1" showErrorMessage="1" sqref="C13" xr:uid="{3585442B-F3E5-47C6-AD31-0210DBCD8F55}">
      <formula1>"1.00,1.25,1.50"</formula1>
    </dataValidation>
    <dataValidation type="list" allowBlank="1" showInputMessage="1" showErrorMessage="1" sqref="B7:E12" xr:uid="{577434C9-0098-48F5-BEBE-A4F9B4414FA9}">
      <formula1>"266,276,280,286"</formula1>
    </dataValidation>
    <dataValidation type="list" allowBlank="1" showInputMessage="1" showErrorMessage="1" sqref="H13" xr:uid="{31874C37-D652-4A03-8440-C68B85691937}">
      <formula1>"140,142,144,146,148,150,152,154,156"</formula1>
    </dataValidation>
    <dataValidation type="list" allowBlank="1" showInputMessage="1" showErrorMessage="1" sqref="E13" xr:uid="{010FE37B-CF89-42AF-9CE4-68D9EB2F0C1A}">
      <formula1>"4.00,8.00,12.00,16.00,20.00"</formula1>
    </dataValidation>
    <dataValidation type="list" allowBlank="1" showInputMessage="1" showErrorMessage="1" sqref="F3" xr:uid="{2E6AF6AD-5917-42A8-8895-E4AB9E3F6A45}">
      <formula1>"Pixel,Breaks"</formula1>
    </dataValidation>
  </dataValidations>
  <pageMargins left="0.7" right="0.7" top="0.75" bottom="0.75" header="0.3" footer="0.3"/>
  <pageSetup orientation="portrait" r:id="rId1"/>
  <picture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1D1F3B-5A11-4A70-A001-3E57E26A3959}">
          <x14:formula1>
            <xm:f>Slope.px!$E$3:$E$7</xm:f>
          </x14:formula1>
          <xm:sqref>N4:O4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4F8FB-2B51-4EDF-A1C9-34208DCE3A2F}">
  <sheetPr>
    <tabColor rgb="FF351C75"/>
    <outlinePr summaryBelow="0" summaryRight="0"/>
  </sheetPr>
  <dimension ref="A1:P1000"/>
  <sheetViews>
    <sheetView workbookViewId="0">
      <selection activeCell="N16" sqref="N16"/>
    </sheetView>
  </sheetViews>
  <sheetFormatPr defaultColWidth="14.42578125" defaultRowHeight="15.75" customHeight="1"/>
  <cols>
    <col min="1" max="1" width="10.85546875" style="501" customWidth="1"/>
    <col min="2" max="3" width="13" style="501" customWidth="1"/>
    <col min="4" max="4" width="9.5703125" style="501" customWidth="1"/>
    <col min="5" max="5" width="11.140625" style="501" customWidth="1"/>
    <col min="6" max="6" width="12.5703125" style="501" customWidth="1"/>
    <col min="7" max="7" width="13" style="501" customWidth="1"/>
    <col min="8" max="8" width="12.28515625" style="501" customWidth="1"/>
    <col min="9" max="9" width="10.140625" style="501" customWidth="1"/>
    <col min="10" max="10" width="11.28515625" style="501" customWidth="1"/>
    <col min="11" max="11" width="10.28515625" style="501" customWidth="1"/>
    <col min="12" max="12" width="9.42578125" style="501" customWidth="1"/>
    <col min="13" max="13" width="12.28515625" style="501" customWidth="1"/>
    <col min="14" max="14" width="12.140625" style="501" customWidth="1"/>
    <col min="15" max="16384" width="14.42578125" style="501"/>
  </cols>
  <sheetData>
    <row r="1" spans="1:16" ht="15.75" customHeight="1">
      <c r="A1" s="503"/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2"/>
    </row>
    <row r="2" spans="1:16" ht="15.75" customHeight="1">
      <c r="A2" s="503"/>
      <c r="B2" s="542" t="s">
        <v>503</v>
      </c>
      <c r="C2" s="543"/>
      <c r="D2" s="544"/>
      <c r="E2" s="503"/>
      <c r="F2" s="511" t="s">
        <v>502</v>
      </c>
      <c r="G2" s="517">
        <v>0.2165</v>
      </c>
      <c r="H2" s="549" t="s">
        <v>504</v>
      </c>
      <c r="I2" s="550"/>
      <c r="J2" s="550"/>
      <c r="K2" s="550"/>
      <c r="L2" s="550"/>
      <c r="M2" s="503"/>
      <c r="N2" s="503"/>
      <c r="O2" s="503"/>
      <c r="P2" s="502"/>
    </row>
    <row r="3" spans="1:16" ht="15.75" customHeight="1">
      <c r="A3" s="503"/>
      <c r="B3" s="516" t="s">
        <v>89</v>
      </c>
      <c r="C3" s="515">
        <v>1</v>
      </c>
      <c r="D3" s="518">
        <f>IF(C3&gt;0,C3,-C3)</f>
        <v>1</v>
      </c>
      <c r="E3" s="503"/>
      <c r="F3" s="511" t="s">
        <v>501</v>
      </c>
      <c r="G3" s="517">
        <v>4</v>
      </c>
      <c r="H3" s="549" t="s">
        <v>505</v>
      </c>
      <c r="I3" s="550"/>
      <c r="J3" s="550"/>
      <c r="K3" s="550"/>
      <c r="L3" s="550"/>
      <c r="M3" s="503"/>
      <c r="N3" s="503"/>
      <c r="O3" s="503"/>
      <c r="P3" s="502"/>
    </row>
    <row r="4" spans="1:16" ht="15.75" customHeight="1">
      <c r="A4" s="503"/>
      <c r="B4" s="516" t="s">
        <v>500</v>
      </c>
      <c r="C4" s="515">
        <v>0</v>
      </c>
      <c r="D4" s="514" t="s">
        <v>499</v>
      </c>
      <c r="E4" s="503"/>
      <c r="F4" s="503"/>
      <c r="G4" s="503"/>
      <c r="H4" s="550" t="s">
        <v>508</v>
      </c>
      <c r="I4" s="550"/>
      <c r="J4" s="550"/>
      <c r="K4" s="550"/>
      <c r="L4" s="550"/>
      <c r="M4" s="503"/>
      <c r="N4" s="503"/>
      <c r="O4" s="503"/>
      <c r="P4" s="502"/>
    </row>
    <row r="5" spans="1:16" ht="15.75" customHeight="1">
      <c r="A5" s="503"/>
      <c r="B5" s="514" t="s">
        <v>498</v>
      </c>
      <c r="C5" s="513">
        <f>COS(RADIANS(C4))</f>
        <v>1</v>
      </c>
      <c r="D5" s="513">
        <f>$C$5*$D$3</f>
        <v>1</v>
      </c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2"/>
    </row>
    <row r="6" spans="1:16" ht="15.75" customHeight="1">
      <c r="A6" s="503"/>
      <c r="B6" s="514" t="s">
        <v>497</v>
      </c>
      <c r="C6" s="513">
        <f>SIN(RADIANS(C4))</f>
        <v>0</v>
      </c>
      <c r="D6" s="513">
        <f>$C$6*$D$3</f>
        <v>0</v>
      </c>
      <c r="E6" s="503"/>
      <c r="F6" s="503"/>
      <c r="G6" s="503"/>
      <c r="H6" s="503"/>
      <c r="I6" s="503"/>
      <c r="J6" s="503"/>
      <c r="K6" s="503"/>
      <c r="L6" s="503"/>
      <c r="M6" s="503"/>
      <c r="N6" s="503"/>
      <c r="O6" s="503"/>
      <c r="P6" s="502"/>
    </row>
    <row r="7" spans="1:16" ht="15.75" customHeight="1">
      <c r="A7" s="503"/>
      <c r="B7" s="503"/>
      <c r="C7" s="503"/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2"/>
    </row>
    <row r="8" spans="1:16" ht="15.75" customHeight="1">
      <c r="A8" s="503"/>
      <c r="B8" s="542" t="s">
        <v>496</v>
      </c>
      <c r="C8" s="543"/>
      <c r="D8" s="544"/>
      <c r="E8" s="545" t="s">
        <v>495</v>
      </c>
      <c r="F8" s="543"/>
      <c r="G8" s="543"/>
      <c r="H8" s="543"/>
      <c r="I8" s="543"/>
      <c r="J8" s="543"/>
      <c r="K8" s="544"/>
      <c r="L8" s="503"/>
      <c r="M8" s="503"/>
      <c r="N8" s="503"/>
      <c r="O8" s="503"/>
    </row>
    <row r="9" spans="1:16" ht="15.75" customHeight="1">
      <c r="A9" s="503"/>
      <c r="D9" s="503"/>
      <c r="E9" s="503"/>
      <c r="F9" s="503"/>
      <c r="G9" s="503"/>
      <c r="H9" s="503"/>
      <c r="I9" s="503"/>
      <c r="J9" s="503"/>
      <c r="K9" s="503"/>
      <c r="L9" s="503"/>
      <c r="M9" s="503"/>
      <c r="N9" s="503"/>
      <c r="O9" s="503"/>
    </row>
    <row r="10" spans="1:16" ht="15.75" customHeight="1">
      <c r="A10" s="503"/>
      <c r="B10" s="546" t="s">
        <v>494</v>
      </c>
      <c r="C10" s="543"/>
      <c r="D10" s="503"/>
      <c r="E10" s="503"/>
      <c r="F10" s="503"/>
      <c r="G10" s="503"/>
      <c r="H10" s="503"/>
      <c r="I10" s="503"/>
      <c r="J10" s="503"/>
      <c r="K10" s="503"/>
      <c r="L10" s="503"/>
      <c r="M10" s="503"/>
      <c r="N10" s="503"/>
      <c r="O10" s="503"/>
    </row>
    <row r="11" spans="1:16" ht="15.75" customHeight="1">
      <c r="A11" s="503"/>
      <c r="B11" s="503"/>
      <c r="C11" s="503"/>
      <c r="D11" s="503"/>
      <c r="E11" s="503"/>
      <c r="F11" s="503"/>
      <c r="G11" s="503"/>
      <c r="H11" s="503"/>
      <c r="I11" s="503"/>
      <c r="J11" s="503"/>
      <c r="K11" s="503"/>
      <c r="L11" s="503"/>
      <c r="M11" s="503"/>
      <c r="N11" s="503"/>
      <c r="O11" s="503"/>
    </row>
    <row r="12" spans="1:16" ht="15.75" customHeight="1">
      <c r="A12" s="503"/>
      <c r="B12" s="547" t="s">
        <v>493</v>
      </c>
      <c r="C12" s="543"/>
      <c r="D12" s="544"/>
      <c r="E12" s="503"/>
      <c r="F12" s="503"/>
      <c r="G12" s="503"/>
      <c r="H12" s="503"/>
      <c r="I12" s="548" t="s">
        <v>492</v>
      </c>
      <c r="J12" s="543"/>
      <c r="K12" s="544"/>
      <c r="L12" s="503"/>
      <c r="M12" s="503"/>
      <c r="N12" s="503"/>
      <c r="O12" s="503"/>
      <c r="P12" s="502"/>
    </row>
    <row r="13" spans="1:16" ht="15.75" customHeight="1">
      <c r="A13" s="503"/>
      <c r="B13" s="512" t="s">
        <v>491</v>
      </c>
      <c r="C13" s="512" t="s">
        <v>490</v>
      </c>
      <c r="D13" s="512" t="s">
        <v>83</v>
      </c>
      <c r="E13" s="512" t="s">
        <v>489</v>
      </c>
      <c r="F13" s="512" t="s">
        <v>5</v>
      </c>
      <c r="G13" s="512" t="s">
        <v>488</v>
      </c>
      <c r="H13" s="503"/>
      <c r="I13" s="511" t="s">
        <v>487</v>
      </c>
      <c r="J13" s="511" t="s">
        <v>486</v>
      </c>
      <c r="K13" s="510" t="s">
        <v>485</v>
      </c>
      <c r="L13" s="510" t="s">
        <v>5</v>
      </c>
      <c r="M13" s="510" t="s">
        <v>484</v>
      </c>
      <c r="N13" s="510" t="s">
        <v>483</v>
      </c>
      <c r="O13" s="510" t="s">
        <v>487</v>
      </c>
    </row>
    <row r="14" spans="1:16" ht="15.75" customHeight="1">
      <c r="A14" s="503"/>
      <c r="B14" s="509" t="s">
        <v>482</v>
      </c>
      <c r="C14" s="508">
        <f>D14/$G$3</f>
        <v>0</v>
      </c>
      <c r="D14" s="508">
        <f>E14/$G$2</f>
        <v>0</v>
      </c>
      <c r="E14" s="507">
        <f>K14*$D$6</f>
        <v>0</v>
      </c>
      <c r="F14" s="507">
        <f>IF($C$3&gt;0,L14-($D$5*M14),L14+($D$5*N14))</f>
        <v>94.39</v>
      </c>
      <c r="G14" s="506">
        <f>INDEX(Calibrador!C3:C111,(ROUNDUP(((F14-70)/(20/72))+1,0)),1)</f>
        <v>279.55555555555611</v>
      </c>
      <c r="H14" s="503"/>
      <c r="I14" s="505">
        <v>11</v>
      </c>
      <c r="J14" s="505">
        <v>321</v>
      </c>
      <c r="K14" s="504">
        <v>1.2</v>
      </c>
      <c r="L14" s="504">
        <v>95</v>
      </c>
      <c r="M14" s="504">
        <v>0.61</v>
      </c>
      <c r="N14" s="504">
        <v>0.63</v>
      </c>
      <c r="O14" s="504">
        <v>0.63</v>
      </c>
    </row>
    <row r="15" spans="1:16" ht="15.75" customHeight="1">
      <c r="A15" s="503"/>
      <c r="B15" s="509" t="s">
        <v>506</v>
      </c>
      <c r="C15" s="508">
        <f>D15/$G$3</f>
        <v>0</v>
      </c>
      <c r="D15" s="508">
        <f>E15/$G$2</f>
        <v>0</v>
      </c>
      <c r="E15" s="507">
        <f>K15*$D$6</f>
        <v>0</v>
      </c>
      <c r="F15" s="507">
        <f>IF($C$3&gt;0,L15-($D$5*M15),L15+($D$5*N15))</f>
        <v>100</v>
      </c>
      <c r="G15" s="506">
        <f>INDEX(Calibrador!F3:F111,(ROUNDUP(((F15-70)/(20/72))+1,0)),1)</f>
        <v>276</v>
      </c>
      <c r="I15" s="505">
        <v>1</v>
      </c>
      <c r="J15" s="505">
        <v>381</v>
      </c>
      <c r="K15" s="504">
        <v>0.93</v>
      </c>
      <c r="L15" s="504">
        <v>100</v>
      </c>
      <c r="M15" s="504">
        <v>0</v>
      </c>
      <c r="N15" s="504">
        <v>0</v>
      </c>
      <c r="O15" s="504" t="s">
        <v>507</v>
      </c>
    </row>
    <row r="16" spans="1:16" ht="15.75" customHeight="1">
      <c r="A16" s="503"/>
      <c r="O16" s="503"/>
    </row>
    <row r="17" spans="1:16" ht="12.75">
      <c r="A17" s="503"/>
      <c r="B17" s="503"/>
      <c r="C17" s="503"/>
      <c r="D17" s="503"/>
      <c r="E17" s="503"/>
      <c r="F17" s="503"/>
      <c r="G17" s="503"/>
      <c r="H17" s="503"/>
      <c r="I17" s="503"/>
      <c r="J17" s="503"/>
      <c r="K17" s="503"/>
      <c r="L17" s="503"/>
      <c r="M17" s="503"/>
      <c r="N17" s="503"/>
      <c r="O17" s="503"/>
    </row>
    <row r="18" spans="1:16" ht="12.75">
      <c r="A18" s="503"/>
    </row>
    <row r="19" spans="1:16" ht="12.75">
      <c r="A19" s="503"/>
      <c r="F19" s="501">
        <f>4.31*G2</f>
        <v>0.93311499999999992</v>
      </c>
    </row>
    <row r="20" spans="1:16" ht="12.75">
      <c r="A20" s="503"/>
    </row>
    <row r="21" spans="1:16" ht="12.75">
      <c r="A21" s="503"/>
      <c r="B21" s="503"/>
      <c r="C21" s="503"/>
      <c r="D21" s="503"/>
      <c r="E21" s="503"/>
      <c r="F21" s="503"/>
      <c r="G21" s="503"/>
      <c r="H21" s="503"/>
      <c r="I21" s="503"/>
      <c r="J21" s="503"/>
      <c r="K21" s="503"/>
      <c r="L21" s="503"/>
      <c r="M21" s="503"/>
      <c r="N21" s="503"/>
    </row>
    <row r="22" spans="1:16" ht="12.75">
      <c r="A22" s="503"/>
      <c r="O22" s="502"/>
      <c r="P22" s="502"/>
    </row>
    <row r="23" spans="1:16" ht="12.75">
      <c r="A23" s="503"/>
    </row>
    <row r="24" spans="1:16" ht="12.75">
      <c r="A24" s="503"/>
    </row>
    <row r="25" spans="1:16" ht="12.75">
      <c r="A25" s="503"/>
    </row>
    <row r="26" spans="1:16" ht="12.75">
      <c r="A26" s="503"/>
    </row>
    <row r="33" s="501" customFormat="1" ht="12.75"/>
    <row r="34" s="501" customFormat="1" ht="12.75"/>
    <row r="35" s="501" customFormat="1" ht="12.75"/>
    <row r="36" s="501" customFormat="1" ht="12.75"/>
    <row r="37" s="501" customFormat="1" ht="12.75"/>
    <row r="38" s="501" customFormat="1" ht="12.75"/>
    <row r="39" s="501" customFormat="1" ht="12.75"/>
    <row r="40" s="501" customFormat="1" ht="12.75"/>
    <row r="41" s="501" customFormat="1" ht="12.75"/>
    <row r="42" s="501" customFormat="1" ht="12.75"/>
    <row r="43" s="501" customFormat="1" ht="12.75"/>
    <row r="44" s="501" customFormat="1" ht="12.75"/>
    <row r="45" s="501" customFormat="1" ht="12.75"/>
    <row r="46" s="501" customFormat="1" ht="12.75"/>
    <row r="47" s="501" customFormat="1" ht="12.75"/>
    <row r="48" s="501" customFormat="1" ht="12.75"/>
    <row r="49" s="501" customFormat="1" ht="12.75"/>
    <row r="50" s="501" customFormat="1" ht="12.75"/>
    <row r="51" s="501" customFormat="1" ht="12.75"/>
    <row r="52" s="501" customFormat="1" ht="12.75"/>
    <row r="53" s="501" customFormat="1" ht="12.75"/>
    <row r="54" s="501" customFormat="1" ht="12.75"/>
    <row r="55" s="501" customFormat="1" ht="12.75"/>
    <row r="56" s="501" customFormat="1" ht="12.75"/>
    <row r="57" s="501" customFormat="1" ht="12.75"/>
    <row r="58" s="501" customFormat="1" ht="12.75"/>
    <row r="59" s="501" customFormat="1" ht="12.75"/>
    <row r="60" s="501" customFormat="1" ht="12.75"/>
    <row r="61" s="501" customFormat="1" ht="12.75"/>
    <row r="62" s="501" customFormat="1" ht="12.75"/>
    <row r="63" s="501" customFormat="1" ht="12.75"/>
    <row r="64" s="501" customFormat="1" ht="12.75"/>
    <row r="65" s="501" customFormat="1" ht="12.75"/>
    <row r="66" s="501" customFormat="1" ht="12.75"/>
    <row r="67" s="501" customFormat="1" ht="12.75"/>
    <row r="68" s="501" customFormat="1" ht="12.75"/>
    <row r="69" s="501" customFormat="1" ht="12.75"/>
    <row r="70" s="501" customFormat="1" ht="12.75"/>
    <row r="71" s="501" customFormat="1" ht="12.75"/>
    <row r="72" s="501" customFormat="1" ht="12.75"/>
    <row r="73" s="501" customFormat="1" ht="12.75"/>
    <row r="74" s="501" customFormat="1" ht="12.75"/>
    <row r="75" s="501" customFormat="1" ht="12.75"/>
    <row r="76" s="501" customFormat="1" ht="12.75"/>
    <row r="77" s="501" customFormat="1" ht="12.75"/>
    <row r="78" s="501" customFormat="1" ht="12.75"/>
    <row r="79" s="501" customFormat="1" ht="12.75"/>
    <row r="80" s="501" customFormat="1" ht="12.75"/>
    <row r="95" spans="1:1" ht="12.75">
      <c r="A95" s="502"/>
    </row>
    <row r="97" s="501" customFormat="1" ht="12.75"/>
    <row r="98" s="501" customFormat="1" ht="12.75"/>
    <row r="99" s="501" customFormat="1" ht="12.75"/>
    <row r="100" s="501" customFormat="1" ht="12.75"/>
    <row r="101" s="501" customFormat="1" ht="12.75"/>
    <row r="102" s="501" customFormat="1" ht="12.75"/>
    <row r="103" s="501" customFormat="1" ht="12.75"/>
    <row r="104" s="501" customFormat="1" ht="12.75"/>
    <row r="105" s="501" customFormat="1" ht="12.75"/>
    <row r="106" s="501" customFormat="1" ht="12.75"/>
    <row r="107" s="501" customFormat="1" ht="12.75"/>
    <row r="108" s="501" customFormat="1" ht="12.75"/>
    <row r="109" s="501" customFormat="1" ht="12.75"/>
    <row r="110" s="501" customFormat="1" ht="12.75"/>
    <row r="111" s="501" customFormat="1" ht="12.75"/>
    <row r="112" s="501" customFormat="1" ht="12.75"/>
    <row r="113" s="501" customFormat="1" ht="12.75"/>
    <row r="114" s="501" customFormat="1" ht="12.75"/>
    <row r="115" s="501" customFormat="1" ht="12.75"/>
    <row r="116" s="501" customFormat="1" ht="12.75"/>
    <row r="117" s="501" customFormat="1" ht="12.75"/>
    <row r="118" s="501" customFormat="1" ht="12.75"/>
    <row r="119" s="501" customFormat="1" ht="12.75"/>
    <row r="120" s="501" customFormat="1" ht="12.75"/>
    <row r="121" s="501" customFormat="1" ht="12.75"/>
    <row r="122" s="501" customFormat="1" ht="12.75"/>
    <row r="123" s="501" customFormat="1" ht="12.75"/>
    <row r="124" s="501" customFormat="1" ht="12.75"/>
    <row r="125" s="501" customFormat="1" ht="12.75"/>
    <row r="126" s="501" customFormat="1" ht="12.75"/>
    <row r="127" s="501" customFormat="1" ht="12.75"/>
    <row r="128" s="501" customFormat="1" ht="12.75"/>
    <row r="129" s="501" customFormat="1" ht="12.75"/>
    <row r="130" s="501" customFormat="1" ht="12.75"/>
    <row r="131" s="501" customFormat="1" ht="12.75"/>
    <row r="132" s="501" customFormat="1" ht="12.75"/>
    <row r="133" s="501" customFormat="1" ht="12.75"/>
    <row r="134" s="501" customFormat="1" ht="12.75"/>
    <row r="135" s="501" customFormat="1" ht="12.75"/>
    <row r="136" s="501" customFormat="1" ht="12.75"/>
    <row r="137" s="501" customFormat="1" ht="12.75"/>
    <row r="138" s="501" customFormat="1" ht="12.75"/>
    <row r="139" s="501" customFormat="1" ht="12.75"/>
    <row r="140" s="501" customFormat="1" ht="12.75"/>
    <row r="141" s="501" customFormat="1" ht="12.75"/>
    <row r="142" s="501" customFormat="1" ht="12.75"/>
    <row r="143" s="501" customFormat="1" ht="12.75"/>
    <row r="144" s="501" customFormat="1" ht="12.75"/>
    <row r="145" s="501" customFormat="1" ht="12.75"/>
    <row r="146" s="501" customFormat="1" ht="12.75"/>
    <row r="147" s="501" customFormat="1" ht="12.75"/>
    <row r="148" s="501" customFormat="1" ht="12.75"/>
    <row r="149" s="501" customFormat="1" ht="12.75"/>
    <row r="150" s="501" customFormat="1" ht="12.75"/>
    <row r="151" s="501" customFormat="1" ht="12.75"/>
    <row r="152" s="501" customFormat="1" ht="12.75"/>
    <row r="153" s="501" customFormat="1" ht="12.75"/>
    <row r="154" s="501" customFormat="1" ht="12.75"/>
    <row r="155" s="501" customFormat="1" ht="12.75"/>
    <row r="156" s="501" customFormat="1" ht="12.75"/>
    <row r="157" s="501" customFormat="1" ht="12.75"/>
    <row r="158" s="501" customFormat="1" ht="12.75"/>
    <row r="159" s="501" customFormat="1" ht="12.75"/>
    <row r="160" s="501" customFormat="1" ht="12.75"/>
    <row r="161" s="501" customFormat="1" ht="12.75"/>
    <row r="162" s="501" customFormat="1" ht="12.75"/>
    <row r="163" s="501" customFormat="1" ht="12.75"/>
    <row r="164" s="501" customFormat="1" ht="12.75"/>
    <row r="165" s="501" customFormat="1" ht="12.75"/>
    <row r="166" s="501" customFormat="1" ht="12.75"/>
    <row r="167" s="501" customFormat="1" ht="12.75"/>
    <row r="168" s="501" customFormat="1" ht="12.75"/>
    <row r="169" s="501" customFormat="1" ht="12.75"/>
    <row r="170" s="501" customFormat="1" ht="12.75"/>
    <row r="171" s="501" customFormat="1" ht="12.75"/>
    <row r="172" s="501" customFormat="1" ht="12.75"/>
    <row r="173" s="501" customFormat="1" ht="12.75"/>
    <row r="174" s="501" customFormat="1" ht="12.75"/>
    <row r="175" s="501" customFormat="1" ht="12.75"/>
    <row r="176" s="501" customFormat="1" ht="12.75"/>
    <row r="177" s="501" customFormat="1" ht="12.75"/>
    <row r="178" s="501" customFormat="1" ht="12.75"/>
    <row r="179" s="501" customFormat="1" ht="12.75"/>
    <row r="180" s="501" customFormat="1" ht="12.75"/>
    <row r="181" s="501" customFormat="1" ht="12.75"/>
    <row r="182" s="501" customFormat="1" ht="12.75"/>
    <row r="183" s="501" customFormat="1" ht="12.75"/>
    <row r="184" s="501" customFormat="1" ht="12.75"/>
    <row r="185" s="501" customFormat="1" ht="12.75"/>
    <row r="186" s="501" customFormat="1" ht="12.75"/>
    <row r="187" s="501" customFormat="1" ht="12.75"/>
    <row r="188" s="501" customFormat="1" ht="12.75"/>
    <row r="189" s="501" customFormat="1" ht="12.75"/>
    <row r="190" s="501" customFormat="1" ht="12.75"/>
    <row r="191" s="501" customFormat="1" ht="12.75"/>
    <row r="192" s="501" customFormat="1" ht="12.75"/>
    <row r="193" s="501" customFormat="1" ht="12.75"/>
    <row r="194" s="501" customFormat="1" ht="12.75"/>
    <row r="195" s="501" customFormat="1" ht="12.75"/>
    <row r="196" s="501" customFormat="1" ht="12.75"/>
    <row r="197" s="501" customFormat="1" ht="12.75"/>
    <row r="198" s="501" customFormat="1" ht="12.75"/>
    <row r="199" s="501" customFormat="1" ht="12.75"/>
    <row r="200" s="501" customFormat="1" ht="12.75"/>
    <row r="201" s="501" customFormat="1" ht="12.75"/>
    <row r="202" s="501" customFormat="1" ht="12.75"/>
    <row r="203" s="501" customFormat="1" ht="12.75"/>
    <row r="204" s="501" customFormat="1" ht="12.75"/>
    <row r="205" s="501" customFormat="1" ht="12.75"/>
    <row r="206" s="501" customFormat="1" ht="12.75"/>
    <row r="207" s="501" customFormat="1" ht="12.75"/>
    <row r="208" s="501" customFormat="1" ht="12.75"/>
    <row r="209" s="501" customFormat="1" ht="12.75"/>
    <row r="210" s="501" customFormat="1" ht="12.75"/>
    <row r="211" s="501" customFormat="1" ht="12.75"/>
    <row r="212" s="501" customFormat="1" ht="12.75"/>
    <row r="213" s="501" customFormat="1" ht="12.75"/>
    <row r="214" s="501" customFormat="1" ht="12.75"/>
    <row r="215" s="501" customFormat="1" ht="12.75"/>
    <row r="216" s="501" customFormat="1" ht="12.75"/>
    <row r="217" s="501" customFormat="1" ht="12.75"/>
    <row r="218" s="501" customFormat="1" ht="12.75"/>
    <row r="219" s="501" customFormat="1" ht="12.75"/>
    <row r="220" s="501" customFormat="1" ht="12.75"/>
    <row r="221" s="501" customFormat="1" ht="12.75"/>
    <row r="222" s="501" customFormat="1" ht="12.75"/>
    <row r="223" s="501" customFormat="1" ht="12.75"/>
    <row r="224" s="501" customFormat="1" ht="12.75"/>
    <row r="225" s="501" customFormat="1" ht="12.75"/>
    <row r="226" s="501" customFormat="1" ht="12.75"/>
    <row r="227" s="501" customFormat="1" ht="12.75"/>
    <row r="228" s="501" customFormat="1" ht="12.75"/>
    <row r="229" s="501" customFormat="1" ht="12.75"/>
    <row r="230" s="501" customFormat="1" ht="12.75"/>
    <row r="231" s="501" customFormat="1" ht="12.75"/>
    <row r="232" s="501" customFormat="1" ht="12.75"/>
    <row r="233" s="501" customFormat="1" ht="12.75"/>
    <row r="234" s="501" customFormat="1" ht="12.75"/>
    <row r="235" s="501" customFormat="1" ht="12.75"/>
    <row r="236" s="501" customFormat="1" ht="12.75"/>
    <row r="237" s="501" customFormat="1" ht="12.75"/>
    <row r="238" s="501" customFormat="1" ht="12.75"/>
    <row r="239" s="501" customFormat="1" ht="12.75"/>
    <row r="240" s="501" customFormat="1" ht="12.75"/>
    <row r="241" s="501" customFormat="1" ht="12.75"/>
    <row r="242" s="501" customFormat="1" ht="12.75"/>
    <row r="243" s="501" customFormat="1" ht="12.75"/>
    <row r="244" s="501" customFormat="1" ht="12.75"/>
    <row r="245" s="501" customFormat="1" ht="12.75"/>
    <row r="246" s="501" customFormat="1" ht="12.75"/>
    <row r="247" s="501" customFormat="1" ht="12.75"/>
    <row r="248" s="501" customFormat="1" ht="12.75"/>
    <row r="249" s="501" customFormat="1" ht="12.75"/>
    <row r="250" s="501" customFormat="1" ht="12.75"/>
    <row r="251" s="501" customFormat="1" ht="12.75"/>
    <row r="252" s="501" customFormat="1" ht="12.75"/>
    <row r="253" s="501" customFormat="1" ht="12.75"/>
    <row r="254" s="501" customFormat="1" ht="12.75"/>
    <row r="255" s="501" customFormat="1" ht="12.75"/>
    <row r="256" s="501" customFormat="1" ht="12.75"/>
    <row r="257" s="501" customFormat="1" ht="12.75"/>
    <row r="258" s="501" customFormat="1" ht="12.75"/>
    <row r="259" s="501" customFormat="1" ht="12.75"/>
    <row r="260" s="501" customFormat="1" ht="12.75"/>
    <row r="261" s="501" customFormat="1" ht="12.75"/>
    <row r="262" s="501" customFormat="1" ht="12.75"/>
    <row r="263" s="501" customFormat="1" ht="12.75"/>
    <row r="264" s="501" customFormat="1" ht="12.75"/>
    <row r="265" s="501" customFormat="1" ht="12.75"/>
    <row r="266" s="501" customFormat="1" ht="12.75"/>
    <row r="267" s="501" customFormat="1" ht="12.75"/>
    <row r="268" s="501" customFormat="1" ht="12.75"/>
    <row r="269" s="501" customFormat="1" ht="12.75"/>
    <row r="270" s="501" customFormat="1" ht="12.75"/>
    <row r="271" s="501" customFormat="1" ht="12.75"/>
    <row r="272" s="501" customFormat="1" ht="12.75"/>
    <row r="273" s="501" customFormat="1" ht="12.75"/>
    <row r="274" s="501" customFormat="1" ht="12.75"/>
    <row r="275" s="501" customFormat="1" ht="12.75"/>
    <row r="276" s="501" customFormat="1" ht="12.75"/>
    <row r="277" s="501" customFormat="1" ht="12.75"/>
    <row r="278" s="501" customFormat="1" ht="12.75"/>
    <row r="279" s="501" customFormat="1" ht="12.75"/>
    <row r="280" s="501" customFormat="1" ht="12.75"/>
    <row r="281" s="501" customFormat="1" ht="12.75"/>
    <row r="282" s="501" customFormat="1" ht="12.75"/>
    <row r="283" s="501" customFormat="1" ht="12.75"/>
    <row r="284" s="501" customFormat="1" ht="12.75"/>
    <row r="285" s="501" customFormat="1" ht="12.75"/>
    <row r="286" s="501" customFormat="1" ht="12.75"/>
    <row r="287" s="501" customFormat="1" ht="12.75"/>
    <row r="288" s="501" customFormat="1" ht="12.75"/>
    <row r="289" s="501" customFormat="1" ht="12.75"/>
    <row r="290" s="501" customFormat="1" ht="12.75"/>
    <row r="291" s="501" customFormat="1" ht="12.75"/>
    <row r="292" s="501" customFormat="1" ht="12.75"/>
    <row r="293" s="501" customFormat="1" ht="12.75"/>
    <row r="294" s="501" customFormat="1" ht="12.75"/>
    <row r="295" s="501" customFormat="1" ht="12.75"/>
    <row r="296" s="501" customFormat="1" ht="12.75"/>
    <row r="297" s="501" customFormat="1" ht="12.75"/>
    <row r="298" s="501" customFormat="1" ht="12.75"/>
    <row r="299" s="501" customFormat="1" ht="12.75"/>
    <row r="300" s="501" customFormat="1" ht="12.75"/>
    <row r="301" s="501" customFormat="1" ht="12.75"/>
    <row r="302" s="501" customFormat="1" ht="12.75"/>
    <row r="303" s="501" customFormat="1" ht="12.75"/>
    <row r="304" s="501" customFormat="1" ht="12.75"/>
    <row r="305" s="501" customFormat="1" ht="12.75"/>
    <row r="306" s="501" customFormat="1" ht="12.75"/>
    <row r="307" s="501" customFormat="1" ht="12.75"/>
    <row r="308" s="501" customFormat="1" ht="12.75"/>
    <row r="309" s="501" customFormat="1" ht="12.75"/>
    <row r="310" s="501" customFormat="1" ht="12.75"/>
    <row r="311" s="501" customFormat="1" ht="12.75"/>
    <row r="312" s="501" customFormat="1" ht="12.75"/>
    <row r="313" s="501" customFormat="1" ht="12.75"/>
    <row r="314" s="501" customFormat="1" ht="12.75"/>
    <row r="315" s="501" customFormat="1" ht="12.75"/>
    <row r="316" s="501" customFormat="1" ht="12.75"/>
    <row r="317" s="501" customFormat="1" ht="12.75"/>
    <row r="318" s="501" customFormat="1" ht="12.75"/>
    <row r="319" s="501" customFormat="1" ht="12.75"/>
    <row r="320" s="501" customFormat="1" ht="12.75"/>
    <row r="321" s="501" customFormat="1" ht="12.75"/>
    <row r="322" s="501" customFormat="1" ht="12.75"/>
    <row r="323" s="501" customFormat="1" ht="12.75"/>
    <row r="324" s="501" customFormat="1" ht="12.75"/>
    <row r="325" s="501" customFormat="1" ht="12.75"/>
    <row r="326" s="501" customFormat="1" ht="12.75"/>
    <row r="327" s="501" customFormat="1" ht="12.75"/>
    <row r="328" s="501" customFormat="1" ht="12.75"/>
    <row r="329" s="501" customFormat="1" ht="12.75"/>
    <row r="330" s="501" customFormat="1" ht="12.75"/>
    <row r="331" s="501" customFormat="1" ht="12.75"/>
    <row r="332" s="501" customFormat="1" ht="12.75"/>
    <row r="333" s="501" customFormat="1" ht="12.75"/>
    <row r="334" s="501" customFormat="1" ht="12.75"/>
    <row r="335" s="501" customFormat="1" ht="12.75"/>
    <row r="336" s="501" customFormat="1" ht="12.75"/>
    <row r="337" s="501" customFormat="1" ht="12.75"/>
    <row r="338" s="501" customFormat="1" ht="12.75"/>
    <row r="339" s="501" customFormat="1" ht="12.75"/>
    <row r="340" s="501" customFormat="1" ht="12.75"/>
    <row r="341" s="501" customFormat="1" ht="12.75"/>
    <row r="342" s="501" customFormat="1" ht="12.75"/>
    <row r="343" s="501" customFormat="1" ht="12.75"/>
    <row r="344" s="501" customFormat="1" ht="12.75"/>
    <row r="345" s="501" customFormat="1" ht="12.75"/>
    <row r="346" s="501" customFormat="1" ht="12.75"/>
    <row r="347" s="501" customFormat="1" ht="12.75"/>
    <row r="348" s="501" customFormat="1" ht="12.75"/>
    <row r="349" s="501" customFormat="1" ht="12.75"/>
    <row r="350" s="501" customFormat="1" ht="12.75"/>
    <row r="351" s="501" customFormat="1" ht="12.75"/>
    <row r="352" s="501" customFormat="1" ht="12.75"/>
    <row r="353" s="501" customFormat="1" ht="12.75"/>
    <row r="354" s="501" customFormat="1" ht="12.75"/>
    <row r="355" s="501" customFormat="1" ht="12.75"/>
    <row r="356" s="501" customFormat="1" ht="12.75"/>
    <row r="357" s="501" customFormat="1" ht="12.75"/>
    <row r="358" s="501" customFormat="1" ht="12.75"/>
    <row r="359" s="501" customFormat="1" ht="12.75"/>
    <row r="360" s="501" customFormat="1" ht="12.75"/>
    <row r="361" s="501" customFormat="1" ht="12.75"/>
    <row r="362" s="501" customFormat="1" ht="12.75"/>
    <row r="363" s="501" customFormat="1" ht="12.75"/>
    <row r="364" s="501" customFormat="1" ht="12.75"/>
    <row r="365" s="501" customFormat="1" ht="12.75"/>
    <row r="366" s="501" customFormat="1" ht="12.75"/>
    <row r="367" s="501" customFormat="1" ht="12.75"/>
    <row r="368" s="501" customFormat="1" ht="12.75"/>
    <row r="369" s="501" customFormat="1" ht="12.75"/>
    <row r="370" s="501" customFormat="1" ht="12.75"/>
    <row r="371" s="501" customFormat="1" ht="12.75"/>
    <row r="372" s="501" customFormat="1" ht="12.75"/>
    <row r="373" s="501" customFormat="1" ht="12.75"/>
    <row r="374" s="501" customFormat="1" ht="12.75"/>
    <row r="375" s="501" customFormat="1" ht="12.75"/>
    <row r="376" s="501" customFormat="1" ht="12.75"/>
    <row r="377" s="501" customFormat="1" ht="12.75"/>
    <row r="378" s="501" customFormat="1" ht="12.75"/>
    <row r="379" s="501" customFormat="1" ht="12.75"/>
    <row r="380" s="501" customFormat="1" ht="12.75"/>
    <row r="381" s="501" customFormat="1" ht="12.75"/>
    <row r="382" s="501" customFormat="1" ht="12.75"/>
    <row r="383" s="501" customFormat="1" ht="12.75"/>
    <row r="384" s="501" customFormat="1" ht="12.75"/>
    <row r="385" s="501" customFormat="1" ht="12.75"/>
    <row r="386" s="501" customFormat="1" ht="12.75"/>
    <row r="387" s="501" customFormat="1" ht="12.75"/>
    <row r="388" s="501" customFormat="1" ht="12.75"/>
    <row r="389" s="501" customFormat="1" ht="12.75"/>
    <row r="390" s="501" customFormat="1" ht="12.75"/>
    <row r="391" s="501" customFormat="1" ht="12.75"/>
    <row r="392" s="501" customFormat="1" ht="12.75"/>
    <row r="393" s="501" customFormat="1" ht="12.75"/>
    <row r="394" s="501" customFormat="1" ht="12.75"/>
    <row r="395" s="501" customFormat="1" ht="12.75"/>
    <row r="396" s="501" customFormat="1" ht="12.75"/>
    <row r="397" s="501" customFormat="1" ht="12.75"/>
    <row r="398" s="501" customFormat="1" ht="12.75"/>
    <row r="399" s="501" customFormat="1" ht="12.75"/>
    <row r="400" s="501" customFormat="1" ht="12.75"/>
    <row r="401" s="501" customFormat="1" ht="12.75"/>
    <row r="402" s="501" customFormat="1" ht="12.75"/>
    <row r="403" s="501" customFormat="1" ht="12.75"/>
    <row r="404" s="501" customFormat="1" ht="12.75"/>
    <row r="405" s="501" customFormat="1" ht="12.75"/>
    <row r="406" s="501" customFormat="1" ht="12.75"/>
    <row r="407" s="501" customFormat="1" ht="12.75"/>
    <row r="408" s="501" customFormat="1" ht="12.75"/>
    <row r="409" s="501" customFormat="1" ht="12.75"/>
    <row r="410" s="501" customFormat="1" ht="12.75"/>
    <row r="411" s="501" customFormat="1" ht="12.75"/>
    <row r="412" s="501" customFormat="1" ht="12.75"/>
    <row r="413" s="501" customFormat="1" ht="12.75"/>
    <row r="414" s="501" customFormat="1" ht="12.75"/>
    <row r="415" s="501" customFormat="1" ht="12.75"/>
    <row r="416" s="501" customFormat="1" ht="12.75"/>
    <row r="417" s="501" customFormat="1" ht="12.75"/>
    <row r="418" s="501" customFormat="1" ht="12.75"/>
    <row r="419" s="501" customFormat="1" ht="12.75"/>
    <row r="420" s="501" customFormat="1" ht="12.75"/>
    <row r="421" s="501" customFormat="1" ht="12.75"/>
    <row r="422" s="501" customFormat="1" ht="12.75"/>
    <row r="423" s="501" customFormat="1" ht="12.75"/>
    <row r="424" s="501" customFormat="1" ht="12.75"/>
    <row r="425" s="501" customFormat="1" ht="12.75"/>
    <row r="426" s="501" customFormat="1" ht="12.75"/>
    <row r="427" s="501" customFormat="1" ht="12.75"/>
    <row r="428" s="501" customFormat="1" ht="12.75"/>
    <row r="429" s="501" customFormat="1" ht="12.75"/>
    <row r="430" s="501" customFormat="1" ht="12.75"/>
    <row r="431" s="501" customFormat="1" ht="12.75"/>
    <row r="432" s="501" customFormat="1" ht="12.75"/>
    <row r="433" s="501" customFormat="1" ht="12.75"/>
    <row r="434" s="501" customFormat="1" ht="12.75"/>
    <row r="435" s="501" customFormat="1" ht="12.75"/>
    <row r="436" s="501" customFormat="1" ht="12.75"/>
    <row r="437" s="501" customFormat="1" ht="12.75"/>
    <row r="438" s="501" customFormat="1" ht="12.75"/>
    <row r="439" s="501" customFormat="1" ht="12.75"/>
    <row r="440" s="501" customFormat="1" ht="12.75"/>
    <row r="441" s="501" customFormat="1" ht="12.75"/>
    <row r="442" s="501" customFormat="1" ht="12.75"/>
    <row r="443" s="501" customFormat="1" ht="12.75"/>
    <row r="444" s="501" customFormat="1" ht="12.75"/>
    <row r="445" s="501" customFormat="1" ht="12.75"/>
    <row r="446" s="501" customFormat="1" ht="12.75"/>
    <row r="447" s="501" customFormat="1" ht="12.75"/>
    <row r="448" s="501" customFormat="1" ht="12.75"/>
    <row r="449" s="501" customFormat="1" ht="12.75"/>
    <row r="450" s="501" customFormat="1" ht="12.75"/>
    <row r="451" s="501" customFormat="1" ht="12.75"/>
    <row r="452" s="501" customFormat="1" ht="12.75"/>
    <row r="453" s="501" customFormat="1" ht="12.75"/>
    <row r="454" s="501" customFormat="1" ht="12.75"/>
    <row r="455" s="501" customFormat="1" ht="12.75"/>
    <row r="456" s="501" customFormat="1" ht="12.75"/>
    <row r="457" s="501" customFormat="1" ht="12.75"/>
    <row r="458" s="501" customFormat="1" ht="12.75"/>
    <row r="459" s="501" customFormat="1" ht="12.75"/>
    <row r="460" s="501" customFormat="1" ht="12.75"/>
    <row r="461" s="501" customFormat="1" ht="12.75"/>
    <row r="462" s="501" customFormat="1" ht="12.75"/>
    <row r="463" s="501" customFormat="1" ht="12.75"/>
    <row r="464" s="501" customFormat="1" ht="12.75"/>
    <row r="465" s="501" customFormat="1" ht="12.75"/>
    <row r="466" s="501" customFormat="1" ht="12.75"/>
    <row r="467" s="501" customFormat="1" ht="12.75"/>
    <row r="468" s="501" customFormat="1" ht="12.75"/>
    <row r="469" s="501" customFormat="1" ht="12.75"/>
    <row r="470" s="501" customFormat="1" ht="12.75"/>
    <row r="471" s="501" customFormat="1" ht="12.75"/>
    <row r="472" s="501" customFormat="1" ht="12.75"/>
    <row r="473" s="501" customFormat="1" ht="12.75"/>
    <row r="474" s="501" customFormat="1" ht="12.75"/>
    <row r="475" s="501" customFormat="1" ht="12.75"/>
    <row r="476" s="501" customFormat="1" ht="12.75"/>
    <row r="477" s="501" customFormat="1" ht="12.75"/>
    <row r="478" s="501" customFormat="1" ht="12.75"/>
    <row r="479" s="501" customFormat="1" ht="12.75"/>
    <row r="480" s="501" customFormat="1" ht="12.75"/>
    <row r="481" s="501" customFormat="1" ht="12.75"/>
    <row r="482" s="501" customFormat="1" ht="12.75"/>
    <row r="483" s="501" customFormat="1" ht="12.75"/>
    <row r="484" s="501" customFormat="1" ht="12.75"/>
    <row r="485" s="501" customFormat="1" ht="12.75"/>
    <row r="486" s="501" customFormat="1" ht="12.75"/>
    <row r="487" s="501" customFormat="1" ht="12.75"/>
    <row r="488" s="501" customFormat="1" ht="12.75"/>
    <row r="489" s="501" customFormat="1" ht="12.75"/>
    <row r="490" s="501" customFormat="1" ht="12.75"/>
    <row r="491" s="501" customFormat="1" ht="12.75"/>
    <row r="492" s="501" customFormat="1" ht="12.75"/>
    <row r="493" s="501" customFormat="1" ht="12.75"/>
    <row r="494" s="501" customFormat="1" ht="12.75"/>
    <row r="495" s="501" customFormat="1" ht="12.75"/>
    <row r="496" s="501" customFormat="1" ht="12.75"/>
    <row r="497" s="501" customFormat="1" ht="12.75"/>
    <row r="498" s="501" customFormat="1" ht="12.75"/>
    <row r="499" s="501" customFormat="1" ht="12.75"/>
    <row r="500" s="501" customFormat="1" ht="12.75"/>
    <row r="501" s="501" customFormat="1" ht="12.75"/>
    <row r="502" s="501" customFormat="1" ht="12.75"/>
    <row r="503" s="501" customFormat="1" ht="12.75"/>
    <row r="504" s="501" customFormat="1" ht="12.75"/>
    <row r="505" s="501" customFormat="1" ht="12.75"/>
    <row r="506" s="501" customFormat="1" ht="12.75"/>
    <row r="507" s="501" customFormat="1" ht="12.75"/>
    <row r="508" s="501" customFormat="1" ht="12.75"/>
    <row r="509" s="501" customFormat="1" ht="12.75"/>
    <row r="510" s="501" customFormat="1" ht="12.75"/>
    <row r="511" s="501" customFormat="1" ht="12.75"/>
    <row r="512" s="501" customFormat="1" ht="12.75"/>
    <row r="513" s="501" customFormat="1" ht="12.75"/>
    <row r="514" s="501" customFormat="1" ht="12.75"/>
    <row r="515" s="501" customFormat="1" ht="12.75"/>
    <row r="516" s="501" customFormat="1" ht="12.75"/>
    <row r="517" s="501" customFormat="1" ht="12.75"/>
    <row r="518" s="501" customFormat="1" ht="12.75"/>
    <row r="519" s="501" customFormat="1" ht="12.75"/>
    <row r="520" s="501" customFormat="1" ht="12.75"/>
    <row r="521" s="501" customFormat="1" ht="12.75"/>
    <row r="522" s="501" customFormat="1" ht="12.75"/>
    <row r="523" s="501" customFormat="1" ht="12.75"/>
    <row r="524" s="501" customFormat="1" ht="12.75"/>
    <row r="525" s="501" customFormat="1" ht="12.75"/>
    <row r="526" s="501" customFormat="1" ht="12.75"/>
    <row r="527" s="501" customFormat="1" ht="12.75"/>
    <row r="528" s="501" customFormat="1" ht="12.75"/>
    <row r="529" s="501" customFormat="1" ht="12.75"/>
    <row r="530" s="501" customFormat="1" ht="12.75"/>
    <row r="531" s="501" customFormat="1" ht="12.75"/>
    <row r="532" s="501" customFormat="1" ht="12.75"/>
    <row r="533" s="501" customFormat="1" ht="12.75"/>
    <row r="534" s="501" customFormat="1" ht="12.75"/>
    <row r="535" s="501" customFormat="1" ht="12.75"/>
    <row r="536" s="501" customFormat="1" ht="12.75"/>
    <row r="537" s="501" customFormat="1" ht="12.75"/>
    <row r="538" s="501" customFormat="1" ht="12.75"/>
    <row r="539" s="501" customFormat="1" ht="12.75"/>
    <row r="540" s="501" customFormat="1" ht="12.75"/>
    <row r="541" s="501" customFormat="1" ht="12.75"/>
    <row r="542" s="501" customFormat="1" ht="12.75"/>
    <row r="543" s="501" customFormat="1" ht="12.75"/>
    <row r="544" s="501" customFormat="1" ht="12.75"/>
    <row r="545" s="501" customFormat="1" ht="12.75"/>
    <row r="546" s="501" customFormat="1" ht="12.75"/>
    <row r="547" s="501" customFormat="1" ht="12.75"/>
    <row r="548" s="501" customFormat="1" ht="12.75"/>
    <row r="549" s="501" customFormat="1" ht="12.75"/>
    <row r="550" s="501" customFormat="1" ht="12.75"/>
    <row r="551" s="501" customFormat="1" ht="12.75"/>
    <row r="552" s="501" customFormat="1" ht="12.75"/>
    <row r="553" s="501" customFormat="1" ht="12.75"/>
    <row r="554" s="501" customFormat="1" ht="12.75"/>
    <row r="555" s="501" customFormat="1" ht="12.75"/>
    <row r="556" s="501" customFormat="1" ht="12.75"/>
    <row r="557" s="501" customFormat="1" ht="12.75"/>
    <row r="558" s="501" customFormat="1" ht="12.75"/>
    <row r="559" s="501" customFormat="1" ht="12.75"/>
    <row r="560" s="501" customFormat="1" ht="12.75"/>
    <row r="561" s="501" customFormat="1" ht="12.75"/>
    <row r="562" s="501" customFormat="1" ht="12.75"/>
    <row r="563" s="501" customFormat="1" ht="12.75"/>
    <row r="564" s="501" customFormat="1" ht="12.75"/>
    <row r="565" s="501" customFormat="1" ht="12.75"/>
    <row r="566" s="501" customFormat="1" ht="12.75"/>
    <row r="567" s="501" customFormat="1" ht="12.75"/>
    <row r="568" s="501" customFormat="1" ht="12.75"/>
    <row r="569" s="501" customFormat="1" ht="12.75"/>
    <row r="570" s="501" customFormat="1" ht="12.75"/>
    <row r="571" s="501" customFormat="1" ht="12.75"/>
    <row r="572" s="501" customFormat="1" ht="12.75"/>
    <row r="573" s="501" customFormat="1" ht="12.75"/>
    <row r="574" s="501" customFormat="1" ht="12.75"/>
    <row r="575" s="501" customFormat="1" ht="12.75"/>
    <row r="576" s="501" customFormat="1" ht="12.75"/>
    <row r="577" s="501" customFormat="1" ht="12.75"/>
    <row r="578" s="501" customFormat="1" ht="12.75"/>
    <row r="579" s="501" customFormat="1" ht="12.75"/>
    <row r="580" s="501" customFormat="1" ht="12.75"/>
    <row r="581" s="501" customFormat="1" ht="12.75"/>
    <row r="582" s="501" customFormat="1" ht="12.75"/>
    <row r="583" s="501" customFormat="1" ht="12.75"/>
    <row r="584" s="501" customFormat="1" ht="12.75"/>
    <row r="585" s="501" customFormat="1" ht="12.75"/>
    <row r="586" s="501" customFormat="1" ht="12.75"/>
    <row r="587" s="501" customFormat="1" ht="12.75"/>
    <row r="588" s="501" customFormat="1" ht="12.75"/>
    <row r="589" s="501" customFormat="1" ht="12.75"/>
    <row r="590" s="501" customFormat="1" ht="12.75"/>
    <row r="591" s="501" customFormat="1" ht="12.75"/>
    <row r="592" s="501" customFormat="1" ht="12.75"/>
    <row r="593" s="501" customFormat="1" ht="12.75"/>
    <row r="594" s="501" customFormat="1" ht="12.75"/>
    <row r="595" s="501" customFormat="1" ht="12.75"/>
    <row r="596" s="501" customFormat="1" ht="12.75"/>
    <row r="597" s="501" customFormat="1" ht="12.75"/>
    <row r="598" s="501" customFormat="1" ht="12.75"/>
    <row r="599" s="501" customFormat="1" ht="12.75"/>
    <row r="600" s="501" customFormat="1" ht="12.75"/>
    <row r="601" s="501" customFormat="1" ht="12.75"/>
    <row r="602" s="501" customFormat="1" ht="12.75"/>
    <row r="603" s="501" customFormat="1" ht="12.75"/>
    <row r="604" s="501" customFormat="1" ht="12.75"/>
    <row r="605" s="501" customFormat="1" ht="12.75"/>
    <row r="606" s="501" customFormat="1" ht="12.75"/>
    <row r="607" s="501" customFormat="1" ht="12.75"/>
    <row r="608" s="501" customFormat="1" ht="12.75"/>
    <row r="609" s="501" customFormat="1" ht="12.75"/>
    <row r="610" s="501" customFormat="1" ht="12.75"/>
    <row r="611" s="501" customFormat="1" ht="12.75"/>
    <row r="612" s="501" customFormat="1" ht="12.75"/>
    <row r="613" s="501" customFormat="1" ht="12.75"/>
    <row r="614" s="501" customFormat="1" ht="12.75"/>
    <row r="615" s="501" customFormat="1" ht="12.75"/>
    <row r="616" s="501" customFormat="1" ht="12.75"/>
    <row r="617" s="501" customFormat="1" ht="12.75"/>
    <row r="618" s="501" customFormat="1" ht="12.75"/>
    <row r="619" s="501" customFormat="1" ht="12.75"/>
    <row r="620" s="501" customFormat="1" ht="12.75"/>
    <row r="621" s="501" customFormat="1" ht="12.75"/>
    <row r="622" s="501" customFormat="1" ht="12.75"/>
    <row r="623" s="501" customFormat="1" ht="12.75"/>
    <row r="624" s="501" customFormat="1" ht="12.75"/>
    <row r="625" s="501" customFormat="1" ht="12.75"/>
    <row r="626" s="501" customFormat="1" ht="12.75"/>
    <row r="627" s="501" customFormat="1" ht="12.75"/>
    <row r="628" s="501" customFormat="1" ht="12.75"/>
    <row r="629" s="501" customFormat="1" ht="12.75"/>
    <row r="630" s="501" customFormat="1" ht="12.75"/>
    <row r="631" s="501" customFormat="1" ht="12.75"/>
    <row r="632" s="501" customFormat="1" ht="12.75"/>
    <row r="633" s="501" customFormat="1" ht="12.75"/>
    <row r="634" s="501" customFormat="1" ht="12.75"/>
    <row r="635" s="501" customFormat="1" ht="12.75"/>
    <row r="636" s="501" customFormat="1" ht="12.75"/>
    <row r="637" s="501" customFormat="1" ht="12.75"/>
    <row r="638" s="501" customFormat="1" ht="12.75"/>
    <row r="639" s="501" customFormat="1" ht="12.75"/>
    <row r="640" s="501" customFormat="1" ht="12.75"/>
    <row r="641" s="501" customFormat="1" ht="12.75"/>
    <row r="642" s="501" customFormat="1" ht="12.75"/>
    <row r="643" s="501" customFormat="1" ht="12.75"/>
    <row r="644" s="501" customFormat="1" ht="12.75"/>
    <row r="645" s="501" customFormat="1" ht="12.75"/>
    <row r="646" s="501" customFormat="1" ht="12.75"/>
    <row r="647" s="501" customFormat="1" ht="12.75"/>
    <row r="648" s="501" customFormat="1" ht="12.75"/>
    <row r="649" s="501" customFormat="1" ht="12.75"/>
    <row r="650" s="501" customFormat="1" ht="12.75"/>
    <row r="651" s="501" customFormat="1" ht="12.75"/>
    <row r="652" s="501" customFormat="1" ht="12.75"/>
    <row r="653" s="501" customFormat="1" ht="12.75"/>
    <row r="654" s="501" customFormat="1" ht="12.75"/>
    <row r="655" s="501" customFormat="1" ht="12.75"/>
    <row r="656" s="501" customFormat="1" ht="12.75"/>
    <row r="657" s="501" customFormat="1" ht="12.75"/>
    <row r="658" s="501" customFormat="1" ht="12.75"/>
    <row r="659" s="501" customFormat="1" ht="12.75"/>
    <row r="660" s="501" customFormat="1" ht="12.75"/>
    <row r="661" s="501" customFormat="1" ht="12.75"/>
    <row r="662" s="501" customFormat="1" ht="12.75"/>
    <row r="663" s="501" customFormat="1" ht="12.75"/>
    <row r="664" s="501" customFormat="1" ht="12.75"/>
    <row r="665" s="501" customFormat="1" ht="12.75"/>
    <row r="666" s="501" customFormat="1" ht="12.75"/>
    <row r="667" s="501" customFormat="1" ht="12.75"/>
    <row r="668" s="501" customFormat="1" ht="12.75"/>
    <row r="669" s="501" customFormat="1" ht="12.75"/>
    <row r="670" s="501" customFormat="1" ht="12.75"/>
    <row r="671" s="501" customFormat="1" ht="12.75"/>
    <row r="672" s="501" customFormat="1" ht="12.75"/>
    <row r="673" s="501" customFormat="1" ht="12.75"/>
    <row r="674" s="501" customFormat="1" ht="12.75"/>
    <row r="675" s="501" customFormat="1" ht="12.75"/>
    <row r="676" s="501" customFormat="1" ht="12.75"/>
    <row r="677" s="501" customFormat="1" ht="12.75"/>
    <row r="678" s="501" customFormat="1" ht="12.75"/>
    <row r="679" s="501" customFormat="1" ht="12.75"/>
    <row r="680" s="501" customFormat="1" ht="12.75"/>
    <row r="681" s="501" customFormat="1" ht="12.75"/>
    <row r="682" s="501" customFormat="1" ht="12.75"/>
    <row r="683" s="501" customFormat="1" ht="12.75"/>
    <row r="684" s="501" customFormat="1" ht="12.75"/>
    <row r="685" s="501" customFormat="1" ht="12.75"/>
    <row r="686" s="501" customFormat="1" ht="12.75"/>
    <row r="687" s="501" customFormat="1" ht="12.75"/>
    <row r="688" s="501" customFormat="1" ht="12.75"/>
    <row r="689" s="501" customFormat="1" ht="12.75"/>
    <row r="690" s="501" customFormat="1" ht="12.75"/>
    <row r="691" s="501" customFormat="1" ht="12.75"/>
    <row r="692" s="501" customFormat="1" ht="12.75"/>
    <row r="693" s="501" customFormat="1" ht="12.75"/>
    <row r="694" s="501" customFormat="1" ht="12.75"/>
    <row r="695" s="501" customFormat="1" ht="12.75"/>
    <row r="696" s="501" customFormat="1" ht="12.75"/>
    <row r="697" s="501" customFormat="1" ht="12.75"/>
    <row r="698" s="501" customFormat="1" ht="12.75"/>
    <row r="699" s="501" customFormat="1" ht="12.75"/>
    <row r="700" s="501" customFormat="1" ht="12.75"/>
    <row r="701" s="501" customFormat="1" ht="12.75"/>
    <row r="702" s="501" customFormat="1" ht="12.75"/>
    <row r="703" s="501" customFormat="1" ht="12.75"/>
    <row r="704" s="501" customFormat="1" ht="12.75"/>
    <row r="705" s="501" customFormat="1" ht="12.75"/>
    <row r="706" s="501" customFormat="1" ht="12.75"/>
    <row r="707" s="501" customFormat="1" ht="12.75"/>
    <row r="708" s="501" customFormat="1" ht="12.75"/>
    <row r="709" s="501" customFormat="1" ht="12.75"/>
    <row r="710" s="501" customFormat="1" ht="12.75"/>
    <row r="711" s="501" customFormat="1" ht="12.75"/>
    <row r="712" s="501" customFormat="1" ht="12.75"/>
    <row r="713" s="501" customFormat="1" ht="12.75"/>
    <row r="714" s="501" customFormat="1" ht="12.75"/>
    <row r="715" s="501" customFormat="1" ht="12.75"/>
    <row r="716" s="501" customFormat="1" ht="12.75"/>
    <row r="717" s="501" customFormat="1" ht="12.75"/>
    <row r="718" s="501" customFormat="1" ht="12.75"/>
    <row r="719" s="501" customFormat="1" ht="12.75"/>
    <row r="720" s="501" customFormat="1" ht="12.75"/>
    <row r="721" s="501" customFormat="1" ht="12.75"/>
    <row r="722" s="501" customFormat="1" ht="12.75"/>
    <row r="723" s="501" customFormat="1" ht="12.75"/>
    <row r="724" s="501" customFormat="1" ht="12.75"/>
    <row r="725" s="501" customFormat="1" ht="12.75"/>
    <row r="726" s="501" customFormat="1" ht="12.75"/>
    <row r="727" s="501" customFormat="1" ht="12.75"/>
    <row r="728" s="501" customFormat="1" ht="12.75"/>
    <row r="729" s="501" customFormat="1" ht="12.75"/>
    <row r="730" s="501" customFormat="1" ht="12.75"/>
    <row r="731" s="501" customFormat="1" ht="12.75"/>
    <row r="732" s="501" customFormat="1" ht="12.75"/>
    <row r="733" s="501" customFormat="1" ht="12.75"/>
    <row r="734" s="501" customFormat="1" ht="12.75"/>
    <row r="735" s="501" customFormat="1" ht="12.75"/>
    <row r="736" s="501" customFormat="1" ht="12.75"/>
    <row r="737" s="501" customFormat="1" ht="12.75"/>
    <row r="738" s="501" customFormat="1" ht="12.75"/>
    <row r="739" s="501" customFormat="1" ht="12.75"/>
    <row r="740" s="501" customFormat="1" ht="12.75"/>
    <row r="741" s="501" customFormat="1" ht="12.75"/>
    <row r="742" s="501" customFormat="1" ht="12.75"/>
    <row r="743" s="501" customFormat="1" ht="12.75"/>
    <row r="744" s="501" customFormat="1" ht="12.75"/>
    <row r="745" s="501" customFormat="1" ht="12.75"/>
    <row r="746" s="501" customFormat="1" ht="12.75"/>
    <row r="747" s="501" customFormat="1" ht="12.75"/>
    <row r="748" s="501" customFormat="1" ht="12.75"/>
    <row r="749" s="501" customFormat="1" ht="12.75"/>
    <row r="750" s="501" customFormat="1" ht="12.75"/>
    <row r="751" s="501" customFormat="1" ht="12.75"/>
    <row r="752" s="501" customFormat="1" ht="12.75"/>
    <row r="753" s="501" customFormat="1" ht="12.75"/>
    <row r="754" s="501" customFormat="1" ht="12.75"/>
    <row r="755" s="501" customFormat="1" ht="12.75"/>
    <row r="756" s="501" customFormat="1" ht="12.75"/>
    <row r="757" s="501" customFormat="1" ht="12.75"/>
    <row r="758" s="501" customFormat="1" ht="12.75"/>
    <row r="759" s="501" customFormat="1" ht="12.75"/>
    <row r="760" s="501" customFormat="1" ht="12.75"/>
    <row r="761" s="501" customFormat="1" ht="12.75"/>
    <row r="762" s="501" customFormat="1" ht="12.75"/>
    <row r="763" s="501" customFormat="1" ht="12.75"/>
    <row r="764" s="501" customFormat="1" ht="12.75"/>
    <row r="765" s="501" customFormat="1" ht="12.75"/>
    <row r="766" s="501" customFormat="1" ht="12.75"/>
    <row r="767" s="501" customFormat="1" ht="12.75"/>
    <row r="768" s="501" customFormat="1" ht="12.75"/>
    <row r="769" s="501" customFormat="1" ht="12.75"/>
    <row r="770" s="501" customFormat="1" ht="12.75"/>
    <row r="771" s="501" customFormat="1" ht="12.75"/>
    <row r="772" s="501" customFormat="1" ht="12.75"/>
    <row r="773" s="501" customFormat="1" ht="12.75"/>
    <row r="774" s="501" customFormat="1" ht="12.75"/>
    <row r="775" s="501" customFormat="1" ht="12.75"/>
    <row r="776" s="501" customFormat="1" ht="12.75"/>
    <row r="777" s="501" customFormat="1" ht="12.75"/>
    <row r="778" s="501" customFormat="1" ht="12.75"/>
    <row r="779" s="501" customFormat="1" ht="12.75"/>
    <row r="780" s="501" customFormat="1" ht="12.75"/>
    <row r="781" s="501" customFormat="1" ht="12.75"/>
    <row r="782" s="501" customFormat="1" ht="12.75"/>
    <row r="783" s="501" customFormat="1" ht="12.75"/>
    <row r="784" s="501" customFormat="1" ht="12.75"/>
    <row r="785" s="501" customFormat="1" ht="12.75"/>
    <row r="786" s="501" customFormat="1" ht="12.75"/>
    <row r="787" s="501" customFormat="1" ht="12.75"/>
    <row r="788" s="501" customFormat="1" ht="12.75"/>
    <row r="789" s="501" customFormat="1" ht="12.75"/>
    <row r="790" s="501" customFormat="1" ht="12.75"/>
    <row r="791" s="501" customFormat="1" ht="12.75"/>
    <row r="792" s="501" customFormat="1" ht="12.75"/>
    <row r="793" s="501" customFormat="1" ht="12.75"/>
    <row r="794" s="501" customFormat="1" ht="12.75"/>
    <row r="795" s="501" customFormat="1" ht="12.75"/>
    <row r="796" s="501" customFormat="1" ht="12.75"/>
    <row r="797" s="501" customFormat="1" ht="12.75"/>
    <row r="798" s="501" customFormat="1" ht="12.75"/>
    <row r="799" s="501" customFormat="1" ht="12.75"/>
    <row r="800" s="501" customFormat="1" ht="12.75"/>
    <row r="801" s="501" customFormat="1" ht="12.75"/>
    <row r="802" s="501" customFormat="1" ht="12.75"/>
    <row r="803" s="501" customFormat="1" ht="12.75"/>
    <row r="804" s="501" customFormat="1" ht="12.75"/>
    <row r="805" s="501" customFormat="1" ht="12.75"/>
    <row r="806" s="501" customFormat="1" ht="12.75"/>
    <row r="807" s="501" customFormat="1" ht="12.75"/>
    <row r="808" s="501" customFormat="1" ht="12.75"/>
    <row r="809" s="501" customFormat="1" ht="12.75"/>
    <row r="810" s="501" customFormat="1" ht="12.75"/>
    <row r="811" s="501" customFormat="1" ht="12.75"/>
    <row r="812" s="501" customFormat="1" ht="12.75"/>
    <row r="813" s="501" customFormat="1" ht="12.75"/>
    <row r="814" s="501" customFormat="1" ht="12.75"/>
    <row r="815" s="501" customFormat="1" ht="12.75"/>
    <row r="816" s="501" customFormat="1" ht="12.75"/>
    <row r="817" s="501" customFormat="1" ht="12.75"/>
    <row r="818" s="501" customFormat="1" ht="12.75"/>
    <row r="819" s="501" customFormat="1" ht="12.75"/>
    <row r="820" s="501" customFormat="1" ht="12.75"/>
    <row r="821" s="501" customFormat="1" ht="12.75"/>
    <row r="822" s="501" customFormat="1" ht="12.75"/>
    <row r="823" s="501" customFormat="1" ht="12.75"/>
    <row r="824" s="501" customFormat="1" ht="12.75"/>
    <row r="825" s="501" customFormat="1" ht="12.75"/>
    <row r="826" s="501" customFormat="1" ht="12.75"/>
    <row r="827" s="501" customFormat="1" ht="12.75"/>
    <row r="828" s="501" customFormat="1" ht="12.75"/>
    <row r="829" s="501" customFormat="1" ht="12.75"/>
    <row r="830" s="501" customFormat="1" ht="12.75"/>
    <row r="831" s="501" customFormat="1" ht="12.75"/>
    <row r="832" s="501" customFormat="1" ht="12.75"/>
    <row r="833" s="501" customFormat="1" ht="12.75"/>
    <row r="834" s="501" customFormat="1" ht="12.75"/>
    <row r="835" s="501" customFormat="1" ht="12.75"/>
    <row r="836" s="501" customFormat="1" ht="12.75"/>
    <row r="837" s="501" customFormat="1" ht="12.75"/>
    <row r="838" s="501" customFormat="1" ht="12.75"/>
    <row r="839" s="501" customFormat="1" ht="12.75"/>
    <row r="840" s="501" customFormat="1" ht="12.75"/>
    <row r="841" s="501" customFormat="1" ht="12.75"/>
    <row r="842" s="501" customFormat="1" ht="12.75"/>
    <row r="843" s="501" customFormat="1" ht="12.75"/>
    <row r="844" s="501" customFormat="1" ht="12.75"/>
    <row r="845" s="501" customFormat="1" ht="12.75"/>
    <row r="846" s="501" customFormat="1" ht="12.75"/>
    <row r="847" s="501" customFormat="1" ht="12.75"/>
    <row r="848" s="501" customFormat="1" ht="12.75"/>
    <row r="849" s="501" customFormat="1" ht="12.75"/>
    <row r="850" s="501" customFormat="1" ht="12.75"/>
    <row r="851" s="501" customFormat="1" ht="12.75"/>
    <row r="852" s="501" customFormat="1" ht="12.75"/>
    <row r="853" s="501" customFormat="1" ht="12.75"/>
    <row r="854" s="501" customFormat="1" ht="12.75"/>
    <row r="855" s="501" customFormat="1" ht="12.75"/>
    <row r="856" s="501" customFormat="1" ht="12.75"/>
    <row r="857" s="501" customFormat="1" ht="12.75"/>
    <row r="858" s="501" customFormat="1" ht="12.75"/>
    <row r="859" s="501" customFormat="1" ht="12.75"/>
    <row r="860" s="501" customFormat="1" ht="12.75"/>
    <row r="861" s="501" customFormat="1" ht="12.75"/>
    <row r="862" s="501" customFormat="1" ht="12.75"/>
    <row r="863" s="501" customFormat="1" ht="12.75"/>
    <row r="864" s="501" customFormat="1" ht="12.75"/>
    <row r="865" s="501" customFormat="1" ht="12.75"/>
    <row r="866" s="501" customFormat="1" ht="12.75"/>
    <row r="867" s="501" customFormat="1" ht="12.75"/>
    <row r="868" s="501" customFormat="1" ht="12.75"/>
    <row r="869" s="501" customFormat="1" ht="12.75"/>
    <row r="870" s="501" customFormat="1" ht="12.75"/>
    <row r="871" s="501" customFormat="1" ht="12.75"/>
    <row r="872" s="501" customFormat="1" ht="12.75"/>
    <row r="873" s="501" customFormat="1" ht="12.75"/>
    <row r="874" s="501" customFormat="1" ht="12.75"/>
    <row r="875" s="501" customFormat="1" ht="12.75"/>
    <row r="876" s="501" customFormat="1" ht="12.75"/>
    <row r="877" s="501" customFormat="1" ht="12.75"/>
    <row r="878" s="501" customFormat="1" ht="12.75"/>
    <row r="879" s="501" customFormat="1" ht="12.75"/>
    <row r="880" s="501" customFormat="1" ht="12.75"/>
    <row r="881" s="501" customFormat="1" ht="12.75"/>
    <row r="882" s="501" customFormat="1" ht="12.75"/>
    <row r="883" s="501" customFormat="1" ht="12.75"/>
    <row r="884" s="501" customFormat="1" ht="12.75"/>
    <row r="885" s="501" customFormat="1" ht="12.75"/>
    <row r="886" s="501" customFormat="1" ht="12.75"/>
    <row r="887" s="501" customFormat="1" ht="12.75"/>
    <row r="888" s="501" customFormat="1" ht="12.75"/>
    <row r="889" s="501" customFormat="1" ht="12.75"/>
    <row r="890" s="501" customFormat="1" ht="12.75"/>
    <row r="891" s="501" customFormat="1" ht="12.75"/>
    <row r="892" s="501" customFormat="1" ht="12.75"/>
    <row r="893" s="501" customFormat="1" ht="12.75"/>
    <row r="894" s="501" customFormat="1" ht="12.75"/>
    <row r="895" s="501" customFormat="1" ht="12.75"/>
    <row r="896" s="501" customFormat="1" ht="12.75"/>
    <row r="897" s="501" customFormat="1" ht="12.75"/>
    <row r="898" s="501" customFormat="1" ht="12.75"/>
    <row r="899" s="501" customFormat="1" ht="12.75"/>
    <row r="900" s="501" customFormat="1" ht="12.75"/>
    <row r="901" s="501" customFormat="1" ht="12.75"/>
    <row r="902" s="501" customFormat="1" ht="12.75"/>
    <row r="903" s="501" customFormat="1" ht="12.75"/>
    <row r="904" s="501" customFormat="1" ht="12.75"/>
    <row r="905" s="501" customFormat="1" ht="12.75"/>
    <row r="906" s="501" customFormat="1" ht="12.75"/>
    <row r="907" s="501" customFormat="1" ht="12.75"/>
    <row r="908" s="501" customFormat="1" ht="12.75"/>
    <row r="909" s="501" customFormat="1" ht="12.75"/>
    <row r="910" s="501" customFormat="1" ht="12.75"/>
    <row r="911" s="501" customFormat="1" ht="12.75"/>
    <row r="912" s="501" customFormat="1" ht="12.75"/>
    <row r="913" s="501" customFormat="1" ht="12.75"/>
    <row r="914" s="501" customFormat="1" ht="12.75"/>
    <row r="915" s="501" customFormat="1" ht="12.75"/>
    <row r="916" s="501" customFormat="1" ht="12.75"/>
    <row r="917" s="501" customFormat="1" ht="12.75"/>
    <row r="918" s="501" customFormat="1" ht="12.75"/>
    <row r="919" s="501" customFormat="1" ht="12.75"/>
    <row r="920" s="501" customFormat="1" ht="12.75"/>
    <row r="921" s="501" customFormat="1" ht="12.75"/>
    <row r="922" s="501" customFormat="1" ht="12.75"/>
    <row r="923" s="501" customFormat="1" ht="12.75"/>
    <row r="924" s="501" customFormat="1" ht="12.75"/>
    <row r="925" s="501" customFormat="1" ht="12.75"/>
    <row r="926" s="501" customFormat="1" ht="12.75"/>
    <row r="927" s="501" customFormat="1" ht="12.75"/>
    <row r="928" s="501" customFormat="1" ht="12.75"/>
    <row r="929" s="501" customFormat="1" ht="12.75"/>
    <row r="930" s="501" customFormat="1" ht="12.75"/>
    <row r="931" s="501" customFormat="1" ht="12.75"/>
    <row r="932" s="501" customFormat="1" ht="12.75"/>
    <row r="933" s="501" customFormat="1" ht="12.75"/>
    <row r="934" s="501" customFormat="1" ht="12.75"/>
    <row r="935" s="501" customFormat="1" ht="12.75"/>
    <row r="936" s="501" customFormat="1" ht="12.75"/>
    <row r="937" s="501" customFormat="1" ht="12.75"/>
    <row r="938" s="501" customFormat="1" ht="12.75"/>
    <row r="939" s="501" customFormat="1" ht="12.75"/>
    <row r="940" s="501" customFormat="1" ht="12.75"/>
    <row r="941" s="501" customFormat="1" ht="12.75"/>
    <row r="942" s="501" customFormat="1" ht="12.75"/>
    <row r="943" s="501" customFormat="1" ht="12.75"/>
    <row r="944" s="501" customFormat="1" ht="12.75"/>
    <row r="945" s="501" customFormat="1" ht="12.75"/>
    <row r="946" s="501" customFormat="1" ht="12.75"/>
    <row r="947" s="501" customFormat="1" ht="12.75"/>
    <row r="948" s="501" customFormat="1" ht="12.75"/>
    <row r="949" s="501" customFormat="1" ht="12.75"/>
    <row r="950" s="501" customFormat="1" ht="12.75"/>
    <row r="951" s="501" customFormat="1" ht="12.75"/>
    <row r="952" s="501" customFormat="1" ht="12.75"/>
    <row r="953" s="501" customFormat="1" ht="12.75"/>
    <row r="954" s="501" customFormat="1" ht="12.75"/>
    <row r="955" s="501" customFormat="1" ht="12.75"/>
    <row r="956" s="501" customFormat="1" ht="12.75"/>
    <row r="957" s="501" customFormat="1" ht="12.75"/>
    <row r="958" s="501" customFormat="1" ht="12.75"/>
    <row r="959" s="501" customFormat="1" ht="12.75"/>
    <row r="960" s="501" customFormat="1" ht="12.75"/>
    <row r="961" s="501" customFormat="1" ht="12.75"/>
    <row r="962" s="501" customFormat="1" ht="12.75"/>
    <row r="963" s="501" customFormat="1" ht="12.75"/>
    <row r="964" s="501" customFormat="1" ht="12.75"/>
    <row r="965" s="501" customFormat="1" ht="12.75"/>
    <row r="966" s="501" customFormat="1" ht="12.75"/>
    <row r="967" s="501" customFormat="1" ht="12.75"/>
    <row r="968" s="501" customFormat="1" ht="12.75"/>
    <row r="969" s="501" customFormat="1" ht="12.75"/>
    <row r="970" s="501" customFormat="1" ht="12.75"/>
    <row r="971" s="501" customFormat="1" ht="12.75"/>
    <row r="972" s="501" customFormat="1" ht="12.75"/>
    <row r="973" s="501" customFormat="1" ht="12.75"/>
    <row r="974" s="501" customFormat="1" ht="12.75"/>
    <row r="975" s="501" customFormat="1" ht="12.75"/>
    <row r="976" s="501" customFormat="1" ht="12.75"/>
    <row r="977" s="501" customFormat="1" ht="12.75"/>
    <row r="978" s="501" customFormat="1" ht="12.75"/>
    <row r="979" s="501" customFormat="1" ht="12.75"/>
    <row r="980" s="501" customFormat="1" ht="12.75"/>
    <row r="981" s="501" customFormat="1" ht="12.75"/>
    <row r="982" s="501" customFormat="1" ht="12.75"/>
    <row r="983" s="501" customFormat="1" ht="12.75"/>
    <row r="984" s="501" customFormat="1" ht="12.75"/>
    <row r="985" s="501" customFormat="1" ht="12.75"/>
    <row r="986" s="501" customFormat="1" ht="12.75"/>
    <row r="987" s="501" customFormat="1" ht="12.75"/>
    <row r="988" s="501" customFormat="1" ht="12.75"/>
    <row r="989" s="501" customFormat="1" ht="12.75"/>
    <row r="990" s="501" customFormat="1" ht="12.75"/>
    <row r="991" s="501" customFormat="1" ht="12.75"/>
    <row r="992" s="501" customFormat="1" ht="12.75"/>
    <row r="993" s="501" customFormat="1" ht="12.75"/>
    <row r="994" s="501" customFormat="1" ht="12.75"/>
    <row r="995" s="501" customFormat="1" ht="12.75"/>
    <row r="996" s="501" customFormat="1" ht="12.75"/>
    <row r="997" s="501" customFormat="1" ht="12.75"/>
    <row r="998" s="501" customFormat="1" ht="12.75"/>
    <row r="999" s="501" customFormat="1" ht="12.75"/>
    <row r="1000" s="501" customFormat="1" ht="12.75"/>
  </sheetData>
  <mergeCells count="9">
    <mergeCell ref="B2:D2"/>
    <mergeCell ref="B8:D8"/>
    <mergeCell ref="E8:K8"/>
    <mergeCell ref="B10:C10"/>
    <mergeCell ref="B12:D12"/>
    <mergeCell ref="I12:K12"/>
    <mergeCell ref="H2:L2"/>
    <mergeCell ref="H3:L3"/>
    <mergeCell ref="H4:L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76877-FF59-4B32-B248-C5EADB496994}">
  <dimension ref="A30:Q94"/>
  <sheetViews>
    <sheetView workbookViewId="0">
      <selection activeCell="J53" sqref="J53:J57"/>
    </sheetView>
  </sheetViews>
  <sheetFormatPr defaultColWidth="13.140625" defaultRowHeight="15"/>
  <cols>
    <col min="2" max="2" width="19.42578125" customWidth="1"/>
    <col min="3" max="3" width="8.7109375" customWidth="1"/>
    <col min="6" max="6" width="5" customWidth="1"/>
    <col min="9" max="9" width="8.7109375" customWidth="1"/>
    <col min="10" max="10" width="21.28515625" customWidth="1"/>
    <col min="12" max="12" width="5" customWidth="1"/>
    <col min="16" max="16" width="21.28515625" customWidth="1"/>
  </cols>
  <sheetData>
    <row r="30" spans="1:17">
      <c r="A30" s="554" t="s">
        <v>318</v>
      </c>
      <c r="B30" s="554"/>
      <c r="C30" s="554"/>
      <c r="D30" s="554"/>
      <c r="E30" s="554"/>
      <c r="F30" s="554"/>
      <c r="G30" s="554"/>
      <c r="H30" s="554"/>
      <c r="I30" s="554"/>
      <c r="J30" s="554"/>
      <c r="K30" s="554"/>
      <c r="L30" s="554"/>
      <c r="M30" s="554"/>
      <c r="N30" s="554"/>
      <c r="O30" s="554"/>
      <c r="P30" s="554"/>
      <c r="Q30" s="554"/>
    </row>
    <row r="31" spans="1:17">
      <c r="A31" s="554"/>
      <c r="B31" s="554"/>
      <c r="C31" s="554"/>
      <c r="D31" s="554"/>
      <c r="E31" s="554"/>
      <c r="F31" s="554"/>
      <c r="G31" s="554"/>
      <c r="H31" s="554"/>
      <c r="I31" s="554"/>
      <c r="J31" s="554"/>
      <c r="K31" s="554"/>
      <c r="L31" s="554"/>
      <c r="M31" s="554"/>
      <c r="N31" s="554"/>
      <c r="O31" s="554"/>
      <c r="P31" s="554"/>
      <c r="Q31" s="554"/>
    </row>
    <row r="32" spans="1:17">
      <c r="A32" s="400" t="s">
        <v>319</v>
      </c>
      <c r="B32" s="400"/>
      <c r="C32" s="400" t="s">
        <v>320</v>
      </c>
      <c r="D32" s="400"/>
      <c r="E32" s="400"/>
      <c r="F32" s="337"/>
      <c r="G32" s="400" t="s">
        <v>321</v>
      </c>
      <c r="H32" s="400"/>
      <c r="I32" s="400" t="s">
        <v>322</v>
      </c>
      <c r="J32" s="400"/>
      <c r="K32" s="400"/>
      <c r="M32" s="400" t="s">
        <v>323</v>
      </c>
      <c r="N32" s="400"/>
      <c r="O32" s="400"/>
      <c r="P32" s="400" t="s">
        <v>322</v>
      </c>
      <c r="Q32" s="400"/>
    </row>
    <row r="33" spans="1:17">
      <c r="A33" s="400" t="s">
        <v>324</v>
      </c>
      <c r="B33" s="400" t="s">
        <v>83</v>
      </c>
      <c r="C33" s="400" t="s">
        <v>325</v>
      </c>
      <c r="D33" s="400" t="s">
        <v>326</v>
      </c>
      <c r="E33" s="400" t="s">
        <v>327</v>
      </c>
      <c r="F33" s="337"/>
      <c r="G33" s="400" t="s">
        <v>324</v>
      </c>
      <c r="H33" s="400" t="s">
        <v>83</v>
      </c>
      <c r="I33" s="400" t="s">
        <v>325</v>
      </c>
      <c r="J33" s="400" t="s">
        <v>328</v>
      </c>
      <c r="K33" s="400" t="s">
        <v>327</v>
      </c>
      <c r="M33" s="400" t="s">
        <v>324</v>
      </c>
      <c r="N33" s="400" t="s">
        <v>83</v>
      </c>
      <c r="O33" s="400" t="s">
        <v>325</v>
      </c>
      <c r="P33" s="400" t="s">
        <v>328</v>
      </c>
      <c r="Q33" s="400" t="s">
        <v>327</v>
      </c>
    </row>
    <row r="34" spans="1:17">
      <c r="A34" s="400">
        <v>0</v>
      </c>
      <c r="B34" s="551" t="s">
        <v>329</v>
      </c>
      <c r="C34" s="551">
        <v>276</v>
      </c>
      <c r="D34" s="551" t="s">
        <v>330</v>
      </c>
      <c r="E34" s="551">
        <v>1</v>
      </c>
      <c r="F34" s="337"/>
      <c r="G34" s="400">
        <v>0</v>
      </c>
      <c r="H34" s="400" t="s">
        <v>329</v>
      </c>
      <c r="I34" s="551">
        <v>276</v>
      </c>
      <c r="J34" s="551" t="s">
        <v>330</v>
      </c>
      <c r="K34" s="551">
        <v>1</v>
      </c>
      <c r="M34" s="400">
        <v>0</v>
      </c>
      <c r="N34" s="551" t="s">
        <v>329</v>
      </c>
      <c r="O34" s="551">
        <v>276</v>
      </c>
      <c r="P34" s="551" t="s">
        <v>331</v>
      </c>
      <c r="Q34" s="551">
        <v>1</v>
      </c>
    </row>
    <row r="35" spans="1:17">
      <c r="A35" s="400">
        <v>1.97</v>
      </c>
      <c r="B35" s="552"/>
      <c r="C35" s="552"/>
      <c r="D35" s="552"/>
      <c r="E35" s="552"/>
      <c r="F35" s="337"/>
      <c r="G35" s="400">
        <v>1.97</v>
      </c>
      <c r="H35" s="400" t="s">
        <v>329</v>
      </c>
      <c r="I35" s="552"/>
      <c r="J35" s="552"/>
      <c r="K35" s="552"/>
      <c r="M35" s="400">
        <v>1.97</v>
      </c>
      <c r="N35" s="552"/>
      <c r="O35" s="552"/>
      <c r="P35" s="552"/>
      <c r="Q35" s="552"/>
    </row>
    <row r="36" spans="1:17">
      <c r="A36" s="400">
        <v>3.95</v>
      </c>
      <c r="B36" s="553"/>
      <c r="C36" s="552"/>
      <c r="D36" s="552"/>
      <c r="E36" s="552"/>
      <c r="F36" s="337"/>
      <c r="G36" s="400">
        <v>3.95</v>
      </c>
      <c r="H36" s="400" t="s">
        <v>329</v>
      </c>
      <c r="I36" s="552"/>
      <c r="J36" s="552"/>
      <c r="K36" s="552"/>
      <c r="M36" s="400">
        <v>3.95</v>
      </c>
      <c r="N36" s="552"/>
      <c r="O36" s="552"/>
      <c r="P36" s="552"/>
      <c r="Q36" s="552"/>
    </row>
    <row r="37" spans="1:17">
      <c r="A37" s="400">
        <v>5.91</v>
      </c>
      <c r="B37" s="400" t="s">
        <v>332</v>
      </c>
      <c r="C37" s="552"/>
      <c r="D37" s="552"/>
      <c r="E37" s="552"/>
      <c r="F37" s="337"/>
      <c r="G37" s="400">
        <v>5.91</v>
      </c>
      <c r="H37" s="400" t="s">
        <v>333</v>
      </c>
      <c r="I37" s="552"/>
      <c r="J37" s="552"/>
      <c r="K37" s="552"/>
      <c r="M37" s="400">
        <v>5.91</v>
      </c>
      <c r="N37" s="552"/>
      <c r="O37" s="552"/>
      <c r="P37" s="552"/>
      <c r="Q37" s="552"/>
    </row>
    <row r="38" spans="1:17">
      <c r="A38" s="400">
        <v>7.85</v>
      </c>
      <c r="B38" s="400" t="s">
        <v>334</v>
      </c>
      <c r="C38" s="553"/>
      <c r="D38" s="553"/>
      <c r="E38" s="553"/>
      <c r="F38" s="337"/>
      <c r="G38" s="400">
        <v>7.85</v>
      </c>
      <c r="H38" s="400" t="s">
        <v>335</v>
      </c>
      <c r="I38" s="552"/>
      <c r="J38" s="552"/>
      <c r="K38" s="552"/>
      <c r="M38" s="400">
        <v>7.85</v>
      </c>
      <c r="N38" s="552"/>
      <c r="O38" s="552"/>
      <c r="P38" s="552"/>
      <c r="Q38" s="552"/>
    </row>
    <row r="39" spans="1:17">
      <c r="A39" s="401">
        <v>9.7799999999999994</v>
      </c>
      <c r="B39" s="401"/>
      <c r="C39" s="401"/>
      <c r="D39" s="402"/>
      <c r="E39" s="401"/>
      <c r="F39" s="337"/>
      <c r="G39" s="400">
        <v>9.7799999999999994</v>
      </c>
      <c r="H39" s="400" t="s">
        <v>336</v>
      </c>
      <c r="I39" s="553"/>
      <c r="J39" s="553"/>
      <c r="K39" s="552"/>
      <c r="M39" s="400">
        <v>9.7799999999999994</v>
      </c>
      <c r="N39" s="553"/>
      <c r="O39" s="553"/>
      <c r="P39" s="553"/>
      <c r="Q39" s="553"/>
    </row>
    <row r="40" spans="1:17">
      <c r="A40" s="400">
        <v>10.119999999999999</v>
      </c>
      <c r="B40" s="400" t="s">
        <v>329</v>
      </c>
      <c r="C40" s="400">
        <v>275.2</v>
      </c>
      <c r="D40" s="400" t="s">
        <v>330</v>
      </c>
      <c r="E40" s="400">
        <v>1</v>
      </c>
      <c r="F40" s="337"/>
      <c r="G40" s="400">
        <v>10.119999999999999</v>
      </c>
      <c r="H40" s="400" t="s">
        <v>337</v>
      </c>
      <c r="I40" s="551">
        <v>275.2</v>
      </c>
      <c r="J40" s="551" t="s">
        <v>330</v>
      </c>
      <c r="K40" s="552"/>
      <c r="M40" s="401">
        <v>10.119999999999999</v>
      </c>
      <c r="N40" s="402"/>
      <c r="O40" s="402"/>
      <c r="P40" s="402"/>
      <c r="Q40" s="401"/>
    </row>
    <row r="41" spans="1:17">
      <c r="A41" s="400">
        <v>11.69</v>
      </c>
      <c r="B41" s="551" t="s">
        <v>338</v>
      </c>
      <c r="C41" s="551">
        <v>276</v>
      </c>
      <c r="D41" s="551" t="s">
        <v>330</v>
      </c>
      <c r="E41" s="551">
        <v>1</v>
      </c>
      <c r="F41" s="337"/>
      <c r="G41" s="400">
        <v>11.69</v>
      </c>
      <c r="H41" s="400" t="s">
        <v>339</v>
      </c>
      <c r="I41" s="553"/>
      <c r="J41" s="553"/>
      <c r="K41" s="552"/>
      <c r="M41" s="400">
        <v>11.69</v>
      </c>
      <c r="N41" s="400" t="s">
        <v>340</v>
      </c>
      <c r="O41" s="551">
        <v>276</v>
      </c>
      <c r="P41" s="400" t="s">
        <v>331</v>
      </c>
      <c r="Q41" s="551">
        <v>1</v>
      </c>
    </row>
    <row r="42" spans="1:17">
      <c r="A42" s="400">
        <v>12.09</v>
      </c>
      <c r="B42" s="553"/>
      <c r="C42" s="552"/>
      <c r="D42" s="552"/>
      <c r="E42" s="552"/>
      <c r="F42" s="337"/>
      <c r="G42" s="400">
        <v>12.09</v>
      </c>
      <c r="H42" s="400" t="s">
        <v>341</v>
      </c>
      <c r="I42" s="400">
        <v>276</v>
      </c>
      <c r="J42" s="400" t="s">
        <v>330</v>
      </c>
      <c r="K42" s="552"/>
      <c r="M42" s="400">
        <v>12.09</v>
      </c>
      <c r="N42" s="400" t="s">
        <v>340</v>
      </c>
      <c r="O42" s="552"/>
      <c r="P42" s="400" t="s">
        <v>342</v>
      </c>
      <c r="Q42" s="552"/>
    </row>
    <row r="43" spans="1:17">
      <c r="A43" s="400">
        <v>14.04</v>
      </c>
      <c r="B43" s="400" t="s">
        <v>336</v>
      </c>
      <c r="C43" s="552"/>
      <c r="D43" s="552"/>
      <c r="E43" s="552"/>
      <c r="F43" s="337"/>
      <c r="G43" s="400">
        <v>14.04</v>
      </c>
      <c r="H43" s="400" t="s">
        <v>343</v>
      </c>
      <c r="I43" s="551">
        <v>275.2</v>
      </c>
      <c r="J43" s="551" t="s">
        <v>330</v>
      </c>
      <c r="K43" s="552"/>
      <c r="M43" s="400">
        <v>14.04</v>
      </c>
      <c r="N43" s="400" t="s">
        <v>344</v>
      </c>
      <c r="O43" s="552"/>
      <c r="P43" s="400" t="s">
        <v>342</v>
      </c>
      <c r="Q43" s="552"/>
    </row>
    <row r="44" spans="1:17">
      <c r="A44" s="400">
        <v>15.95</v>
      </c>
      <c r="B44" s="400" t="s">
        <v>345</v>
      </c>
      <c r="C44" s="552"/>
      <c r="D44" s="552"/>
      <c r="E44" s="552"/>
      <c r="F44" s="337"/>
      <c r="G44" s="400">
        <v>15.95</v>
      </c>
      <c r="H44" s="400" t="s">
        <v>346</v>
      </c>
      <c r="I44" s="552"/>
      <c r="J44" s="552"/>
      <c r="K44" s="552"/>
      <c r="M44" s="400">
        <v>15.95</v>
      </c>
      <c r="N44" s="400" t="s">
        <v>347</v>
      </c>
      <c r="O44" s="552"/>
      <c r="P44" s="400" t="s">
        <v>331</v>
      </c>
      <c r="Q44" s="552"/>
    </row>
    <row r="45" spans="1:17">
      <c r="A45" s="400">
        <v>17.82</v>
      </c>
      <c r="B45" s="551" t="s">
        <v>348</v>
      </c>
      <c r="C45" s="552"/>
      <c r="D45" s="552"/>
      <c r="E45" s="552"/>
      <c r="F45" s="337"/>
      <c r="G45" s="400">
        <v>17.82</v>
      </c>
      <c r="H45" s="400" t="s">
        <v>349</v>
      </c>
      <c r="I45" s="552"/>
      <c r="J45" s="552"/>
      <c r="K45" s="552"/>
      <c r="M45" s="400">
        <v>17.82</v>
      </c>
      <c r="N45" s="400" t="s">
        <v>350</v>
      </c>
      <c r="O45" s="552"/>
      <c r="P45" s="400" t="s">
        <v>331</v>
      </c>
      <c r="Q45" s="552"/>
    </row>
    <row r="46" spans="1:17">
      <c r="A46" s="400">
        <v>19.649999999999999</v>
      </c>
      <c r="B46" s="553"/>
      <c r="C46" s="552"/>
      <c r="D46" s="552"/>
      <c r="E46" s="552"/>
      <c r="F46" s="337"/>
      <c r="G46" s="400">
        <v>19.649999999999999</v>
      </c>
      <c r="H46" s="400" t="s">
        <v>351</v>
      </c>
      <c r="I46" s="552"/>
      <c r="J46" s="552"/>
      <c r="K46" s="552"/>
      <c r="M46" s="400">
        <v>18.43</v>
      </c>
      <c r="N46" s="400" t="s">
        <v>352</v>
      </c>
      <c r="O46" s="553"/>
      <c r="P46" s="400" t="s">
        <v>331</v>
      </c>
      <c r="Q46" s="553"/>
    </row>
    <row r="47" spans="1:17">
      <c r="A47" s="400">
        <v>20.32</v>
      </c>
      <c r="B47" s="400" t="s">
        <v>353</v>
      </c>
      <c r="C47" s="552"/>
      <c r="D47" s="552"/>
      <c r="E47" s="552"/>
      <c r="F47" s="337"/>
      <c r="G47" s="400">
        <v>20.32</v>
      </c>
      <c r="H47" s="400" t="s">
        <v>349</v>
      </c>
      <c r="I47" s="552"/>
      <c r="J47" s="552"/>
      <c r="K47" s="552"/>
      <c r="M47" s="400"/>
      <c r="N47" s="400"/>
      <c r="O47" s="400"/>
      <c r="P47" s="400"/>
      <c r="Q47" s="400"/>
    </row>
    <row r="48" spans="1:17">
      <c r="A48" s="400">
        <v>22.17</v>
      </c>
      <c r="B48" s="400" t="s">
        <v>354</v>
      </c>
      <c r="C48" s="552"/>
      <c r="D48" s="552"/>
      <c r="E48" s="552"/>
      <c r="F48" s="337"/>
      <c r="G48" s="400">
        <v>22.17</v>
      </c>
      <c r="H48" s="400" t="s">
        <v>355</v>
      </c>
      <c r="I48" s="552"/>
      <c r="J48" s="552"/>
      <c r="K48" s="552"/>
      <c r="M48" s="400"/>
      <c r="N48" s="400"/>
      <c r="O48" s="400"/>
      <c r="P48" s="400"/>
      <c r="Q48" s="400"/>
    </row>
    <row r="49" spans="1:17">
      <c r="A49" s="400">
        <v>23.96</v>
      </c>
      <c r="B49" s="400" t="s">
        <v>356</v>
      </c>
      <c r="C49" s="552"/>
      <c r="D49" s="552"/>
      <c r="E49" s="552"/>
      <c r="F49" s="337"/>
      <c r="G49" s="400">
        <v>23.96</v>
      </c>
      <c r="H49" s="400" t="s">
        <v>357</v>
      </c>
      <c r="I49" s="552"/>
      <c r="J49" s="552"/>
      <c r="K49" s="552"/>
      <c r="M49" s="400"/>
      <c r="N49" s="400"/>
      <c r="O49" s="400"/>
      <c r="P49" s="400"/>
      <c r="Q49" s="400"/>
    </row>
    <row r="50" spans="1:17">
      <c r="A50" s="400">
        <v>24.78</v>
      </c>
      <c r="B50" s="400" t="s">
        <v>335</v>
      </c>
      <c r="C50" s="552"/>
      <c r="D50" s="552"/>
      <c r="E50" s="552"/>
      <c r="F50" s="337"/>
      <c r="G50" s="400">
        <v>24.78</v>
      </c>
      <c r="H50" s="400" t="s">
        <v>358</v>
      </c>
      <c r="I50" s="552"/>
      <c r="J50" s="552"/>
      <c r="K50" s="552"/>
      <c r="M50" s="400"/>
      <c r="N50" s="400"/>
      <c r="O50" s="400"/>
      <c r="P50" s="400"/>
      <c r="Q50" s="400"/>
    </row>
    <row r="51" spans="1:17">
      <c r="A51" s="400">
        <v>26.57</v>
      </c>
      <c r="B51" s="400" t="s">
        <v>356</v>
      </c>
      <c r="C51" s="552"/>
      <c r="D51" s="552"/>
      <c r="E51" s="552"/>
      <c r="F51" s="337"/>
      <c r="G51" s="400">
        <v>26.57</v>
      </c>
      <c r="H51" s="400" t="s">
        <v>359</v>
      </c>
      <c r="I51" s="552"/>
      <c r="J51" s="552"/>
      <c r="K51" s="552"/>
      <c r="M51" s="400"/>
      <c r="N51" s="400"/>
      <c r="O51" s="400"/>
      <c r="P51" s="400"/>
      <c r="Q51" s="400"/>
    </row>
    <row r="52" spans="1:17">
      <c r="A52" s="400">
        <v>28.3</v>
      </c>
      <c r="B52" s="400" t="s">
        <v>336</v>
      </c>
      <c r="C52" s="552"/>
      <c r="D52" s="552"/>
      <c r="E52" s="552"/>
      <c r="F52" s="337"/>
      <c r="G52" s="400">
        <v>28.3</v>
      </c>
      <c r="H52" s="400" t="s">
        <v>360</v>
      </c>
      <c r="I52" s="553"/>
      <c r="J52" s="553"/>
      <c r="K52" s="552"/>
      <c r="M52" s="400"/>
      <c r="N52" s="400"/>
      <c r="O52" s="400"/>
      <c r="P52" s="400"/>
      <c r="Q52" s="400"/>
    </row>
    <row r="53" spans="1:17">
      <c r="A53" s="400">
        <v>29.25</v>
      </c>
      <c r="B53" s="400" t="s">
        <v>361</v>
      </c>
      <c r="C53" s="552"/>
      <c r="D53" s="552"/>
      <c r="E53" s="552"/>
      <c r="F53" s="337"/>
      <c r="G53" s="400">
        <v>29.25</v>
      </c>
      <c r="H53" s="400" t="s">
        <v>362</v>
      </c>
      <c r="I53" s="551">
        <v>276</v>
      </c>
      <c r="J53" s="551" t="s">
        <v>363</v>
      </c>
      <c r="K53" s="552"/>
      <c r="M53" s="400"/>
      <c r="N53" s="400"/>
      <c r="O53" s="400"/>
      <c r="P53" s="400"/>
      <c r="Q53" s="400"/>
    </row>
    <row r="54" spans="1:17">
      <c r="A54" s="400">
        <v>30.96</v>
      </c>
      <c r="B54" s="400" t="s">
        <v>364</v>
      </c>
      <c r="C54" s="552"/>
      <c r="D54" s="552"/>
      <c r="E54" s="552"/>
      <c r="F54" s="337"/>
      <c r="G54" s="400">
        <v>30.96</v>
      </c>
      <c r="H54" s="400" t="s">
        <v>365</v>
      </c>
      <c r="I54" s="552"/>
      <c r="J54" s="552"/>
      <c r="K54" s="552"/>
      <c r="M54" s="400"/>
      <c r="N54" s="400"/>
      <c r="O54" s="400"/>
      <c r="P54" s="400"/>
      <c r="Q54" s="400"/>
    </row>
    <row r="55" spans="1:17">
      <c r="A55" s="400">
        <v>32.619999999999997</v>
      </c>
      <c r="B55" s="400" t="s">
        <v>364</v>
      </c>
      <c r="C55" s="552"/>
      <c r="D55" s="552"/>
      <c r="E55" s="552"/>
      <c r="F55" s="337"/>
      <c r="G55" s="400">
        <v>32.619999999999997</v>
      </c>
      <c r="H55" s="400" t="s">
        <v>366</v>
      </c>
      <c r="I55" s="552"/>
      <c r="J55" s="552"/>
      <c r="K55" s="552"/>
      <c r="M55" s="400"/>
      <c r="N55" s="400"/>
      <c r="O55" s="400"/>
      <c r="P55" s="400"/>
      <c r="Q55" s="400"/>
    </row>
    <row r="56" spans="1:17">
      <c r="A56" s="400">
        <v>33.69</v>
      </c>
      <c r="B56" s="400" t="s">
        <v>367</v>
      </c>
      <c r="C56" s="552"/>
      <c r="D56" s="552"/>
      <c r="E56" s="552"/>
      <c r="F56" s="337"/>
      <c r="G56" s="400">
        <v>33.69</v>
      </c>
      <c r="H56" s="400" t="s">
        <v>368</v>
      </c>
      <c r="I56" s="552"/>
      <c r="J56" s="552"/>
      <c r="K56" s="552"/>
      <c r="M56" s="400"/>
      <c r="N56" s="400"/>
      <c r="O56" s="400"/>
      <c r="P56" s="400"/>
      <c r="Q56" s="400"/>
    </row>
    <row r="57" spans="1:17">
      <c r="A57" s="400">
        <v>35.31</v>
      </c>
      <c r="B57" s="400" t="s">
        <v>369</v>
      </c>
      <c r="C57" s="552"/>
      <c r="D57" s="552"/>
      <c r="E57" s="552"/>
      <c r="F57" s="337"/>
      <c r="G57" s="400">
        <v>35.31</v>
      </c>
      <c r="H57" s="400" t="s">
        <v>370</v>
      </c>
      <c r="I57" s="552"/>
      <c r="J57" s="553"/>
      <c r="K57" s="552"/>
      <c r="M57" s="400"/>
      <c r="N57" s="400"/>
      <c r="O57" s="400"/>
      <c r="P57" s="400"/>
      <c r="Q57" s="400"/>
    </row>
    <row r="58" spans="1:17">
      <c r="A58" s="400">
        <v>36.47</v>
      </c>
      <c r="B58" s="400" t="s">
        <v>371</v>
      </c>
      <c r="C58" s="552"/>
      <c r="D58" s="552"/>
      <c r="E58" s="552"/>
      <c r="F58" s="337"/>
      <c r="G58" s="400">
        <v>36.47</v>
      </c>
      <c r="H58" s="400" t="s">
        <v>372</v>
      </c>
      <c r="I58" s="552"/>
      <c r="J58" s="400" t="s">
        <v>342</v>
      </c>
      <c r="K58" s="552"/>
      <c r="M58" s="400"/>
      <c r="N58" s="400"/>
      <c r="O58" s="400"/>
      <c r="P58" s="400"/>
      <c r="Q58" s="400"/>
    </row>
    <row r="59" spans="1:17">
      <c r="A59" s="400">
        <v>38.049999999999997</v>
      </c>
      <c r="B59" s="400" t="s">
        <v>373</v>
      </c>
      <c r="C59" s="552"/>
      <c r="D59" s="552"/>
      <c r="E59" s="552"/>
      <c r="F59" s="337"/>
      <c r="G59" s="400">
        <v>38.049999999999997</v>
      </c>
      <c r="H59" s="400" t="s">
        <v>374</v>
      </c>
      <c r="I59" s="552"/>
      <c r="J59" s="551" t="s">
        <v>363</v>
      </c>
      <c r="K59" s="552"/>
      <c r="M59" s="400"/>
      <c r="N59" s="400"/>
      <c r="O59" s="400"/>
      <c r="P59" s="400"/>
      <c r="Q59" s="400"/>
    </row>
    <row r="60" spans="1:17">
      <c r="A60" s="400">
        <v>39.29</v>
      </c>
      <c r="B60" s="400" t="s">
        <v>375</v>
      </c>
      <c r="C60" s="552"/>
      <c r="D60" s="552"/>
      <c r="E60" s="552"/>
      <c r="F60" s="337"/>
      <c r="G60" s="400">
        <v>39.29</v>
      </c>
      <c r="H60" s="400" t="s">
        <v>376</v>
      </c>
      <c r="I60" s="552"/>
      <c r="J60" s="552"/>
      <c r="K60" s="552"/>
      <c r="M60" s="400"/>
      <c r="N60" s="400"/>
      <c r="O60" s="400"/>
      <c r="P60" s="400"/>
      <c r="Q60" s="400"/>
    </row>
    <row r="61" spans="1:17">
      <c r="A61" s="400">
        <v>40.82</v>
      </c>
      <c r="B61" s="400" t="s">
        <v>377</v>
      </c>
      <c r="C61" s="552"/>
      <c r="D61" s="552"/>
      <c r="E61" s="552"/>
      <c r="F61" s="337"/>
      <c r="G61" s="400">
        <v>40.82</v>
      </c>
      <c r="H61" s="400" t="s">
        <v>378</v>
      </c>
      <c r="I61" s="552"/>
      <c r="J61" s="552"/>
      <c r="K61" s="552"/>
      <c r="M61" s="400"/>
      <c r="N61" s="400"/>
      <c r="O61" s="400"/>
      <c r="P61" s="400"/>
      <c r="Q61" s="400"/>
    </row>
    <row r="62" spans="1:17">
      <c r="A62" s="400">
        <v>42.27</v>
      </c>
      <c r="B62" s="551" t="s">
        <v>379</v>
      </c>
      <c r="C62" s="552"/>
      <c r="D62" s="552"/>
      <c r="E62" s="552"/>
      <c r="F62" s="337"/>
      <c r="G62" s="400">
        <v>42.14</v>
      </c>
      <c r="H62" s="400" t="s">
        <v>380</v>
      </c>
      <c r="I62" s="552"/>
      <c r="J62" s="552"/>
      <c r="K62" s="552"/>
      <c r="M62" s="400"/>
      <c r="N62" s="400"/>
      <c r="O62" s="400"/>
      <c r="P62" s="400"/>
      <c r="Q62" s="400"/>
    </row>
    <row r="63" spans="1:17">
      <c r="A63" s="400">
        <v>43.6</v>
      </c>
      <c r="B63" s="553"/>
      <c r="C63" s="552"/>
      <c r="D63" s="552"/>
      <c r="E63" s="552"/>
      <c r="F63" s="337"/>
      <c r="G63" s="400">
        <v>43.6</v>
      </c>
      <c r="H63" s="400" t="s">
        <v>381</v>
      </c>
      <c r="I63" s="552"/>
      <c r="J63" s="553"/>
      <c r="K63" s="552"/>
      <c r="M63" s="400"/>
      <c r="N63" s="400"/>
      <c r="O63" s="400"/>
      <c r="P63" s="400"/>
      <c r="Q63" s="400"/>
    </row>
    <row r="64" spans="1:17">
      <c r="A64" s="400">
        <v>45</v>
      </c>
      <c r="B64" s="551" t="s">
        <v>382</v>
      </c>
      <c r="C64" s="552"/>
      <c r="D64" s="552"/>
      <c r="E64" s="552"/>
      <c r="F64" s="337"/>
      <c r="G64" s="400">
        <v>45</v>
      </c>
      <c r="H64" s="400" t="s">
        <v>382</v>
      </c>
      <c r="I64" s="552"/>
      <c r="J64" s="400" t="s">
        <v>330</v>
      </c>
      <c r="K64" s="552"/>
      <c r="M64" s="400"/>
      <c r="N64" s="400"/>
      <c r="O64" s="400"/>
      <c r="P64" s="400"/>
      <c r="Q64" s="400"/>
    </row>
    <row r="65" spans="1:17">
      <c r="A65" s="400">
        <v>46.4</v>
      </c>
      <c r="B65" s="552"/>
      <c r="C65" s="552"/>
      <c r="D65" s="552"/>
      <c r="E65" s="552"/>
      <c r="F65" s="337"/>
      <c r="G65" s="400">
        <v>46.4</v>
      </c>
      <c r="H65" s="400" t="s">
        <v>346</v>
      </c>
      <c r="I65" s="552"/>
      <c r="J65" s="551" t="s">
        <v>342</v>
      </c>
      <c r="K65" s="552"/>
      <c r="M65" s="400"/>
      <c r="N65" s="400"/>
      <c r="O65" s="400"/>
      <c r="P65" s="400"/>
      <c r="Q65" s="400"/>
    </row>
    <row r="66" spans="1:17">
      <c r="A66" s="400">
        <v>47.86</v>
      </c>
      <c r="B66" s="553"/>
      <c r="C66" s="552"/>
      <c r="D66" s="552"/>
      <c r="E66" s="552"/>
      <c r="F66" s="337"/>
      <c r="G66" s="400">
        <v>47.86</v>
      </c>
      <c r="H66" s="400" t="s">
        <v>383</v>
      </c>
      <c r="I66" s="552"/>
      <c r="J66" s="552"/>
      <c r="K66" s="552"/>
      <c r="M66" s="400"/>
      <c r="N66" s="400"/>
      <c r="O66" s="400"/>
      <c r="P66" s="400"/>
      <c r="Q66" s="400"/>
    </row>
    <row r="67" spans="1:17">
      <c r="A67" s="400">
        <v>49.18</v>
      </c>
      <c r="B67" s="551" t="s">
        <v>384</v>
      </c>
      <c r="C67" s="552"/>
      <c r="D67" s="552"/>
      <c r="E67" s="552"/>
      <c r="F67" s="337"/>
      <c r="G67" s="400">
        <v>49.18</v>
      </c>
      <c r="H67" s="400" t="s">
        <v>349</v>
      </c>
      <c r="I67" s="552"/>
      <c r="J67" s="552"/>
      <c r="K67" s="552"/>
      <c r="M67" s="400"/>
      <c r="N67" s="400"/>
      <c r="O67" s="400"/>
      <c r="P67" s="400"/>
      <c r="Q67" s="400"/>
    </row>
    <row r="68" spans="1:17">
      <c r="A68" s="400">
        <v>50.71</v>
      </c>
      <c r="B68" s="552"/>
      <c r="C68" s="552"/>
      <c r="D68" s="552"/>
      <c r="E68" s="552"/>
      <c r="F68" s="337"/>
      <c r="G68" s="400">
        <v>50.71</v>
      </c>
      <c r="H68" s="400" t="s">
        <v>385</v>
      </c>
      <c r="I68" s="552"/>
      <c r="J68" s="553"/>
      <c r="K68" s="552"/>
      <c r="M68" s="400"/>
      <c r="N68" s="400"/>
      <c r="O68" s="400"/>
      <c r="P68" s="400"/>
      <c r="Q68" s="400"/>
    </row>
    <row r="69" spans="1:17">
      <c r="A69" s="400">
        <v>51.95</v>
      </c>
      <c r="B69" s="552"/>
      <c r="C69" s="552"/>
      <c r="D69" s="552"/>
      <c r="E69" s="552"/>
      <c r="F69" s="337"/>
      <c r="G69" s="400">
        <v>51.95</v>
      </c>
      <c r="H69" s="400" t="s">
        <v>358</v>
      </c>
      <c r="I69" s="552"/>
      <c r="J69" s="400" t="s">
        <v>363</v>
      </c>
      <c r="K69" s="552"/>
      <c r="M69" s="400"/>
      <c r="N69" s="400"/>
      <c r="O69" s="400"/>
      <c r="P69" s="400"/>
      <c r="Q69" s="400"/>
    </row>
    <row r="70" spans="1:17">
      <c r="A70" s="400">
        <v>53.53</v>
      </c>
      <c r="B70" s="552"/>
      <c r="C70" s="552"/>
      <c r="D70" s="552"/>
      <c r="E70" s="552"/>
      <c r="F70" s="337"/>
      <c r="G70" s="400">
        <v>53.53</v>
      </c>
      <c r="H70" s="400" t="s">
        <v>386</v>
      </c>
      <c r="I70" s="552"/>
      <c r="J70" s="551" t="s">
        <v>342</v>
      </c>
      <c r="K70" s="552"/>
      <c r="M70" s="400"/>
      <c r="N70" s="400"/>
      <c r="O70" s="400"/>
      <c r="P70" s="400"/>
      <c r="Q70" s="400"/>
    </row>
    <row r="71" spans="1:17">
      <c r="A71" s="400">
        <v>54.69</v>
      </c>
      <c r="B71" s="553"/>
      <c r="C71" s="552"/>
      <c r="D71" s="552"/>
      <c r="E71" s="552"/>
      <c r="F71" s="337"/>
      <c r="G71" s="400">
        <v>54.69</v>
      </c>
      <c r="H71" s="400" t="s">
        <v>387</v>
      </c>
      <c r="I71" s="552"/>
      <c r="J71" s="553"/>
      <c r="K71" s="552"/>
      <c r="M71" s="400"/>
      <c r="N71" s="400"/>
      <c r="O71" s="400"/>
      <c r="P71" s="400"/>
      <c r="Q71" s="400"/>
    </row>
    <row r="72" spans="1:17">
      <c r="A72" s="400">
        <v>56.31</v>
      </c>
      <c r="B72" s="551" t="s">
        <v>388</v>
      </c>
      <c r="C72" s="552"/>
      <c r="D72" s="552"/>
      <c r="E72" s="552"/>
      <c r="F72" s="337"/>
      <c r="G72" s="400">
        <v>56.31</v>
      </c>
      <c r="H72" s="400" t="s">
        <v>382</v>
      </c>
      <c r="I72" s="552"/>
      <c r="J72" s="403" t="s">
        <v>330</v>
      </c>
      <c r="K72" s="552"/>
      <c r="M72" s="400"/>
      <c r="N72" s="400"/>
      <c r="O72" s="400"/>
      <c r="P72" s="400"/>
      <c r="Q72" s="400"/>
    </row>
    <row r="73" spans="1:17">
      <c r="A73" s="400">
        <v>57.38</v>
      </c>
      <c r="B73" s="552"/>
      <c r="C73" s="552"/>
      <c r="D73" s="552"/>
      <c r="E73" s="552"/>
      <c r="F73" s="337"/>
      <c r="G73" s="400">
        <v>57.38</v>
      </c>
      <c r="H73" s="400" t="s">
        <v>389</v>
      </c>
      <c r="I73" s="553"/>
      <c r="J73" s="404"/>
      <c r="K73" s="552"/>
      <c r="M73" s="400"/>
      <c r="N73" s="400"/>
      <c r="O73" s="400"/>
      <c r="P73" s="400"/>
      <c r="Q73" s="400"/>
    </row>
    <row r="74" spans="1:17">
      <c r="A74" s="400">
        <v>59.04</v>
      </c>
      <c r="B74" s="552"/>
      <c r="C74" s="552"/>
      <c r="D74" s="552"/>
      <c r="E74" s="552"/>
      <c r="F74" s="337"/>
      <c r="G74" s="400">
        <v>59.04</v>
      </c>
      <c r="H74" s="400" t="s">
        <v>390</v>
      </c>
      <c r="I74" s="400">
        <v>275.2</v>
      </c>
      <c r="J74" s="400" t="s">
        <v>330</v>
      </c>
      <c r="K74" s="552"/>
      <c r="M74" s="400"/>
      <c r="N74" s="400"/>
      <c r="O74" s="400"/>
      <c r="P74" s="400"/>
      <c r="Q74" s="400"/>
    </row>
    <row r="75" spans="1:17">
      <c r="A75" s="400">
        <v>60.75</v>
      </c>
      <c r="B75" s="552"/>
      <c r="C75" s="552"/>
      <c r="D75" s="552"/>
      <c r="E75" s="552"/>
      <c r="F75" s="337"/>
      <c r="G75" s="400">
        <v>60.75</v>
      </c>
      <c r="H75" s="400" t="s">
        <v>391</v>
      </c>
      <c r="I75" s="400">
        <v>276</v>
      </c>
      <c r="J75" s="400" t="s">
        <v>330</v>
      </c>
      <c r="K75" s="553"/>
      <c r="M75" s="400"/>
      <c r="N75" s="400"/>
      <c r="O75" s="400"/>
      <c r="P75" s="400"/>
      <c r="Q75" s="400"/>
    </row>
    <row r="76" spans="1:17">
      <c r="A76" s="400">
        <v>61.7</v>
      </c>
      <c r="B76" s="552"/>
      <c r="C76" s="552"/>
      <c r="D76" s="552"/>
      <c r="E76" s="552"/>
      <c r="F76" s="337"/>
      <c r="G76" s="400">
        <v>61.7</v>
      </c>
      <c r="H76" s="400" t="s">
        <v>392</v>
      </c>
      <c r="I76" s="551">
        <v>276</v>
      </c>
      <c r="J76" s="551" t="s">
        <v>330</v>
      </c>
      <c r="K76" s="551">
        <v>2</v>
      </c>
      <c r="M76" s="400"/>
      <c r="N76" s="400"/>
      <c r="O76" s="400"/>
      <c r="P76" s="400"/>
      <c r="Q76" s="400"/>
    </row>
    <row r="77" spans="1:17">
      <c r="A77" s="400">
        <v>63.43</v>
      </c>
      <c r="B77" s="552"/>
      <c r="C77" s="552"/>
      <c r="D77" s="552"/>
      <c r="E77" s="552"/>
      <c r="F77" s="337"/>
      <c r="G77" s="400">
        <v>63.43</v>
      </c>
      <c r="H77" s="400" t="s">
        <v>393</v>
      </c>
      <c r="I77" s="552"/>
      <c r="J77" s="552"/>
      <c r="K77" s="552"/>
      <c r="M77" s="400"/>
      <c r="N77" s="400"/>
      <c r="O77" s="400"/>
      <c r="P77" s="400"/>
      <c r="Q77" s="400"/>
    </row>
    <row r="78" spans="1:17">
      <c r="A78" s="400">
        <v>65.22</v>
      </c>
      <c r="B78" s="552"/>
      <c r="C78" s="552"/>
      <c r="D78" s="552"/>
      <c r="E78" s="552"/>
      <c r="F78" s="337"/>
      <c r="G78" s="400">
        <v>65.22</v>
      </c>
      <c r="H78" s="400" t="s">
        <v>394</v>
      </c>
      <c r="I78" s="553"/>
      <c r="J78" s="552"/>
      <c r="K78" s="552"/>
      <c r="M78" s="400"/>
      <c r="N78" s="400"/>
      <c r="O78" s="400"/>
      <c r="P78" s="400"/>
      <c r="Q78" s="400"/>
    </row>
    <row r="79" spans="1:17">
      <c r="A79" s="400">
        <v>66.040000000000006</v>
      </c>
      <c r="B79" s="552"/>
      <c r="C79" s="552"/>
      <c r="D79" s="552"/>
      <c r="E79" s="552"/>
      <c r="F79" s="337"/>
      <c r="G79" s="400">
        <v>66.040000000000006</v>
      </c>
      <c r="H79" s="400" t="s">
        <v>395</v>
      </c>
      <c r="I79" s="551">
        <v>275.2</v>
      </c>
      <c r="J79" s="552"/>
      <c r="K79" s="552"/>
      <c r="M79" s="400"/>
      <c r="N79" s="400"/>
      <c r="O79" s="400"/>
      <c r="P79" s="400"/>
      <c r="Q79" s="400"/>
    </row>
    <row r="80" spans="1:17">
      <c r="A80" s="400">
        <v>67.83</v>
      </c>
      <c r="B80" s="552"/>
      <c r="C80" s="552"/>
      <c r="D80" s="552"/>
      <c r="E80" s="552"/>
      <c r="F80" s="337"/>
      <c r="G80" s="400">
        <v>67.83</v>
      </c>
      <c r="H80" s="400" t="s">
        <v>396</v>
      </c>
      <c r="I80" s="553"/>
      <c r="J80" s="552"/>
      <c r="K80" s="552"/>
      <c r="M80" s="400"/>
      <c r="N80" s="400"/>
      <c r="O80" s="400"/>
      <c r="P80" s="400"/>
      <c r="Q80" s="400"/>
    </row>
    <row r="81" spans="1:17">
      <c r="A81" s="400">
        <v>69.680000000000007</v>
      </c>
      <c r="B81" s="552"/>
      <c r="C81" s="552"/>
      <c r="D81" s="552"/>
      <c r="E81" s="552"/>
      <c r="F81" s="337"/>
      <c r="G81" s="400">
        <v>69.680000000000007</v>
      </c>
      <c r="H81" s="400" t="s">
        <v>397</v>
      </c>
      <c r="I81" s="551">
        <v>276</v>
      </c>
      <c r="J81" s="552"/>
      <c r="K81" s="552"/>
      <c r="M81" s="400"/>
      <c r="N81" s="400"/>
      <c r="O81" s="400"/>
      <c r="P81" s="400"/>
      <c r="Q81" s="400"/>
    </row>
    <row r="82" spans="1:17">
      <c r="A82" s="400">
        <v>71.569999999999993</v>
      </c>
      <c r="B82" s="552"/>
      <c r="C82" s="552"/>
      <c r="D82" s="552"/>
      <c r="E82" s="552"/>
      <c r="F82" s="337"/>
      <c r="G82" s="400">
        <v>71.569999999999993</v>
      </c>
      <c r="H82" s="400" t="s">
        <v>398</v>
      </c>
      <c r="I82" s="552"/>
      <c r="J82" s="553"/>
      <c r="K82" s="552"/>
      <c r="M82" s="400"/>
      <c r="N82" s="400"/>
      <c r="O82" s="400"/>
      <c r="P82" s="400"/>
      <c r="Q82" s="400"/>
    </row>
    <row r="83" spans="1:17">
      <c r="A83" s="400">
        <v>72.180000000000007</v>
      </c>
      <c r="B83" s="552"/>
      <c r="C83" s="552"/>
      <c r="D83" s="552"/>
      <c r="E83" s="552"/>
      <c r="F83" s="337"/>
      <c r="G83" s="400">
        <v>72.180000000000007</v>
      </c>
      <c r="H83" s="400" t="s">
        <v>399</v>
      </c>
      <c r="I83" s="552"/>
      <c r="J83" s="400" t="s">
        <v>342</v>
      </c>
      <c r="K83" s="552"/>
      <c r="M83" s="400"/>
      <c r="N83" s="400"/>
      <c r="O83" s="400"/>
      <c r="P83" s="400"/>
      <c r="Q83" s="400"/>
    </row>
    <row r="84" spans="1:17">
      <c r="A84" s="400">
        <v>74.05</v>
      </c>
      <c r="B84" s="552"/>
      <c r="C84" s="552"/>
      <c r="D84" s="552"/>
      <c r="E84" s="552"/>
      <c r="F84" s="337"/>
      <c r="G84" s="400">
        <v>74.05</v>
      </c>
      <c r="H84" s="551" t="s">
        <v>332</v>
      </c>
      <c r="I84" s="552"/>
      <c r="J84" s="551" t="s">
        <v>330</v>
      </c>
      <c r="K84" s="552"/>
      <c r="M84" s="400"/>
      <c r="N84" s="400"/>
      <c r="O84" s="400"/>
      <c r="P84" s="400"/>
      <c r="Q84" s="400"/>
    </row>
    <row r="85" spans="1:17">
      <c r="A85" s="400">
        <v>75.959999999999994</v>
      </c>
      <c r="B85" s="552"/>
      <c r="C85" s="552"/>
      <c r="D85" s="552"/>
      <c r="E85" s="552"/>
      <c r="F85" s="337"/>
      <c r="G85" s="400">
        <v>75.959999999999994</v>
      </c>
      <c r="H85" s="552"/>
      <c r="I85" s="552"/>
      <c r="J85" s="552"/>
      <c r="K85" s="552"/>
      <c r="M85" s="400"/>
      <c r="N85" s="400"/>
      <c r="O85" s="400"/>
      <c r="P85" s="400"/>
      <c r="Q85" s="400"/>
    </row>
    <row r="86" spans="1:17">
      <c r="A86" s="400">
        <v>77.91</v>
      </c>
      <c r="B86" s="552"/>
      <c r="C86" s="552"/>
      <c r="D86" s="552"/>
      <c r="E86" s="552"/>
      <c r="F86" s="337"/>
      <c r="G86" s="400">
        <v>77.91</v>
      </c>
      <c r="H86" s="552"/>
      <c r="I86" s="552"/>
      <c r="J86" s="552"/>
      <c r="K86" s="552"/>
      <c r="M86" s="400"/>
      <c r="N86" s="400"/>
      <c r="O86" s="400"/>
      <c r="P86" s="400"/>
      <c r="Q86" s="400"/>
    </row>
    <row r="87" spans="1:17">
      <c r="A87" s="400">
        <v>78.31</v>
      </c>
      <c r="B87" s="552"/>
      <c r="C87" s="552"/>
      <c r="D87" s="552"/>
      <c r="E87" s="552"/>
      <c r="F87" s="337"/>
      <c r="G87" s="400">
        <v>78.31</v>
      </c>
      <c r="H87" s="552"/>
      <c r="I87" s="552"/>
      <c r="J87" s="552"/>
      <c r="K87" s="552"/>
      <c r="M87" s="400"/>
      <c r="N87" s="400"/>
      <c r="O87" s="400"/>
      <c r="P87" s="400"/>
      <c r="Q87" s="400"/>
    </row>
    <row r="88" spans="1:17">
      <c r="A88" s="400">
        <v>80.22</v>
      </c>
      <c r="B88" s="552"/>
      <c r="C88" s="552"/>
      <c r="D88" s="552"/>
      <c r="E88" s="552"/>
      <c r="F88" s="337"/>
      <c r="G88" s="400">
        <v>80.22</v>
      </c>
      <c r="H88" s="553"/>
      <c r="I88" s="552"/>
      <c r="J88" s="552"/>
      <c r="K88" s="552"/>
      <c r="M88" s="400"/>
      <c r="N88" s="400"/>
      <c r="O88" s="400"/>
      <c r="P88" s="400"/>
      <c r="Q88" s="400"/>
    </row>
    <row r="89" spans="1:17">
      <c r="A89" s="400">
        <v>82.15</v>
      </c>
      <c r="B89" s="553"/>
      <c r="C89" s="553"/>
      <c r="D89" s="553"/>
      <c r="E89" s="553"/>
      <c r="F89" s="337"/>
      <c r="G89" s="400">
        <v>82.15</v>
      </c>
      <c r="H89" s="551" t="s">
        <v>329</v>
      </c>
      <c r="I89" s="552"/>
      <c r="J89" s="552"/>
      <c r="K89" s="552"/>
      <c r="M89" s="400"/>
      <c r="N89" s="400"/>
      <c r="O89" s="400"/>
      <c r="P89" s="400"/>
      <c r="Q89" s="400"/>
    </row>
    <row r="90" spans="1:17">
      <c r="A90" s="404">
        <v>84.09</v>
      </c>
      <c r="B90" s="551" t="s">
        <v>329</v>
      </c>
      <c r="C90" s="551">
        <v>276</v>
      </c>
      <c r="D90" s="551" t="s">
        <v>330</v>
      </c>
      <c r="E90" s="551">
        <v>2</v>
      </c>
      <c r="F90" s="337"/>
      <c r="G90" s="400">
        <v>84.09</v>
      </c>
      <c r="H90" s="552"/>
      <c r="I90" s="552"/>
      <c r="J90" s="552"/>
      <c r="K90" s="552"/>
      <c r="M90" s="400"/>
      <c r="N90" s="400"/>
      <c r="O90" s="400"/>
      <c r="P90" s="400"/>
      <c r="Q90" s="400"/>
    </row>
    <row r="91" spans="1:17">
      <c r="A91" s="400">
        <v>86.05</v>
      </c>
      <c r="B91" s="552"/>
      <c r="C91" s="552"/>
      <c r="D91" s="552"/>
      <c r="E91" s="552"/>
      <c r="F91" s="337"/>
      <c r="G91" s="400">
        <v>86.05</v>
      </c>
      <c r="H91" s="552"/>
      <c r="I91" s="552"/>
      <c r="J91" s="552"/>
      <c r="K91" s="552"/>
      <c r="M91" s="400"/>
      <c r="N91" s="400"/>
      <c r="O91" s="400"/>
      <c r="P91" s="400"/>
      <c r="Q91" s="400"/>
    </row>
    <row r="92" spans="1:17">
      <c r="A92" s="400">
        <v>88.03</v>
      </c>
      <c r="B92" s="552"/>
      <c r="C92" s="552"/>
      <c r="D92" s="552"/>
      <c r="E92" s="552"/>
      <c r="F92" s="337"/>
      <c r="G92" s="400">
        <v>88.03</v>
      </c>
      <c r="H92" s="552"/>
      <c r="I92" s="552"/>
      <c r="J92" s="552"/>
      <c r="K92" s="552"/>
      <c r="M92" s="400"/>
      <c r="N92" s="400"/>
      <c r="O92" s="400"/>
      <c r="P92" s="400"/>
      <c r="Q92" s="400"/>
    </row>
    <row r="93" spans="1:17">
      <c r="A93" s="400">
        <v>90</v>
      </c>
      <c r="B93" s="553"/>
      <c r="C93" s="553"/>
      <c r="D93" s="553"/>
      <c r="E93" s="553"/>
      <c r="F93" s="337"/>
      <c r="G93" s="400">
        <v>90</v>
      </c>
      <c r="H93" s="553"/>
      <c r="I93" s="553"/>
      <c r="J93" s="553"/>
      <c r="K93" s="553"/>
      <c r="M93" s="400"/>
      <c r="N93" s="400"/>
      <c r="O93" s="400"/>
      <c r="P93" s="400"/>
      <c r="Q93" s="400"/>
    </row>
    <row r="94" spans="1:17">
      <c r="M94" s="400"/>
      <c r="N94" s="400"/>
      <c r="O94" s="400"/>
      <c r="P94" s="400"/>
      <c r="Q94" s="400"/>
    </row>
  </sheetData>
  <mergeCells count="44">
    <mergeCell ref="A30:Q31"/>
    <mergeCell ref="B34:B36"/>
    <mergeCell ref="C34:C38"/>
    <mergeCell ref="D34:D38"/>
    <mergeCell ref="E34:E38"/>
    <mergeCell ref="I34:I39"/>
    <mergeCell ref="Q34:Q39"/>
    <mergeCell ref="O41:O46"/>
    <mergeCell ref="Q41:Q46"/>
    <mergeCell ref="J53:J57"/>
    <mergeCell ref="J59:J63"/>
    <mergeCell ref="J34:J39"/>
    <mergeCell ref="K34:K75"/>
    <mergeCell ref="N34:N39"/>
    <mergeCell ref="O34:O39"/>
    <mergeCell ref="P34:P39"/>
    <mergeCell ref="I40:I41"/>
    <mergeCell ref="J40:J41"/>
    <mergeCell ref="B41:B42"/>
    <mergeCell ref="C41:C89"/>
    <mergeCell ref="D41:D89"/>
    <mergeCell ref="E41:E89"/>
    <mergeCell ref="I43:I52"/>
    <mergeCell ref="J43:J52"/>
    <mergeCell ref="B45:B46"/>
    <mergeCell ref="I53:I73"/>
    <mergeCell ref="B62:B63"/>
    <mergeCell ref="B64:B66"/>
    <mergeCell ref="J65:J68"/>
    <mergeCell ref="B67:B71"/>
    <mergeCell ref="J70:J71"/>
    <mergeCell ref="B90:B93"/>
    <mergeCell ref="C90:C93"/>
    <mergeCell ref="D90:D93"/>
    <mergeCell ref="E90:E93"/>
    <mergeCell ref="K76:K93"/>
    <mergeCell ref="I79:I80"/>
    <mergeCell ref="I81:I93"/>
    <mergeCell ref="H84:H88"/>
    <mergeCell ref="J84:J93"/>
    <mergeCell ref="H89:H93"/>
    <mergeCell ref="B72:B89"/>
    <mergeCell ref="I76:I78"/>
    <mergeCell ref="J76:J8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C356F-DEDF-463F-9442-3A1BFB66DA3F}">
  <dimension ref="A1:AB31"/>
  <sheetViews>
    <sheetView workbookViewId="0">
      <selection activeCell="V10" sqref="V10"/>
    </sheetView>
  </sheetViews>
  <sheetFormatPr defaultRowHeight="15"/>
  <sheetData>
    <row r="1" spans="1:25" ht="15.75" thickBot="1">
      <c r="A1" s="407" t="s">
        <v>80</v>
      </c>
      <c r="B1" s="408">
        <v>1</v>
      </c>
      <c r="E1" s="409" t="s">
        <v>401</v>
      </c>
      <c r="F1" s="410" t="s">
        <v>442</v>
      </c>
      <c r="G1" s="411" t="s">
        <v>443</v>
      </c>
      <c r="H1" s="412"/>
      <c r="I1" s="413" t="s">
        <v>402</v>
      </c>
      <c r="J1" s="410" t="s">
        <v>442</v>
      </c>
      <c r="K1" s="411" t="s">
        <v>443</v>
      </c>
      <c r="L1" s="414"/>
      <c r="M1" s="415" t="s">
        <v>403</v>
      </c>
      <c r="N1" s="410" t="s">
        <v>442</v>
      </c>
      <c r="O1" s="411" t="s">
        <v>443</v>
      </c>
      <c r="P1" s="416"/>
      <c r="Q1" s="417" t="s">
        <v>404</v>
      </c>
      <c r="R1" s="410" t="s">
        <v>442</v>
      </c>
      <c r="S1" s="411" t="s">
        <v>443</v>
      </c>
      <c r="U1" s="418" t="s">
        <v>444</v>
      </c>
      <c r="V1" s="419" t="s">
        <v>442</v>
      </c>
      <c r="W1" s="419" t="s">
        <v>443</v>
      </c>
    </row>
    <row r="2" spans="1:25" ht="15.75" thickBot="1">
      <c r="A2" s="407" t="s">
        <v>445</v>
      </c>
      <c r="B2" s="420">
        <v>5</v>
      </c>
      <c r="E2" s="416" t="s">
        <v>83</v>
      </c>
      <c r="F2" s="421">
        <f>('Cálculos ICE SPA'!B3*'Cálculos ICE SPA'!P1)/B3</f>
        <v>0.74152830550201543</v>
      </c>
      <c r="G2" s="422">
        <f>('Cálculos ICE SPA'!B3*'Cálculos ICE SPA'!P1)/B3</f>
        <v>0.74152830550201543</v>
      </c>
      <c r="H2" s="423"/>
      <c r="I2" s="416" t="s">
        <v>83</v>
      </c>
      <c r="J2" s="421">
        <f>('Cálculos ICE SPA'!B8*('Cálculos ICE SPA'!P1*'Cálculos ICE SPA'!F8))/B3</f>
        <v>0.69457389250926016</v>
      </c>
      <c r="K2" s="422">
        <f>('Cálculos ICE SPA'!B8*('Cálculos ICE SPA'!P1/'Cálculos ICE SPA'!G8))/B3</f>
        <v>0.71357987719588678</v>
      </c>
      <c r="L2" s="424"/>
      <c r="M2" s="416" t="s">
        <v>83</v>
      </c>
      <c r="N2" s="425">
        <f>('Cálculos ICE SPA'!B11*'Cálculos ICE SPA'!P1)/B3</f>
        <v>0.82928789866132024</v>
      </c>
      <c r="O2" s="426">
        <f>('Cálculos ICE SPA'!B11*'Cálculos ICE SPA'!P1)/B3</f>
        <v>0.82928789866132024</v>
      </c>
      <c r="P2" s="425"/>
      <c r="Q2" s="416" t="s">
        <v>83</v>
      </c>
      <c r="R2" s="421">
        <f>(('Cálculos ICE SPA'!B15*('Cálculos ICE SPA'!P1))+R5)/0.2165</f>
        <v>-9.2676881833469142</v>
      </c>
      <c r="S2" s="422">
        <f>(('Cálculos ICE SPA'!B15*('Cálculos ICE SPA'!P1))+R5)/0.2165</f>
        <v>-9.2676881833469142</v>
      </c>
      <c r="U2" s="419" t="s">
        <v>83</v>
      </c>
      <c r="V2" s="427">
        <f>('Cálculos ICE SPA'!B20*'Cálculos ICE SPA'!P1)/0.2165</f>
        <v>0.3663359163989327</v>
      </c>
      <c r="W2" s="427">
        <f>('Cálculos ICE SPA'!B20*'Cálculos ICE SPA'!P1)/0.2165</f>
        <v>0.3663359163989327</v>
      </c>
      <c r="Y2" t="s">
        <v>446</v>
      </c>
    </row>
    <row r="3" spans="1:25" ht="15.75" thickBot="1">
      <c r="A3" s="407" t="s">
        <v>447</v>
      </c>
      <c r="B3" s="428">
        <v>0.2165</v>
      </c>
      <c r="E3" s="414" t="s">
        <v>5</v>
      </c>
      <c r="F3" s="424">
        <f>'Cálculos ICE SPA'!C3-('Cálculos ICE SPA'!D3*'Cálculos ICE SPA'!P2)</f>
        <v>96.963431587919374</v>
      </c>
      <c r="G3" s="429">
        <f>'Cálculos ICE SPA'!C3+('Cálculos ICE SPA'!E3*'Cálculos ICE SPA'!P2)</f>
        <v>98.277412394702381</v>
      </c>
      <c r="H3" s="430"/>
      <c r="I3" s="414" t="s">
        <v>5</v>
      </c>
      <c r="J3" s="424">
        <f>'Cálculos ICE SPA'!C8-('Cálculos ICE SPA'!D8*'Cálculos ICE SPA'!P2)</f>
        <v>95.88296813548844</v>
      </c>
      <c r="K3" s="429">
        <f>'Cálculos ICE SPA'!C8+('Cálculos ICE SPA'!E8*'Cálculos ICE SPA'!P2)</f>
        <v>97.491822572906599</v>
      </c>
      <c r="L3" s="429"/>
      <c r="M3" s="414" t="s">
        <v>5</v>
      </c>
      <c r="N3" s="424">
        <f>'Cálculos ICE SPA'!C11-('Cálculos ICE SPA'!D11*'Cálculos ICE SPA'!P2)</f>
        <v>94.413006188507524</v>
      </c>
      <c r="O3" s="429">
        <f>'Cálculos ICE SPA'!C11+('Cálculos ICE SPA'!E11*'Cálculos ICE SPA'!P2)</f>
        <v>96.016879652435236</v>
      </c>
      <c r="P3" s="426"/>
      <c r="Q3" s="414" t="s">
        <v>5</v>
      </c>
      <c r="R3" s="424">
        <f>'Cálculos ICE SPA'!C15-('Cálculos ICE SPA'!D15*'Cálculos ICE SPA'!P2)</f>
        <v>95.743881407946418</v>
      </c>
      <c r="S3" s="429">
        <f>'Cálculos ICE SPA'!C15+('Cálculos ICE SPA'!E15*'Cálculos ICE SPA'!P2)</f>
        <v>97.776118592053592</v>
      </c>
      <c r="U3" s="431" t="s">
        <v>5</v>
      </c>
      <c r="V3" s="427">
        <f>'Cálculos ICE SPA'!C20-('Cálculos ICE SPA'!P2*'Cálculos ICE SPA'!D20)</f>
        <v>94.350951325477055</v>
      </c>
      <c r="W3" s="427">
        <f>'Cálculos ICE SPA'!C20+('Cálculos ICE SPA'!P2*'Cálculos ICE SPA'!E20)</f>
        <v>94.898858409427518</v>
      </c>
    </row>
    <row r="4" spans="1:25" ht="15.75" thickBot="1">
      <c r="E4" s="412" t="s">
        <v>448</v>
      </c>
      <c r="F4" s="423">
        <f>INDEX(Calibrador!C3:C111,(ROUNDUP(((F3-70)/(20/72))+1,0)),1)</f>
        <v>287.77777777777806</v>
      </c>
      <c r="G4" s="430">
        <f>INDEX(Calibrador!C3:C111,(ROUNDUP(((G3-70)/(20/72))+1,0)),1)</f>
        <v>291.06666666666683</v>
      </c>
      <c r="I4" s="412" t="s">
        <v>448</v>
      </c>
      <c r="J4" s="423">
        <f>INDEX(Calibrador!B3:B111,(ROUNDUP(((J3-70)/(20/72))+1,0)),1)</f>
        <v>269.1111111111112</v>
      </c>
      <c r="K4" s="430">
        <f>INDEX(Calibrador!B3:B111,(ROUNDUP(((K3-70)/(20/72))+1,0)),1)</f>
        <v>273.00000000000006</v>
      </c>
      <c r="M4" s="412" t="s">
        <v>448</v>
      </c>
      <c r="N4" s="423">
        <f>INDEX(Calibrador!C3:C111,(ROUNDUP(((N3-70)/(20/72))+1,0)),1)</f>
        <v>279.55555555555611</v>
      </c>
      <c r="O4" s="430">
        <f>INDEX(Calibrador!C3:C111,(ROUNDUP(((O3-70)/(20/72))+1,0)),1)</f>
        <v>284.48888888888928</v>
      </c>
      <c r="Q4" s="412" t="s">
        <v>448</v>
      </c>
      <c r="R4" s="423">
        <f>INDEX(Calibrador!B3:B111,(ROUNDUP(((R3-70)/(20/72))+1,0)),1)</f>
        <v>268.33333333333343</v>
      </c>
      <c r="S4" s="430">
        <f>INDEX(Calibrador!B3:B111,(ROUNDUP(((S3-70)/(20/72))+1,0)),1)</f>
        <v>273.77777777777783</v>
      </c>
      <c r="U4" s="412" t="s">
        <v>448</v>
      </c>
      <c r="V4" s="432">
        <f>INDEX(Calibrador!F3:F111,(ROUNDUP(((V3-70)/(20/72))+1,0)),1)</f>
        <v>260.66666666666697</v>
      </c>
      <c r="W4" s="432">
        <f>INDEX(Calibrador!F3:F111,(ROUNDUP(((W3-70)/(20/72))+1,0)),1)</f>
        <v>262.20000000000027</v>
      </c>
      <c r="Y4" t="s">
        <v>449</v>
      </c>
    </row>
    <row r="5" spans="1:25" ht="15.75" thickBot="1">
      <c r="A5" s="591" t="s">
        <v>450</v>
      </c>
      <c r="B5" s="592"/>
      <c r="E5" s="433"/>
      <c r="F5" s="433"/>
      <c r="G5" s="433"/>
      <c r="I5" s="570" t="s">
        <v>451</v>
      </c>
      <c r="J5" s="571"/>
      <c r="K5" s="572"/>
      <c r="M5" s="570" t="s">
        <v>451</v>
      </c>
      <c r="N5" s="571"/>
      <c r="O5" s="572"/>
      <c r="Q5" s="434" t="s">
        <v>261</v>
      </c>
      <c r="R5" s="593">
        <v>-2.15</v>
      </c>
      <c r="S5" s="594"/>
      <c r="Y5" t="s">
        <v>452</v>
      </c>
    </row>
    <row r="6" spans="1:25" ht="15.75" thickBot="1">
      <c r="E6" s="409" t="s">
        <v>405</v>
      </c>
      <c r="F6" s="410" t="s">
        <v>442</v>
      </c>
      <c r="G6" s="411" t="s">
        <v>443</v>
      </c>
      <c r="I6" s="413" t="s">
        <v>406</v>
      </c>
      <c r="J6" s="410" t="s">
        <v>442</v>
      </c>
      <c r="K6" s="411" t="s">
        <v>443</v>
      </c>
      <c r="M6" s="415" t="s">
        <v>407</v>
      </c>
      <c r="N6" s="410" t="s">
        <v>442</v>
      </c>
      <c r="O6" s="411" t="s">
        <v>443</v>
      </c>
      <c r="Q6" s="417" t="s">
        <v>408</v>
      </c>
      <c r="R6" s="410" t="s">
        <v>442</v>
      </c>
      <c r="S6" s="411" t="s">
        <v>443</v>
      </c>
      <c r="U6" s="418" t="s">
        <v>453</v>
      </c>
      <c r="V6" s="419" t="s">
        <v>442</v>
      </c>
      <c r="W6" s="419" t="s">
        <v>443</v>
      </c>
    </row>
    <row r="7" spans="1:25" ht="15.75" thickBot="1">
      <c r="A7" s="595" t="s">
        <v>454</v>
      </c>
      <c r="B7" s="596"/>
      <c r="E7" s="416" t="s">
        <v>83</v>
      </c>
      <c r="F7" s="425">
        <f>('Cálculos ICE SPA'!B4*'Cálculos ICE SPA'!P1)/B3</f>
        <v>0.73267183279786541</v>
      </c>
      <c r="G7" s="426">
        <f>('Cálculos ICE SPA'!B4*'Cálculos ICE SPA'!P1)/B3</f>
        <v>0.73267183279786541</v>
      </c>
      <c r="I7" s="416" t="s">
        <v>83</v>
      </c>
      <c r="J7" s="425">
        <f>('Cálculos ICE SPA'!B9*('Cálculos ICE SPA'!P1*'Cálculos ICE SPA'!F9))/B3</f>
        <v>0.69854742736343212</v>
      </c>
      <c r="K7" s="426">
        <f>('Cálculos ICE SPA'!B9*('Cálculos ICE SPA'!P1/'Cálculos ICE SPA'!G9))/B3</f>
        <v>0.71763797668119644</v>
      </c>
      <c r="M7" s="416" t="s">
        <v>83</v>
      </c>
      <c r="N7" s="425">
        <f>('Cálculos ICE SPA'!B12*'Cálculos ICE SPA'!P1)/B3</f>
        <v>0.84418287548193605</v>
      </c>
      <c r="O7" s="426">
        <f>('Cálculos ICE SPA'!B12*'Cálculos ICE SPA'!P1)/B3</f>
        <v>0.84418287548193605</v>
      </c>
      <c r="Q7" s="416" t="s">
        <v>83</v>
      </c>
      <c r="R7" s="425">
        <f>(('Cálculos ICE SPA'!B16*('Cálculos ICE SPA'!P1))+R10)/0.2165</f>
        <v>12.442526445882843</v>
      </c>
      <c r="S7" s="426">
        <f>(('Cálculos ICE SPA'!B16*('Cálculos ICE SPA'!P1))+R10)/0.2165</f>
        <v>12.442526445882843</v>
      </c>
      <c r="U7" s="419" t="s">
        <v>83</v>
      </c>
      <c r="V7" s="427">
        <f>('Cálculos ICE SPA'!B21*'Cálculos ICE SPA'!P1)/0.2165</f>
        <v>0.36118305955288177</v>
      </c>
      <c r="W7" s="427">
        <f>('Cálculos ICE SPA'!B21*'Cálculos ICE SPA'!P1)/0.2165</f>
        <v>0.36118305955288177</v>
      </c>
    </row>
    <row r="8" spans="1:25" ht="15.75" thickBot="1">
      <c r="B8" s="435"/>
      <c r="E8" s="414" t="s">
        <v>5</v>
      </c>
      <c r="F8" s="424">
        <f>'Cálculos ICE SPA'!C4-('Cálculos ICE SPA'!D4*'Cálculos ICE SPA'!P2)</f>
        <v>97.753044241526595</v>
      </c>
      <c r="G8" s="429">
        <f>'Cálculos ICE SPA'!C4+('Cálculos ICE SPA'!E4*'Cálculos ICE SPA'!P2)</f>
        <v>99.785281425633755</v>
      </c>
      <c r="I8" s="414" t="s">
        <v>5</v>
      </c>
      <c r="J8" s="424">
        <f>'Cálculos ICE SPA'!C9-('Cálculos ICE SPA'!D9*'Cálculos ICE SPA'!P2)</f>
        <v>96.444968135488438</v>
      </c>
      <c r="K8" s="429">
        <f>'Cálculos ICE SPA'!C9+('Cálculos ICE SPA'!E9*'Cálculos ICE SPA'!P2)</f>
        <v>98.051830183510418</v>
      </c>
      <c r="M8" s="414" t="s">
        <v>5</v>
      </c>
      <c r="N8" s="424">
        <f>'Cálculos ICE SPA'!C12-('Cálculos ICE SPA'!D12*'Cálculos ICE SPA'!P2)</f>
        <v>98.052663711335782</v>
      </c>
      <c r="O8" s="429">
        <f>'Cálculos ICE SPA'!C12+('Cálculos ICE SPA'!E12*'Cálculos ICE SPA'!P2)</f>
        <v>99.546955758473402</v>
      </c>
      <c r="Q8" s="414" t="s">
        <v>5</v>
      </c>
      <c r="R8" s="424">
        <f>'Cálculos ICE SPA'!C16-('Cálculos ICE SPA'!D16*'Cálculos ICE SPA'!P2)</f>
        <v>96.268596010303298</v>
      </c>
      <c r="S8" s="429">
        <f>'Cálculos ICE SPA'!C16+('Cálculos ICE SPA'!E16*'Cálculos ICE SPA'!P2)</f>
        <v>98.226118592053581</v>
      </c>
      <c r="U8" s="431" t="s">
        <v>5</v>
      </c>
      <c r="V8" s="427">
        <f>'Cálculos ICE SPA'!C21-('Cálculos ICE SPA'!P2*'Cálculos ICE SPA'!D21)</f>
        <v>94.550951325477058</v>
      </c>
      <c r="W8" s="427">
        <f>'Cálculos ICE SPA'!C21+('Cálculos ICE SPA'!P2*'Cálculos ICE SPA'!E21)</f>
        <v>95.098858409427521</v>
      </c>
    </row>
    <row r="9" spans="1:25" ht="15.75" thickBot="1">
      <c r="A9" s="590" t="s">
        <v>455</v>
      </c>
      <c r="B9" s="582"/>
      <c r="E9" s="412" t="s">
        <v>448</v>
      </c>
      <c r="F9" s="423">
        <f>INDEX(Calibrador!D3:D111,(ROUNDUP(((F8-70)/(20/72))+1,0)),1)</f>
        <v>299.19999999999982</v>
      </c>
      <c r="G9" s="430">
        <f>INDEX(Calibrador!D3:D111,(ROUNDUP(((G8-70)/(20/72))+1,0)),1)</f>
        <v>306</v>
      </c>
      <c r="I9" s="412" t="s">
        <v>448</v>
      </c>
      <c r="J9" s="423">
        <f>INDEX(Calibrador!B3:B111,(ROUNDUP(((J8-70)/(20/72))+1,0)),1)</f>
        <v>270.66666666666674</v>
      </c>
      <c r="K9" s="430">
        <f>INDEX(Calibrador!B3:B111,(ROUNDUP(((K8-70)/(20/72))+1,0)),1)</f>
        <v>274.5555555555556</v>
      </c>
      <c r="M9" s="412" t="s">
        <v>448</v>
      </c>
      <c r="N9" s="423">
        <f>INDEX(Calibrador!C3:C111,(ROUNDUP(((N8-70)/(20/72))+1,0)),1)</f>
        <v>290.24444444444464</v>
      </c>
      <c r="O9" s="430">
        <f>INDEX(Calibrador!C3:C111,(ROUNDUP(((O8-70)/(20/72))+1,0)),1)</f>
        <v>295.17777777777781</v>
      </c>
      <c r="Q9" s="412" t="s">
        <v>448</v>
      </c>
      <c r="R9" s="423">
        <f>INDEX(Calibrador!B3:B111,(ROUNDUP(((R8-70)/(20/72))+1,0)),1)</f>
        <v>269.88888888888897</v>
      </c>
      <c r="S9" s="430">
        <f>INDEX(Calibrador!B3:B111,(ROUNDUP(((S8-70)/(20/72))+1,0)),1)</f>
        <v>275.33333333333337</v>
      </c>
      <c r="U9" s="412" t="s">
        <v>448</v>
      </c>
      <c r="V9" s="432">
        <f>INDEX(Calibrador!F3:F111,(ROUNDUP(((V8-70)/(20/72))+1,0)),1)</f>
        <v>261.43333333333362</v>
      </c>
      <c r="W9" s="432">
        <f>INDEX(Calibrador!F3:F111,(ROUNDUP(((W8-70)/(20/72))+1,0)),1)</f>
        <v>262.96666666666692</v>
      </c>
    </row>
    <row r="10" spans="1:25" ht="15.75" thickBot="1">
      <c r="A10" s="587" t="s">
        <v>456</v>
      </c>
      <c r="B10" s="558"/>
      <c r="E10" s="570" t="s">
        <v>457</v>
      </c>
      <c r="F10" s="571"/>
      <c r="G10" s="572"/>
      <c r="I10" s="570" t="s">
        <v>451</v>
      </c>
      <c r="J10" s="571"/>
      <c r="K10" s="572"/>
      <c r="M10" s="570" t="s">
        <v>451</v>
      </c>
      <c r="N10" s="571"/>
      <c r="O10" s="572"/>
      <c r="Q10" s="436" t="s">
        <v>261</v>
      </c>
      <c r="R10" s="588">
        <v>2.5499999999999998</v>
      </c>
      <c r="S10" s="589"/>
      <c r="U10" s="437"/>
      <c r="V10" s="437"/>
      <c r="W10" s="437"/>
    </row>
    <row r="11" spans="1:25" ht="15.75" thickBot="1">
      <c r="A11" s="583" t="s">
        <v>458</v>
      </c>
      <c r="B11" s="582"/>
      <c r="E11" s="409" t="s">
        <v>409</v>
      </c>
      <c r="F11" s="410" t="s">
        <v>442</v>
      </c>
      <c r="G11" s="411" t="s">
        <v>443</v>
      </c>
      <c r="I11" s="438" t="s">
        <v>410</v>
      </c>
      <c r="J11" s="410" t="s">
        <v>442</v>
      </c>
      <c r="K11" s="411" t="s">
        <v>443</v>
      </c>
      <c r="M11" s="415" t="s">
        <v>411</v>
      </c>
      <c r="N11" s="410" t="s">
        <v>442</v>
      </c>
      <c r="O11" s="411" t="s">
        <v>443</v>
      </c>
      <c r="Q11" s="439" t="s">
        <v>404</v>
      </c>
      <c r="R11" s="440">
        <v>2.2200000000000002</v>
      </c>
      <c r="S11" s="441">
        <v>-2.15</v>
      </c>
      <c r="U11" s="418" t="s">
        <v>459</v>
      </c>
      <c r="V11" s="419" t="s">
        <v>442</v>
      </c>
      <c r="W11" s="419" t="s">
        <v>443</v>
      </c>
    </row>
    <row r="12" spans="1:25" ht="15.75" thickBot="1">
      <c r="E12" s="416" t="s">
        <v>83</v>
      </c>
      <c r="F12" s="425">
        <f>('Cálculos ICE SPA'!B5*'Cálculos ICE SPA'!P1)/B3</f>
        <v>0.74756680961848132</v>
      </c>
      <c r="G12" s="426">
        <f>('Cálculos ICE SPA'!B5*'Cálculos ICE SPA'!P1)/B3</f>
        <v>0.74756680961848132</v>
      </c>
      <c r="I12" s="416" t="s">
        <v>83</v>
      </c>
      <c r="J12" s="421">
        <f>'Cálculos ICE SPA'!B10*'Cálculos ICE SPA'!P1/B3</f>
        <v>0.88766010512049087</v>
      </c>
      <c r="K12" s="442">
        <f>'Cálculos ICE SPA'!B10*'Cálculos ICE SPA'!P1/B3</f>
        <v>0.88766010512049087</v>
      </c>
      <c r="M12" s="416" t="s">
        <v>83</v>
      </c>
      <c r="N12" s="425">
        <f>('Cálculos ICE SPA'!B13*'Cálculos ICE SPA'!P1)/B3</f>
        <v>0.8506239465394998</v>
      </c>
      <c r="O12" s="426">
        <f>('Cálculos ICE SPA'!B13*'Cálculos ICE SPA'!P1)/B3</f>
        <v>0.8506239465394998</v>
      </c>
      <c r="Q12" s="443" t="s">
        <v>408</v>
      </c>
      <c r="R12" s="444">
        <v>2.5499999999999998</v>
      </c>
      <c r="S12" s="445">
        <v>-2.5499999999999998</v>
      </c>
      <c r="U12" s="419" t="s">
        <v>83</v>
      </c>
      <c r="V12" s="427">
        <f>('Cálculos ICE SPA'!B22*'Cálculos ICE SPA'!P1)/0.2165</f>
        <v>0.36955645192771458</v>
      </c>
      <c r="W12" s="427">
        <f>('Cálculos ICE SPA'!B22*'Cálculos ICE SPA'!P1)/0.2165</f>
        <v>0.36955645192771458</v>
      </c>
    </row>
    <row r="13" spans="1:25" ht="15.75" thickBot="1">
      <c r="A13" s="446" t="s">
        <v>460</v>
      </c>
      <c r="B13" s="456" t="s">
        <v>461</v>
      </c>
      <c r="E13" s="414" t="s">
        <v>5</v>
      </c>
      <c r="F13" s="424">
        <f>'Cálculos ICE SPA'!C5-('Cálculos ICE SPA'!D5*'Cálculos ICE SPA'!P2)</f>
        <v>99.033120347564761</v>
      </c>
      <c r="G13" s="429">
        <f>'Cálculos ICE SPA'!C5+('Cálculos ICE SPA'!E5*'Cálculos ICE SPA'!P2)</f>
        <v>100.84619469809174</v>
      </c>
      <c r="I13" s="414" t="s">
        <v>5</v>
      </c>
      <c r="J13" s="447">
        <f>'Cálculos ICE SPA'!C10-('Cálculos ICE SPA'!P2*'Cálculos ICE SPA'!D10)</f>
        <v>97.573919460965499</v>
      </c>
      <c r="K13" s="448">
        <f>'Cálculos ICE SPA'!C10+('Cálculos ICE SPA'!E10*'Cálculos ICE SPA'!P2)</f>
        <v>99.436803546397059</v>
      </c>
      <c r="M13" s="414" t="s">
        <v>5</v>
      </c>
      <c r="N13" s="424">
        <f>'Cálculos ICE SPA'!C13-('Cálculos ICE SPA'!D13*'Cálculos ICE SPA'!P2)</f>
        <v>97.353234506622016</v>
      </c>
      <c r="O13" s="429">
        <f>'Cálculos ICE SPA'!C13+('Cálculos ICE SPA'!E13*'Cálculos ICE SPA'!P2)</f>
        <v>99.176270804129913</v>
      </c>
      <c r="Q13" s="449" t="s">
        <v>412</v>
      </c>
      <c r="R13" s="450" t="s">
        <v>442</v>
      </c>
      <c r="S13" s="451" t="s">
        <v>443</v>
      </c>
      <c r="U13" s="431" t="s">
        <v>5</v>
      </c>
      <c r="V13" s="427">
        <f>'Cálculos ICE SPA'!C22-('Cálculos ICE SPA'!P2*'Cálculos ICE SPA'!D22)</f>
        <v>95.926046458024771</v>
      </c>
      <c r="W13" s="427">
        <f>'Cálculos ICE SPA'!C22+('Cálculos ICE SPA'!P2*'Cálculos ICE SPA'!E22)</f>
        <v>96.498858409427527</v>
      </c>
    </row>
    <row r="14" spans="1:25" ht="15.75" thickBot="1">
      <c r="A14" s="446" t="s">
        <v>462</v>
      </c>
      <c r="B14" s="452" t="s">
        <v>463</v>
      </c>
      <c r="E14" s="412" t="s">
        <v>448</v>
      </c>
      <c r="F14" s="423">
        <f>INDEX(Calibrador!D3:D111,(ROUNDUP(((F13-70)/(20/72))+1,0)),1)</f>
        <v>303.44999999999993</v>
      </c>
      <c r="G14" s="430" t="e">
        <f>INDEX(Calibrador!D3:D111,(ROUNDUP(((G13-70)/(20/72))+1,0)),1)</f>
        <v>#REF!</v>
      </c>
      <c r="I14" s="412" t="s">
        <v>448</v>
      </c>
      <c r="J14" s="453">
        <f>INDEX(Calibrador!E3:E111,(ROUNDUP(((J13-70)/(20/72))+1,0)),1)</f>
        <v>254.22222222222217</v>
      </c>
      <c r="K14" s="454">
        <f>INDEX(Calibrador!E3:E111,(ROUNDUP(((K13-70)/(20/72))+1,0)),1)</f>
        <v>258.55555555555554</v>
      </c>
      <c r="M14" s="412" t="s">
        <v>448</v>
      </c>
      <c r="N14" s="423">
        <f>INDEX(Calibrador!D3:D111,(ROUNDUP(((N13-70)/(20/72))+1,0)),1)</f>
        <v>298.3499999999998</v>
      </c>
      <c r="O14" s="430">
        <f>INDEX(Calibrador!D3:D111,(ROUNDUP(((O13-70)/(20/72))+1,0)),1)</f>
        <v>304.29999999999995</v>
      </c>
      <c r="Q14" s="416" t="s">
        <v>83</v>
      </c>
      <c r="R14" s="425">
        <f>('Cálculos ICE SPA'!B18*'Cálculos ICE SPA'!P1)/B3</f>
        <v>0.69563567421687444</v>
      </c>
      <c r="S14" s="426">
        <f>('Cálculos ICE SPA'!B18*'Cálculos ICE SPA'!P1)/B3</f>
        <v>0.69563567421687444</v>
      </c>
      <c r="U14" s="412" t="s">
        <v>448</v>
      </c>
      <c r="V14" s="432">
        <f>INDEX(Calibrador!F3:F111,(ROUNDUP(((V13-70)/(20/72))+1,0)),1)</f>
        <v>265.26666666666688</v>
      </c>
      <c r="W14" s="432">
        <f>INDEX(Calibrador!F3:F111,(ROUNDUP(((W13-70)/(20/72))+1,0)),1)</f>
        <v>266.80000000000018</v>
      </c>
    </row>
    <row r="15" spans="1:25" ht="15.75" thickBot="1">
      <c r="A15" s="455"/>
      <c r="E15" s="570" t="s">
        <v>457</v>
      </c>
      <c r="F15" s="571"/>
      <c r="G15" s="572"/>
      <c r="J15">
        <f>J12/4</f>
        <v>0.22191502628012272</v>
      </c>
      <c r="K15">
        <f>K12/4</f>
        <v>0.22191502628012272</v>
      </c>
      <c r="M15" s="570" t="s">
        <v>451</v>
      </c>
      <c r="N15" s="571"/>
      <c r="O15" s="572"/>
      <c r="Q15" s="414" t="s">
        <v>5</v>
      </c>
      <c r="R15" s="424">
        <f>'Cálculos ICE SPA'!C18-('Cálculos ICE SPA'!D18*'Cálculos ICE SPA'!P2)</f>
        <v>97.430646901324394</v>
      </c>
      <c r="S15" s="424"/>
    </row>
    <row r="16" spans="1:25" ht="15.75" thickBot="1">
      <c r="A16" s="583" t="s">
        <v>464</v>
      </c>
      <c r="B16" s="584"/>
      <c r="Q16" s="412" t="s">
        <v>448</v>
      </c>
      <c r="R16" s="423">
        <f>INDEX(Calibrador!C3:C111,(ROUNDDOWN(((R15-70)/(20/72))+1,0)),1)</f>
        <v>287.77777777777806</v>
      </c>
      <c r="S16" s="430" t="e">
        <f>INDEX(Calibrador!C3:C111,(ROUNDDOWN(((S15-70)/(20/72))+1,0)),1)</f>
        <v>#VALUE!</v>
      </c>
    </row>
    <row r="17" spans="5:28" ht="15.75" thickBot="1">
      <c r="Q17" s="570" t="s">
        <v>465</v>
      </c>
      <c r="R17" s="571"/>
      <c r="S17" s="572"/>
    </row>
    <row r="18" spans="5:28" ht="15.75" thickBot="1">
      <c r="Q18" s="449" t="s">
        <v>466</v>
      </c>
      <c r="R18" s="450" t="s">
        <v>467</v>
      </c>
      <c r="S18" s="451" t="s">
        <v>468</v>
      </c>
      <c r="V18" s="457" t="s">
        <v>261</v>
      </c>
      <c r="W18" s="585">
        <v>2.2200000000000002</v>
      </c>
      <c r="X18" s="586"/>
      <c r="Z18" s="457" t="s">
        <v>261</v>
      </c>
      <c r="AA18" s="585">
        <v>-2.52</v>
      </c>
      <c r="AB18" s="586"/>
    </row>
    <row r="19" spans="5:28" ht="15.75" thickBot="1">
      <c r="E19" s="559" t="s">
        <v>469</v>
      </c>
      <c r="F19" s="560"/>
      <c r="G19" s="560"/>
      <c r="H19" s="561"/>
      <c r="J19" s="559" t="s">
        <v>469</v>
      </c>
      <c r="K19" s="560"/>
      <c r="L19" s="560"/>
      <c r="M19" s="561"/>
      <c r="Q19" s="416" t="s">
        <v>83</v>
      </c>
      <c r="R19" s="425">
        <f>(6.219*(B1*SIN(RADIANS(B2))))-1</f>
        <v>-0.45797843585231379</v>
      </c>
      <c r="S19" s="426">
        <f>6.219*(B1*SIN(RADIANS(B2)))</f>
        <v>0.54202156414768621</v>
      </c>
      <c r="V19" s="458" t="s">
        <v>261</v>
      </c>
      <c r="W19" s="459">
        <v>2.2200000000000002</v>
      </c>
      <c r="X19" s="459">
        <v>-2.15</v>
      </c>
      <c r="Z19" s="458" t="s">
        <v>261</v>
      </c>
      <c r="AA19" s="459">
        <v>2.5499999999999998</v>
      </c>
      <c r="AB19" s="460">
        <v>-2.52</v>
      </c>
    </row>
    <row r="20" spans="5:28" ht="15.75" thickBot="1">
      <c r="E20" s="461" t="s">
        <v>470</v>
      </c>
      <c r="F20" s="580" t="s">
        <v>471</v>
      </c>
      <c r="G20" s="581"/>
      <c r="H20" s="582"/>
      <c r="J20" s="462" t="s">
        <v>403</v>
      </c>
      <c r="K20" s="566" t="s">
        <v>472</v>
      </c>
      <c r="L20" s="562"/>
      <c r="M20" s="563"/>
      <c r="Q20" s="414" t="s">
        <v>5</v>
      </c>
      <c r="R20" s="576">
        <v>100</v>
      </c>
      <c r="S20" s="577"/>
    </row>
    <row r="21" spans="5:28" ht="15.75" thickBot="1">
      <c r="J21" s="462" t="s">
        <v>407</v>
      </c>
      <c r="K21" s="568" t="s">
        <v>472</v>
      </c>
      <c r="L21" s="564"/>
      <c r="M21" s="565"/>
      <c r="Q21" s="412" t="s">
        <v>448</v>
      </c>
      <c r="R21" s="578">
        <f>INDEX(Calibrador!C3:C111,(ROUNDDOWN(((R20-70)/(20/72))+1,0)),1)</f>
        <v>296</v>
      </c>
      <c r="S21" s="579"/>
    </row>
    <row r="22" spans="5:28" ht="15.75" thickBot="1">
      <c r="E22" s="559" t="s">
        <v>469</v>
      </c>
      <c r="F22" s="560"/>
      <c r="G22" s="560"/>
      <c r="H22" s="561"/>
      <c r="J22" s="461" t="s">
        <v>411</v>
      </c>
      <c r="K22" s="555" t="s">
        <v>473</v>
      </c>
      <c r="L22" s="557"/>
      <c r="M22" s="558"/>
      <c r="Q22" s="570" t="s">
        <v>474</v>
      </c>
      <c r="R22" s="571"/>
      <c r="S22" s="572"/>
    </row>
    <row r="23" spans="5:28" ht="15.75" thickBot="1">
      <c r="E23" s="462" t="s">
        <v>401</v>
      </c>
      <c r="F23" s="566" t="s">
        <v>472</v>
      </c>
      <c r="G23" s="562"/>
      <c r="H23" s="563"/>
      <c r="Q23" s="573" t="s">
        <v>475</v>
      </c>
      <c r="R23" s="574"/>
      <c r="S23" s="575"/>
    </row>
    <row r="24" spans="5:28" ht="15.75" thickBot="1">
      <c r="E24" s="462" t="s">
        <v>405</v>
      </c>
      <c r="F24" s="568" t="s">
        <v>473</v>
      </c>
      <c r="G24" s="564"/>
      <c r="H24" s="565"/>
      <c r="J24" s="559" t="s">
        <v>469</v>
      </c>
      <c r="K24" s="560"/>
      <c r="L24" s="560"/>
      <c r="M24" s="561"/>
    </row>
    <row r="25" spans="5:28" ht="15.75" thickBot="1">
      <c r="E25" s="461" t="s">
        <v>476</v>
      </c>
      <c r="F25" s="555" t="s">
        <v>473</v>
      </c>
      <c r="G25" s="557"/>
      <c r="H25" s="558"/>
      <c r="J25" s="462" t="s">
        <v>412</v>
      </c>
      <c r="K25" s="566" t="s">
        <v>477</v>
      </c>
      <c r="L25" s="562"/>
      <c r="M25" s="563"/>
    </row>
    <row r="26" spans="5:28" ht="15.75" thickBot="1">
      <c r="J26" s="461" t="s">
        <v>466</v>
      </c>
      <c r="K26" s="555" t="s">
        <v>478</v>
      </c>
      <c r="L26" s="557"/>
      <c r="M26" s="558"/>
    </row>
    <row r="27" spans="5:28" ht="15.75" thickBot="1">
      <c r="E27" s="559" t="s">
        <v>469</v>
      </c>
      <c r="F27" s="560"/>
      <c r="G27" s="560"/>
      <c r="H27" s="561"/>
    </row>
    <row r="28" spans="5:28" ht="15.75" thickBot="1">
      <c r="E28" s="463" t="s">
        <v>402</v>
      </c>
      <c r="F28" s="562" t="s">
        <v>479</v>
      </c>
      <c r="G28" s="562"/>
      <c r="H28" s="563"/>
      <c r="J28" s="559" t="s">
        <v>469</v>
      </c>
      <c r="K28" s="560"/>
      <c r="L28" s="560"/>
      <c r="M28" s="561"/>
    </row>
    <row r="29" spans="5:28">
      <c r="E29" s="462" t="s">
        <v>406</v>
      </c>
      <c r="F29" s="564" t="s">
        <v>479</v>
      </c>
      <c r="G29" s="564"/>
      <c r="H29" s="565"/>
      <c r="J29" s="462" t="s">
        <v>288</v>
      </c>
      <c r="K29" s="566" t="s">
        <v>480</v>
      </c>
      <c r="L29" s="566"/>
      <c r="M29" s="567"/>
    </row>
    <row r="30" spans="5:28" ht="15.75" thickBot="1">
      <c r="E30" s="461" t="s">
        <v>410</v>
      </c>
      <c r="F30" s="555" t="s">
        <v>481</v>
      </c>
      <c r="G30" s="555"/>
      <c r="H30" s="556"/>
      <c r="J30" s="462" t="s">
        <v>413</v>
      </c>
      <c r="K30" s="568" t="s">
        <v>480</v>
      </c>
      <c r="L30" s="568"/>
      <c r="M30" s="569"/>
    </row>
    <row r="31" spans="5:28" ht="15.75" thickBot="1">
      <c r="J31" s="461" t="s">
        <v>414</v>
      </c>
      <c r="K31" s="555" t="s">
        <v>480</v>
      </c>
      <c r="L31" s="555"/>
      <c r="M31" s="556"/>
    </row>
  </sheetData>
  <mergeCells count="43">
    <mergeCell ref="A9:B9"/>
    <mergeCell ref="A5:B5"/>
    <mergeCell ref="I5:K5"/>
    <mergeCell ref="M5:O5"/>
    <mergeCell ref="R5:S5"/>
    <mergeCell ref="A7:B7"/>
    <mergeCell ref="A16:B16"/>
    <mergeCell ref="Q17:S17"/>
    <mergeCell ref="W18:X18"/>
    <mergeCell ref="AA18:AB18"/>
    <mergeCell ref="A10:B10"/>
    <mergeCell ref="E10:G10"/>
    <mergeCell ref="I10:K10"/>
    <mergeCell ref="M10:O10"/>
    <mergeCell ref="R10:S10"/>
    <mergeCell ref="A11:B11"/>
    <mergeCell ref="R20:S20"/>
    <mergeCell ref="K21:M21"/>
    <mergeCell ref="R21:S21"/>
    <mergeCell ref="E15:G15"/>
    <mergeCell ref="M15:O15"/>
    <mergeCell ref="E19:H19"/>
    <mergeCell ref="J19:M19"/>
    <mergeCell ref="F20:H20"/>
    <mergeCell ref="K20:M20"/>
    <mergeCell ref="E22:H22"/>
    <mergeCell ref="K22:M22"/>
    <mergeCell ref="Q22:S22"/>
    <mergeCell ref="F23:H23"/>
    <mergeCell ref="Q23:S23"/>
    <mergeCell ref="F25:H25"/>
    <mergeCell ref="K25:M25"/>
    <mergeCell ref="F24:H24"/>
    <mergeCell ref="J24:M24"/>
    <mergeCell ref="F30:H30"/>
    <mergeCell ref="K30:M30"/>
    <mergeCell ref="K31:M31"/>
    <mergeCell ref="K26:M26"/>
    <mergeCell ref="E27:H27"/>
    <mergeCell ref="F28:H28"/>
    <mergeCell ref="J28:M28"/>
    <mergeCell ref="F29:H29"/>
    <mergeCell ref="K29:M29"/>
  </mergeCells>
  <hyperlinks>
    <hyperlink ref="B14" r:id="rId1" xr:uid="{F810BF79-E7C2-4A26-BE24-7481238CA7BD}"/>
  </hyperlinks>
  <pageMargins left="0.511811024" right="0.511811024" top="0.78740157499999996" bottom="0.78740157499999996" header="0.31496062000000002" footer="0.31496062000000002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8EBD5-613D-4FDB-8E7C-03F254096EC9}">
  <dimension ref="A1:S31"/>
  <sheetViews>
    <sheetView workbookViewId="0">
      <selection activeCell="J21" sqref="J21"/>
    </sheetView>
  </sheetViews>
  <sheetFormatPr defaultRowHeight="15"/>
  <cols>
    <col min="4" max="7" width="10.7109375" customWidth="1"/>
    <col min="16" max="16" width="12.42578125" bestFit="1" customWidth="1"/>
  </cols>
  <sheetData>
    <row r="1" spans="1:16" ht="15.75" thickBot="1">
      <c r="A1" s="472" t="s">
        <v>422</v>
      </c>
      <c r="B1" s="472" t="s">
        <v>230</v>
      </c>
      <c r="C1" s="464" t="s">
        <v>5</v>
      </c>
      <c r="D1" s="464" t="s">
        <v>423</v>
      </c>
      <c r="E1" s="464" t="s">
        <v>424</v>
      </c>
      <c r="F1" s="464" t="s">
        <v>425</v>
      </c>
      <c r="G1" s="464" t="s">
        <v>426</v>
      </c>
      <c r="H1" s="464"/>
      <c r="I1" s="464"/>
      <c r="J1" s="464"/>
      <c r="K1" s="464"/>
      <c r="N1" s="597" t="s">
        <v>427</v>
      </c>
      <c r="O1" s="598"/>
      <c r="P1" s="435">
        <f>'ICE SPA'!B1*'Cálculos ICE SPA'!P4</f>
        <v>8.7155742747658166E-2</v>
      </c>
    </row>
    <row r="2" spans="1:16" ht="15.75" thickBot="1">
      <c r="B2" s="435">
        <v>1.8420000000000001</v>
      </c>
      <c r="N2" s="597" t="s">
        <v>428</v>
      </c>
      <c r="O2" s="598"/>
      <c r="P2" s="435">
        <f>'ICE SPA'!B1*P5</f>
        <v>0.99619469809174555</v>
      </c>
    </row>
    <row r="3" spans="1:16" ht="15.75" thickBot="1">
      <c r="A3" s="473" t="s">
        <v>401</v>
      </c>
      <c r="B3" s="474">
        <v>1.8420000000000001</v>
      </c>
      <c r="C3" s="474">
        <v>97.6</v>
      </c>
      <c r="D3" s="474">
        <v>0.63900000000000001</v>
      </c>
      <c r="E3" s="474">
        <v>0.68</v>
      </c>
      <c r="F3" s="475"/>
      <c r="G3" s="475"/>
      <c r="H3" s="435" t="s">
        <v>429</v>
      </c>
      <c r="I3" s="476"/>
    </row>
    <row r="4" spans="1:16" ht="15.75" thickBot="1">
      <c r="A4" s="473" t="s">
        <v>405</v>
      </c>
      <c r="B4" s="477">
        <v>1.82</v>
      </c>
      <c r="C4" s="474">
        <v>98.55</v>
      </c>
      <c r="D4" s="474">
        <v>0.8</v>
      </c>
      <c r="E4" s="474">
        <v>1.24</v>
      </c>
      <c r="F4" s="475"/>
      <c r="G4" s="475"/>
      <c r="H4" s="435" t="s">
        <v>430</v>
      </c>
      <c r="I4" s="455" t="s">
        <v>431</v>
      </c>
      <c r="N4" s="597" t="s">
        <v>432</v>
      </c>
      <c r="O4" s="599"/>
      <c r="P4" s="435">
        <f>SIN(RADIANS('ICE SPA'!B2))</f>
        <v>8.7155742747658166E-2</v>
      </c>
    </row>
    <row r="5" spans="1:16" ht="15.75" thickBot="1">
      <c r="A5" s="478" t="s">
        <v>409</v>
      </c>
      <c r="B5" s="477">
        <v>1.857</v>
      </c>
      <c r="C5" s="474">
        <v>99.85</v>
      </c>
      <c r="D5" s="474">
        <v>0.82</v>
      </c>
      <c r="E5" s="474">
        <v>1</v>
      </c>
      <c r="F5" s="475"/>
      <c r="G5" s="475"/>
      <c r="H5" s="435" t="s">
        <v>430</v>
      </c>
      <c r="N5" s="597" t="s">
        <v>433</v>
      </c>
      <c r="O5" s="599"/>
      <c r="P5" s="435">
        <f>COS(RADIANS('ICE SPA'!B2))</f>
        <v>0.99619469809174555</v>
      </c>
    </row>
    <row r="7" spans="1:16" ht="15.75" thickBot="1">
      <c r="B7" s="435">
        <v>1.71</v>
      </c>
      <c r="I7" s="455"/>
    </row>
    <row r="8" spans="1:16" ht="15.75" thickBot="1">
      <c r="A8" s="479" t="s">
        <v>402</v>
      </c>
      <c r="B8" s="480">
        <v>1.748</v>
      </c>
      <c r="C8" s="480">
        <v>96.66</v>
      </c>
      <c r="D8" s="480">
        <v>0.78</v>
      </c>
      <c r="E8" s="480">
        <v>0.83499999999999996</v>
      </c>
      <c r="F8" s="481">
        <f>(100+(D8*P2/-0.6))/100</f>
        <v>0.98704946892480738</v>
      </c>
      <c r="G8" s="481">
        <f>(100+(E8*P2/-0.6))/100</f>
        <v>0.98613629045155649</v>
      </c>
      <c r="H8" s="435" t="s">
        <v>434</v>
      </c>
      <c r="I8" s="455"/>
      <c r="J8">
        <v>1.766667</v>
      </c>
    </row>
    <row r="9" spans="1:16" ht="15.75" thickBot="1">
      <c r="A9" s="482" t="s">
        <v>406</v>
      </c>
      <c r="B9" s="480">
        <v>1.758</v>
      </c>
      <c r="C9" s="480">
        <v>97.221999999999994</v>
      </c>
      <c r="D9" s="480">
        <v>0.78</v>
      </c>
      <c r="E9" s="480">
        <v>0.83299999999999996</v>
      </c>
      <c r="F9" s="481">
        <f>(100+(D9*P2/-0.6))/100</f>
        <v>0.98704946892480738</v>
      </c>
      <c r="G9" s="481">
        <f>(100+(E9*P2/-0.6))/100</f>
        <v>0.98616949694149303</v>
      </c>
      <c r="H9" s="435" t="s">
        <v>434</v>
      </c>
      <c r="I9" s="455"/>
      <c r="J9">
        <v>1.796667</v>
      </c>
    </row>
    <row r="10" spans="1:16" ht="15.75" thickBot="1">
      <c r="A10" s="464" t="s">
        <v>410</v>
      </c>
      <c r="B10" s="435">
        <v>2.2050000000000001</v>
      </c>
      <c r="C10" s="435">
        <v>98.6</v>
      </c>
      <c r="D10" s="435">
        <v>1.03</v>
      </c>
      <c r="E10" s="435">
        <v>0.84</v>
      </c>
      <c r="H10" s="435"/>
      <c r="I10" s="455" t="s">
        <v>435</v>
      </c>
    </row>
    <row r="11" spans="1:16" ht="15.75" thickBot="1">
      <c r="A11" s="479" t="s">
        <v>403</v>
      </c>
      <c r="B11" s="483">
        <v>2.06</v>
      </c>
      <c r="C11" s="484">
        <v>95.2</v>
      </c>
      <c r="D11" s="484">
        <v>0.79</v>
      </c>
      <c r="E11" s="484">
        <v>0.82</v>
      </c>
      <c r="F11" s="485"/>
      <c r="G11" s="485"/>
    </row>
    <row r="12" spans="1:16" ht="15.75" thickBot="1">
      <c r="A12" s="479" t="s">
        <v>407</v>
      </c>
      <c r="B12" s="483">
        <v>2.097</v>
      </c>
      <c r="C12" s="484">
        <v>98.75</v>
      </c>
      <c r="D12" s="484">
        <v>0.7</v>
      </c>
      <c r="E12" s="484">
        <v>0.8</v>
      </c>
      <c r="F12" s="485"/>
      <c r="G12" s="485"/>
    </row>
    <row r="13" spans="1:16" ht="15.75" thickBot="1">
      <c r="A13" s="482" t="s">
        <v>411</v>
      </c>
      <c r="B13" s="483">
        <v>2.113</v>
      </c>
      <c r="C13" s="486">
        <v>98.2</v>
      </c>
      <c r="D13" s="484">
        <v>0.85</v>
      </c>
      <c r="E13" s="484">
        <v>0.98</v>
      </c>
      <c r="F13" s="485"/>
      <c r="G13" s="485"/>
    </row>
    <row r="14" spans="1:16" ht="15.75" thickBot="1">
      <c r="A14" s="487" t="s">
        <v>436</v>
      </c>
      <c r="B14" s="483">
        <v>1.6895</v>
      </c>
      <c r="C14" s="435">
        <v>96.69</v>
      </c>
      <c r="D14" s="488">
        <v>1.02</v>
      </c>
    </row>
    <row r="15" spans="1:16" ht="15.75" thickBot="1">
      <c r="A15" s="479" t="s">
        <v>404</v>
      </c>
      <c r="B15" s="480">
        <v>1.647</v>
      </c>
      <c r="C15" s="480">
        <v>96.76</v>
      </c>
      <c r="D15" s="480">
        <v>1.02</v>
      </c>
      <c r="E15" s="480">
        <v>1.02</v>
      </c>
      <c r="F15" s="489">
        <f>(100+(D15*P2/-0.6))/100</f>
        <v>0.98306469013244024</v>
      </c>
      <c r="G15" s="481">
        <f>(100+(E15*P2/-0.6))/100</f>
        <v>0.98306469013244024</v>
      </c>
      <c r="H15" s="480">
        <v>2.4500000000000002</v>
      </c>
      <c r="I15" s="490">
        <v>-2.4500000000000002</v>
      </c>
      <c r="K15">
        <v>96.66</v>
      </c>
    </row>
    <row r="16" spans="1:16" ht="15.75" thickBot="1">
      <c r="A16" s="482" t="s">
        <v>408</v>
      </c>
      <c r="B16" s="480">
        <v>1.65</v>
      </c>
      <c r="C16" s="480">
        <v>97.21</v>
      </c>
      <c r="D16" s="480">
        <v>0.94499999999999995</v>
      </c>
      <c r="E16" s="480">
        <v>1.02</v>
      </c>
      <c r="F16" s="489">
        <f>(100+(D16*P2/-0.6))/100</f>
        <v>0.98430993350505502</v>
      </c>
      <c r="G16" s="491">
        <f>(100+(E16*P2/-0.6))/100</f>
        <v>0.98306469013244024</v>
      </c>
      <c r="H16" s="480">
        <v>2.5499999999999998</v>
      </c>
      <c r="I16" s="490">
        <v>-2.5499999999999998</v>
      </c>
    </row>
    <row r="17" spans="1:19" ht="15.75" thickBot="1">
      <c r="B17" s="483">
        <v>1.78</v>
      </c>
      <c r="C17" s="492">
        <v>97.8</v>
      </c>
      <c r="D17" s="492">
        <v>0.17</v>
      </c>
      <c r="I17" s="455" t="s">
        <v>437</v>
      </c>
    </row>
    <row r="18" spans="1:19" ht="15.75" thickBot="1">
      <c r="A18" s="493" t="s">
        <v>412</v>
      </c>
      <c r="B18" s="494">
        <v>1.728</v>
      </c>
      <c r="C18" s="495">
        <v>97.6</v>
      </c>
      <c r="D18" s="495">
        <v>0.17</v>
      </c>
      <c r="E18" s="494">
        <v>0.83</v>
      </c>
      <c r="F18" s="496"/>
      <c r="G18" s="496"/>
      <c r="I18" s="455" t="s">
        <v>438</v>
      </c>
    </row>
    <row r="19" spans="1:19" ht="15.75" thickBot="1">
      <c r="C19" s="497">
        <v>97.6</v>
      </c>
      <c r="D19" s="497">
        <v>0.56799999999999995</v>
      </c>
      <c r="I19" s="455" t="s">
        <v>439</v>
      </c>
    </row>
    <row r="20" spans="1:19">
      <c r="A20" s="473" t="s">
        <v>288</v>
      </c>
      <c r="B20" s="474">
        <v>0.91</v>
      </c>
      <c r="C20" s="474">
        <v>94.6</v>
      </c>
      <c r="D20" s="474">
        <v>0.25</v>
      </c>
      <c r="E20" s="474">
        <v>0.3</v>
      </c>
      <c r="F20" s="475">
        <f>(100+(D20*P2/-0.6))/100</f>
        <v>0.99584918875795114</v>
      </c>
      <c r="G20" s="475">
        <f>(100+(E20*P2/-0.8))/100</f>
        <v>0.996264269882156</v>
      </c>
      <c r="I20" s="455" t="s">
        <v>440</v>
      </c>
    </row>
    <row r="21" spans="1:19">
      <c r="A21" s="498" t="s">
        <v>413</v>
      </c>
      <c r="B21" s="480">
        <v>0.8972</v>
      </c>
      <c r="C21" s="480">
        <v>94.8</v>
      </c>
      <c r="D21" s="480">
        <v>0.25</v>
      </c>
      <c r="E21" s="480">
        <v>0.3</v>
      </c>
      <c r="F21" s="489">
        <f>(100+(D21*P2/-0.6))/100</f>
        <v>0.99584918875795114</v>
      </c>
      <c r="G21" s="489">
        <f>(100+(E21*P2/-0.7))/100</f>
        <v>0.99573059415103549</v>
      </c>
    </row>
    <row r="22" spans="1:19" ht="15.75" thickBot="1">
      <c r="A22" s="499" t="s">
        <v>414</v>
      </c>
      <c r="B22" s="480">
        <v>0.91800000000000004</v>
      </c>
      <c r="C22" s="480">
        <v>96.2</v>
      </c>
      <c r="D22" s="480">
        <v>0.27500000000000002</v>
      </c>
      <c r="E22" s="480">
        <v>0.3</v>
      </c>
      <c r="F22" s="489">
        <f>(100+(D22*P2/-0.8))/100</f>
        <v>0.99657558072530961</v>
      </c>
      <c r="G22" s="489">
        <f>(100+(E22*P2/-0.9))/100</f>
        <v>0.99667935100636085</v>
      </c>
      <c r="I22" s="455" t="s">
        <v>441</v>
      </c>
    </row>
    <row r="23" spans="1:19">
      <c r="S23" s="500"/>
    </row>
    <row r="31" spans="1:19">
      <c r="K31" s="435"/>
      <c r="L31" s="435"/>
    </row>
  </sheetData>
  <mergeCells count="4">
    <mergeCell ref="N1:O1"/>
    <mergeCell ref="N2:O2"/>
    <mergeCell ref="N4:O4"/>
    <mergeCell ref="N5:O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2BFE-E0A3-4DDD-BA50-605B1097C2C6}">
  <dimension ref="A1:H111"/>
  <sheetViews>
    <sheetView workbookViewId="0">
      <selection activeCell="F2" sqref="F2"/>
    </sheetView>
  </sheetViews>
  <sheetFormatPr defaultRowHeight="15"/>
  <sheetData>
    <row r="1" spans="1:8">
      <c r="A1" s="465">
        <v>280</v>
      </c>
      <c r="B1" s="465">
        <v>6</v>
      </c>
      <c r="C1" s="466"/>
      <c r="D1" s="466"/>
      <c r="E1" s="466"/>
      <c r="F1" s="466"/>
      <c r="G1" s="466"/>
      <c r="H1" s="466"/>
    </row>
    <row r="2" spans="1:8">
      <c r="A2" s="455"/>
      <c r="B2" s="467" t="s">
        <v>415</v>
      </c>
      <c r="C2" s="468" t="s">
        <v>416</v>
      </c>
      <c r="D2" s="467" t="s">
        <v>417</v>
      </c>
      <c r="E2" s="468" t="s">
        <v>418</v>
      </c>
      <c r="F2" s="467" t="s">
        <v>419</v>
      </c>
      <c r="G2" s="467" t="s">
        <v>420</v>
      </c>
      <c r="H2" s="468" t="s">
        <v>421</v>
      </c>
    </row>
    <row r="3" spans="1:8">
      <c r="A3" s="469">
        <v>0.7</v>
      </c>
      <c r="B3" s="470">
        <f t="shared" ref="B3:B66" si="0">B4-($B$111*0.2/72)</f>
        <v>196.00000000000068</v>
      </c>
      <c r="C3" s="471">
        <f t="shared" ref="C3:C66" si="1">C4-($C$111*0.2/72)</f>
        <v>207.2000000000013</v>
      </c>
      <c r="D3" s="470">
        <f t="shared" ref="D3:D66" si="2">D4-($D$111*0.2/72)</f>
        <v>214.19999999999897</v>
      </c>
      <c r="E3" s="471">
        <f t="shared" ref="E3:E66" si="3">E4-($E$111*0.2/72)</f>
        <v>181.99999999999932</v>
      </c>
      <c r="F3" s="470">
        <f t="shared" ref="F3:F66" si="4">F4-($F$111*0.2/72)</f>
        <v>193.19999999999931</v>
      </c>
      <c r="G3" s="470">
        <f t="shared" ref="G3:G66" si="5">G4-($G$111*0.2/72)</f>
        <v>168.00000000000102</v>
      </c>
      <c r="H3" s="471">
        <f t="shared" ref="H3:H66" si="6">H4-($H$111*0.2/72)</f>
        <v>179.20000000000027</v>
      </c>
    </row>
    <row r="4" spans="1:8">
      <c r="A4" s="469">
        <f>A3+0.00277777777777777</f>
        <v>0.70277777777777772</v>
      </c>
      <c r="B4" s="470">
        <f t="shared" si="0"/>
        <v>196.77777777777845</v>
      </c>
      <c r="C4" s="471">
        <f t="shared" si="1"/>
        <v>208.02222222222352</v>
      </c>
      <c r="D4" s="470">
        <f t="shared" si="2"/>
        <v>215.04999999999896</v>
      </c>
      <c r="E4" s="471">
        <f t="shared" si="3"/>
        <v>182.72222222222155</v>
      </c>
      <c r="F4" s="470">
        <f t="shared" si="4"/>
        <v>193.96666666666599</v>
      </c>
      <c r="G4" s="470">
        <f t="shared" si="5"/>
        <v>168.66666666666768</v>
      </c>
      <c r="H4" s="471">
        <f t="shared" si="6"/>
        <v>179.91111111111138</v>
      </c>
    </row>
    <row r="5" spans="1:8">
      <c r="A5" s="469">
        <f t="shared" ref="A5:A68" si="7">A4+0.00277777777777777</f>
        <v>0.70555555555555549</v>
      </c>
      <c r="B5" s="470">
        <f t="shared" si="0"/>
        <v>197.55555555555623</v>
      </c>
      <c r="C5" s="471">
        <f t="shared" si="1"/>
        <v>208.84444444444574</v>
      </c>
      <c r="D5" s="470">
        <f t="shared" si="2"/>
        <v>215.89999999999895</v>
      </c>
      <c r="E5" s="471">
        <f t="shared" si="3"/>
        <v>183.44444444444377</v>
      </c>
      <c r="F5" s="470">
        <f t="shared" si="4"/>
        <v>194.73333333333267</v>
      </c>
      <c r="G5" s="470">
        <f t="shared" si="5"/>
        <v>169.33333333333434</v>
      </c>
      <c r="H5" s="471">
        <f t="shared" si="6"/>
        <v>180.62222222222249</v>
      </c>
    </row>
    <row r="6" spans="1:8">
      <c r="A6" s="469">
        <f t="shared" si="7"/>
        <v>0.70833333333333326</v>
      </c>
      <c r="B6" s="470">
        <f t="shared" si="0"/>
        <v>198.333333333334</v>
      </c>
      <c r="C6" s="471">
        <f t="shared" si="1"/>
        <v>209.66666666666796</v>
      </c>
      <c r="D6" s="470">
        <f t="shared" si="2"/>
        <v>216.74999999999895</v>
      </c>
      <c r="E6" s="471">
        <f t="shared" si="3"/>
        <v>184.166666666666</v>
      </c>
      <c r="F6" s="470">
        <f t="shared" si="4"/>
        <v>195.49999999999935</v>
      </c>
      <c r="G6" s="470">
        <f t="shared" si="5"/>
        <v>170.00000000000099</v>
      </c>
      <c r="H6" s="471">
        <f t="shared" si="6"/>
        <v>181.3333333333336</v>
      </c>
    </row>
    <row r="7" spans="1:8">
      <c r="A7" s="469">
        <f t="shared" si="7"/>
        <v>0.71111111111111103</v>
      </c>
      <c r="B7" s="470">
        <f t="shared" si="0"/>
        <v>199.11111111111177</v>
      </c>
      <c r="C7" s="471">
        <f t="shared" si="1"/>
        <v>210.48888888889019</v>
      </c>
      <c r="D7" s="470">
        <f t="shared" si="2"/>
        <v>217.59999999999894</v>
      </c>
      <c r="E7" s="471">
        <f t="shared" si="3"/>
        <v>184.88888888888823</v>
      </c>
      <c r="F7" s="470">
        <f t="shared" si="4"/>
        <v>196.26666666666603</v>
      </c>
      <c r="G7" s="470">
        <f t="shared" si="5"/>
        <v>170.66666666666765</v>
      </c>
      <c r="H7" s="471">
        <f t="shared" si="6"/>
        <v>182.04444444444471</v>
      </c>
    </row>
    <row r="8" spans="1:8">
      <c r="A8" s="469">
        <f t="shared" si="7"/>
        <v>0.7138888888888888</v>
      </c>
      <c r="B8" s="470">
        <f t="shared" si="0"/>
        <v>199.88888888888954</v>
      </c>
      <c r="C8" s="471">
        <f t="shared" si="1"/>
        <v>211.31111111111241</v>
      </c>
      <c r="D8" s="470">
        <f t="shared" si="2"/>
        <v>218.44999999999894</v>
      </c>
      <c r="E8" s="471">
        <f t="shared" si="3"/>
        <v>185.61111111111046</v>
      </c>
      <c r="F8" s="470">
        <f t="shared" si="4"/>
        <v>197.03333333333271</v>
      </c>
      <c r="G8" s="470">
        <f t="shared" si="5"/>
        <v>171.33333333333431</v>
      </c>
      <c r="H8" s="471">
        <f t="shared" si="6"/>
        <v>182.75555555555582</v>
      </c>
    </row>
    <row r="9" spans="1:8">
      <c r="A9" s="469">
        <f t="shared" si="7"/>
        <v>0.71666666666666656</v>
      </c>
      <c r="B9" s="470">
        <f t="shared" si="0"/>
        <v>200.66666666666731</v>
      </c>
      <c r="C9" s="471">
        <f t="shared" si="1"/>
        <v>212.13333333333463</v>
      </c>
      <c r="D9" s="470">
        <f t="shared" si="2"/>
        <v>219.29999999999893</v>
      </c>
      <c r="E9" s="471">
        <f t="shared" si="3"/>
        <v>186.33333333333269</v>
      </c>
      <c r="F9" s="470">
        <f t="shared" si="4"/>
        <v>197.79999999999939</v>
      </c>
      <c r="G9" s="470">
        <f t="shared" si="5"/>
        <v>172.00000000000097</v>
      </c>
      <c r="H9" s="471">
        <f t="shared" si="6"/>
        <v>183.46666666666692</v>
      </c>
    </row>
    <row r="10" spans="1:8">
      <c r="A10" s="469">
        <f t="shared" si="7"/>
        <v>0.71944444444444433</v>
      </c>
      <c r="B10" s="470">
        <f t="shared" si="0"/>
        <v>201.44444444444508</v>
      </c>
      <c r="C10" s="471">
        <f t="shared" si="1"/>
        <v>212.95555555555686</v>
      </c>
      <c r="D10" s="470">
        <f t="shared" si="2"/>
        <v>220.14999999999893</v>
      </c>
      <c r="E10" s="471">
        <f t="shared" si="3"/>
        <v>187.05555555555492</v>
      </c>
      <c r="F10" s="470">
        <f t="shared" si="4"/>
        <v>198.56666666666607</v>
      </c>
      <c r="G10" s="470">
        <f t="shared" si="5"/>
        <v>172.66666666666762</v>
      </c>
      <c r="H10" s="471">
        <f t="shared" si="6"/>
        <v>184.17777777777803</v>
      </c>
    </row>
    <row r="11" spans="1:8">
      <c r="A11" s="469">
        <f t="shared" si="7"/>
        <v>0.7222222222222221</v>
      </c>
      <c r="B11" s="470">
        <f t="shared" si="0"/>
        <v>202.22222222222285</v>
      </c>
      <c r="C11" s="471">
        <f t="shared" si="1"/>
        <v>213.77777777777908</v>
      </c>
      <c r="D11" s="470">
        <f t="shared" si="2"/>
        <v>220.99999999999892</v>
      </c>
      <c r="E11" s="471">
        <f t="shared" si="3"/>
        <v>187.77777777777715</v>
      </c>
      <c r="F11" s="470">
        <f t="shared" si="4"/>
        <v>199.33333333333275</v>
      </c>
      <c r="G11" s="470">
        <f t="shared" si="5"/>
        <v>173.33333333333428</v>
      </c>
      <c r="H11" s="471">
        <f t="shared" si="6"/>
        <v>184.88888888888914</v>
      </c>
    </row>
    <row r="12" spans="1:8">
      <c r="A12" s="469">
        <f t="shared" si="7"/>
        <v>0.72499999999999987</v>
      </c>
      <c r="B12" s="470">
        <f t="shared" si="0"/>
        <v>203.00000000000063</v>
      </c>
      <c r="C12" s="471">
        <f t="shared" si="1"/>
        <v>214.6000000000013</v>
      </c>
      <c r="D12" s="470">
        <f t="shared" si="2"/>
        <v>221.84999999999891</v>
      </c>
      <c r="E12" s="471">
        <f t="shared" si="3"/>
        <v>188.49999999999937</v>
      </c>
      <c r="F12" s="470">
        <f t="shared" si="4"/>
        <v>200.09999999999943</v>
      </c>
      <c r="G12" s="470">
        <f t="shared" si="5"/>
        <v>174.00000000000094</v>
      </c>
      <c r="H12" s="471">
        <f t="shared" si="6"/>
        <v>185.60000000000025</v>
      </c>
    </row>
    <row r="13" spans="1:8">
      <c r="A13" s="469">
        <f t="shared" si="7"/>
        <v>0.72777777777777763</v>
      </c>
      <c r="B13" s="470">
        <f t="shared" si="0"/>
        <v>203.7777777777784</v>
      </c>
      <c r="C13" s="471">
        <f t="shared" si="1"/>
        <v>215.42222222222352</v>
      </c>
      <c r="D13" s="470">
        <f t="shared" si="2"/>
        <v>222.69999999999891</v>
      </c>
      <c r="E13" s="471">
        <f t="shared" si="3"/>
        <v>189.2222222222216</v>
      </c>
      <c r="F13" s="470">
        <f t="shared" si="4"/>
        <v>200.86666666666611</v>
      </c>
      <c r="G13" s="470">
        <f t="shared" si="5"/>
        <v>174.6666666666676</v>
      </c>
      <c r="H13" s="471">
        <f t="shared" si="6"/>
        <v>186.31111111111136</v>
      </c>
    </row>
    <row r="14" spans="1:8">
      <c r="A14" s="469">
        <f t="shared" si="7"/>
        <v>0.7305555555555554</v>
      </c>
      <c r="B14" s="470">
        <f t="shared" si="0"/>
        <v>204.55555555555617</v>
      </c>
      <c r="C14" s="471">
        <f t="shared" si="1"/>
        <v>216.24444444444575</v>
      </c>
      <c r="D14" s="470">
        <f t="shared" si="2"/>
        <v>223.5499999999989</v>
      </c>
      <c r="E14" s="471">
        <f t="shared" si="3"/>
        <v>189.94444444444383</v>
      </c>
      <c r="F14" s="470">
        <f t="shared" si="4"/>
        <v>201.63333333333279</v>
      </c>
      <c r="G14" s="470">
        <f t="shared" si="5"/>
        <v>175.33333333333425</v>
      </c>
      <c r="H14" s="471">
        <f t="shared" si="6"/>
        <v>187.02222222222247</v>
      </c>
    </row>
    <row r="15" spans="1:8">
      <c r="A15" s="469">
        <f t="shared" si="7"/>
        <v>0.73333333333333317</v>
      </c>
      <c r="B15" s="470">
        <f t="shared" si="0"/>
        <v>205.33333333333394</v>
      </c>
      <c r="C15" s="471">
        <f t="shared" si="1"/>
        <v>217.06666666666797</v>
      </c>
      <c r="D15" s="470">
        <f t="shared" si="2"/>
        <v>224.3999999999989</v>
      </c>
      <c r="E15" s="471">
        <f t="shared" si="3"/>
        <v>190.66666666666606</v>
      </c>
      <c r="F15" s="470">
        <f t="shared" si="4"/>
        <v>202.39999999999947</v>
      </c>
      <c r="G15" s="470">
        <f t="shared" si="5"/>
        <v>176.00000000000091</v>
      </c>
      <c r="H15" s="471">
        <f t="shared" si="6"/>
        <v>187.73333333333358</v>
      </c>
    </row>
    <row r="16" spans="1:8">
      <c r="A16" s="469">
        <f t="shared" si="7"/>
        <v>0.73611111111111094</v>
      </c>
      <c r="B16" s="470">
        <f t="shared" si="0"/>
        <v>206.11111111111171</v>
      </c>
      <c r="C16" s="471">
        <f t="shared" si="1"/>
        <v>217.88888888889019</v>
      </c>
      <c r="D16" s="470">
        <f t="shared" si="2"/>
        <v>225.24999999999889</v>
      </c>
      <c r="E16" s="471">
        <f t="shared" si="3"/>
        <v>191.38888888888829</v>
      </c>
      <c r="F16" s="470">
        <f t="shared" si="4"/>
        <v>203.16666666666615</v>
      </c>
      <c r="G16" s="470">
        <f t="shared" si="5"/>
        <v>176.66666666666757</v>
      </c>
      <c r="H16" s="471">
        <f t="shared" si="6"/>
        <v>188.44444444444468</v>
      </c>
    </row>
    <row r="17" spans="1:8">
      <c r="A17" s="469">
        <f t="shared" si="7"/>
        <v>0.73888888888888871</v>
      </c>
      <c r="B17" s="470">
        <f t="shared" si="0"/>
        <v>206.88888888888948</v>
      </c>
      <c r="C17" s="471">
        <f t="shared" si="1"/>
        <v>218.71111111111242</v>
      </c>
      <c r="D17" s="470">
        <f t="shared" si="2"/>
        <v>226.09999999999889</v>
      </c>
      <c r="E17" s="471">
        <f t="shared" si="3"/>
        <v>192.11111111111052</v>
      </c>
      <c r="F17" s="470">
        <f t="shared" si="4"/>
        <v>203.93333333333283</v>
      </c>
      <c r="G17" s="470">
        <f t="shared" si="5"/>
        <v>177.33333333333422</v>
      </c>
      <c r="H17" s="471">
        <f t="shared" si="6"/>
        <v>189.15555555555579</v>
      </c>
    </row>
    <row r="18" spans="1:8">
      <c r="A18" s="469">
        <f t="shared" si="7"/>
        <v>0.74166666666666647</v>
      </c>
      <c r="B18" s="470">
        <f t="shared" si="0"/>
        <v>207.66666666666725</v>
      </c>
      <c r="C18" s="471">
        <f t="shared" si="1"/>
        <v>219.53333333333464</v>
      </c>
      <c r="D18" s="470">
        <f t="shared" si="2"/>
        <v>226.94999999999888</v>
      </c>
      <c r="E18" s="471">
        <f t="shared" si="3"/>
        <v>192.83333333333275</v>
      </c>
      <c r="F18" s="470">
        <f t="shared" si="4"/>
        <v>204.69999999999951</v>
      </c>
      <c r="G18" s="470">
        <f t="shared" si="5"/>
        <v>178.00000000000088</v>
      </c>
      <c r="H18" s="471">
        <f t="shared" si="6"/>
        <v>189.8666666666669</v>
      </c>
    </row>
    <row r="19" spans="1:8">
      <c r="A19" s="469">
        <f t="shared" si="7"/>
        <v>0.74444444444444424</v>
      </c>
      <c r="B19" s="470">
        <f t="shared" si="0"/>
        <v>208.44444444444503</v>
      </c>
      <c r="C19" s="471">
        <f t="shared" si="1"/>
        <v>220.35555555555686</v>
      </c>
      <c r="D19" s="470">
        <f t="shared" si="2"/>
        <v>227.79999999999887</v>
      </c>
      <c r="E19" s="471">
        <f t="shared" si="3"/>
        <v>193.55555555555497</v>
      </c>
      <c r="F19" s="470">
        <f t="shared" si="4"/>
        <v>205.46666666666619</v>
      </c>
      <c r="G19" s="470">
        <f t="shared" si="5"/>
        <v>178.66666666666754</v>
      </c>
      <c r="H19" s="471">
        <f t="shared" si="6"/>
        <v>190.57777777777801</v>
      </c>
    </row>
    <row r="20" spans="1:8">
      <c r="A20" s="469">
        <f t="shared" si="7"/>
        <v>0.74722222222222201</v>
      </c>
      <c r="B20" s="470">
        <f t="shared" si="0"/>
        <v>209.2222222222228</v>
      </c>
      <c r="C20" s="471">
        <f t="shared" si="1"/>
        <v>221.17777777777908</v>
      </c>
      <c r="D20" s="470">
        <f t="shared" si="2"/>
        <v>228.64999999999887</v>
      </c>
      <c r="E20" s="471">
        <f t="shared" si="3"/>
        <v>194.2777777777772</v>
      </c>
      <c r="F20" s="470">
        <f t="shared" si="4"/>
        <v>206.23333333333287</v>
      </c>
      <c r="G20" s="470">
        <f t="shared" si="5"/>
        <v>179.3333333333342</v>
      </c>
      <c r="H20" s="471">
        <f t="shared" si="6"/>
        <v>191.28888888888912</v>
      </c>
    </row>
    <row r="21" spans="1:8">
      <c r="A21" s="469">
        <f t="shared" si="7"/>
        <v>0.74999999999999978</v>
      </c>
      <c r="B21" s="470">
        <f t="shared" si="0"/>
        <v>210.00000000000057</v>
      </c>
      <c r="C21" s="471">
        <f t="shared" si="1"/>
        <v>222.00000000000131</v>
      </c>
      <c r="D21" s="470">
        <f t="shared" si="2"/>
        <v>229.49999999999886</v>
      </c>
      <c r="E21" s="471">
        <f t="shared" si="3"/>
        <v>194.99999999999943</v>
      </c>
      <c r="F21" s="470">
        <f t="shared" si="4"/>
        <v>206.99999999999955</v>
      </c>
      <c r="G21" s="470">
        <f t="shared" si="5"/>
        <v>180.00000000000085</v>
      </c>
      <c r="H21" s="471">
        <f t="shared" si="6"/>
        <v>192.00000000000023</v>
      </c>
    </row>
    <row r="22" spans="1:8">
      <c r="A22" s="469">
        <f t="shared" si="7"/>
        <v>0.75277777777777755</v>
      </c>
      <c r="B22" s="470">
        <f t="shared" si="0"/>
        <v>210.77777777777834</v>
      </c>
      <c r="C22" s="471">
        <f t="shared" si="1"/>
        <v>222.82222222222353</v>
      </c>
      <c r="D22" s="470">
        <f t="shared" si="2"/>
        <v>230.34999999999886</v>
      </c>
      <c r="E22" s="471">
        <f t="shared" si="3"/>
        <v>195.72222222222166</v>
      </c>
      <c r="F22" s="470">
        <f t="shared" si="4"/>
        <v>207.76666666666623</v>
      </c>
      <c r="G22" s="470">
        <f t="shared" si="5"/>
        <v>180.66666666666751</v>
      </c>
      <c r="H22" s="471">
        <f t="shared" si="6"/>
        <v>192.71111111111134</v>
      </c>
    </row>
    <row r="23" spans="1:8">
      <c r="A23" s="469">
        <f t="shared" si="7"/>
        <v>0.75555555555555531</v>
      </c>
      <c r="B23" s="470">
        <f t="shared" si="0"/>
        <v>211.55555555555611</v>
      </c>
      <c r="C23" s="471">
        <f t="shared" si="1"/>
        <v>223.64444444444575</v>
      </c>
      <c r="D23" s="470">
        <f t="shared" si="2"/>
        <v>231.19999999999885</v>
      </c>
      <c r="E23" s="471">
        <f t="shared" si="3"/>
        <v>196.44444444444389</v>
      </c>
      <c r="F23" s="470">
        <f t="shared" si="4"/>
        <v>208.53333333333291</v>
      </c>
      <c r="G23" s="470">
        <f t="shared" si="5"/>
        <v>181.33333333333417</v>
      </c>
      <c r="H23" s="471">
        <f t="shared" si="6"/>
        <v>193.42222222222244</v>
      </c>
    </row>
    <row r="24" spans="1:8">
      <c r="A24" s="469">
        <f t="shared" si="7"/>
        <v>0.75833333333333308</v>
      </c>
      <c r="B24" s="470">
        <f t="shared" si="0"/>
        <v>212.33333333333388</v>
      </c>
      <c r="C24" s="471">
        <f t="shared" si="1"/>
        <v>224.46666666666798</v>
      </c>
      <c r="D24" s="470">
        <f t="shared" si="2"/>
        <v>232.04999999999885</v>
      </c>
      <c r="E24" s="471">
        <f t="shared" si="3"/>
        <v>197.16666666666612</v>
      </c>
      <c r="F24" s="470">
        <f t="shared" si="4"/>
        <v>209.29999999999959</v>
      </c>
      <c r="G24" s="470">
        <f t="shared" si="5"/>
        <v>182.00000000000082</v>
      </c>
      <c r="H24" s="471">
        <f t="shared" si="6"/>
        <v>194.13333333333355</v>
      </c>
    </row>
    <row r="25" spans="1:8">
      <c r="A25" s="469">
        <f t="shared" si="7"/>
        <v>0.76111111111111085</v>
      </c>
      <c r="B25" s="470">
        <f t="shared" si="0"/>
        <v>213.11111111111165</v>
      </c>
      <c r="C25" s="471">
        <f t="shared" si="1"/>
        <v>225.2888888888902</v>
      </c>
      <c r="D25" s="470">
        <f t="shared" si="2"/>
        <v>232.89999999999884</v>
      </c>
      <c r="E25" s="471">
        <f t="shared" si="3"/>
        <v>197.88888888888835</v>
      </c>
      <c r="F25" s="470">
        <f t="shared" si="4"/>
        <v>210.06666666666626</v>
      </c>
      <c r="G25" s="470">
        <f t="shared" si="5"/>
        <v>182.66666666666748</v>
      </c>
      <c r="H25" s="471">
        <f t="shared" si="6"/>
        <v>194.84444444444466</v>
      </c>
    </row>
    <row r="26" spans="1:8">
      <c r="A26" s="469">
        <f t="shared" si="7"/>
        <v>0.76388888888888862</v>
      </c>
      <c r="B26" s="470">
        <f t="shared" si="0"/>
        <v>213.88888888888943</v>
      </c>
      <c r="C26" s="471">
        <f t="shared" si="1"/>
        <v>226.11111111111242</v>
      </c>
      <c r="D26" s="470">
        <f t="shared" si="2"/>
        <v>233.74999999999883</v>
      </c>
      <c r="E26" s="471">
        <f t="shared" si="3"/>
        <v>198.61111111111057</v>
      </c>
      <c r="F26" s="470">
        <f t="shared" si="4"/>
        <v>210.83333333333294</v>
      </c>
      <c r="G26" s="470">
        <f t="shared" si="5"/>
        <v>183.33333333333414</v>
      </c>
      <c r="H26" s="471">
        <f t="shared" si="6"/>
        <v>195.55555555555577</v>
      </c>
    </row>
    <row r="27" spans="1:8">
      <c r="A27" s="469">
        <f t="shared" si="7"/>
        <v>0.76666666666666639</v>
      </c>
      <c r="B27" s="470">
        <f t="shared" si="0"/>
        <v>214.6666666666672</v>
      </c>
      <c r="C27" s="471">
        <f t="shared" si="1"/>
        <v>226.93333333333464</v>
      </c>
      <c r="D27" s="470">
        <f t="shared" si="2"/>
        <v>234.59999999999883</v>
      </c>
      <c r="E27" s="471">
        <f t="shared" si="3"/>
        <v>199.3333333333328</v>
      </c>
      <c r="F27" s="470">
        <f t="shared" si="4"/>
        <v>211.59999999999962</v>
      </c>
      <c r="G27" s="470">
        <f t="shared" si="5"/>
        <v>184.0000000000008</v>
      </c>
      <c r="H27" s="471">
        <f t="shared" si="6"/>
        <v>196.26666666666688</v>
      </c>
    </row>
    <row r="28" spans="1:8">
      <c r="A28" s="469">
        <f t="shared" si="7"/>
        <v>0.76944444444444415</v>
      </c>
      <c r="B28" s="470">
        <f t="shared" si="0"/>
        <v>215.44444444444497</v>
      </c>
      <c r="C28" s="471">
        <f t="shared" si="1"/>
        <v>227.75555555555687</v>
      </c>
      <c r="D28" s="470">
        <f t="shared" si="2"/>
        <v>235.44999999999882</v>
      </c>
      <c r="E28" s="471">
        <f t="shared" si="3"/>
        <v>200.05555555555503</v>
      </c>
      <c r="F28" s="470">
        <f t="shared" si="4"/>
        <v>212.3666666666663</v>
      </c>
      <c r="G28" s="470">
        <f t="shared" si="5"/>
        <v>184.66666666666745</v>
      </c>
      <c r="H28" s="471">
        <f t="shared" si="6"/>
        <v>196.97777777777799</v>
      </c>
    </row>
    <row r="29" spans="1:8">
      <c r="A29" s="469">
        <f t="shared" si="7"/>
        <v>0.77222222222222192</v>
      </c>
      <c r="B29" s="470">
        <f t="shared" si="0"/>
        <v>216.22222222222274</v>
      </c>
      <c r="C29" s="471">
        <f t="shared" si="1"/>
        <v>228.57777777777909</v>
      </c>
      <c r="D29" s="470">
        <f t="shared" si="2"/>
        <v>236.29999999999882</v>
      </c>
      <c r="E29" s="471">
        <f t="shared" si="3"/>
        <v>200.77777777777726</v>
      </c>
      <c r="F29" s="470">
        <f t="shared" si="4"/>
        <v>213.13333333333298</v>
      </c>
      <c r="G29" s="470">
        <f t="shared" si="5"/>
        <v>185.33333333333411</v>
      </c>
      <c r="H29" s="471">
        <f t="shared" si="6"/>
        <v>197.6888888888891</v>
      </c>
    </row>
    <row r="30" spans="1:8">
      <c r="A30" s="469">
        <f t="shared" si="7"/>
        <v>0.77499999999999969</v>
      </c>
      <c r="B30" s="470">
        <f t="shared" si="0"/>
        <v>217.00000000000051</v>
      </c>
      <c r="C30" s="471">
        <f t="shared" si="1"/>
        <v>229.40000000000131</v>
      </c>
      <c r="D30" s="470">
        <f t="shared" si="2"/>
        <v>237.14999999999881</v>
      </c>
      <c r="E30" s="471">
        <f t="shared" si="3"/>
        <v>201.49999999999949</v>
      </c>
      <c r="F30" s="470">
        <f t="shared" si="4"/>
        <v>213.89999999999966</v>
      </c>
      <c r="G30" s="470">
        <f t="shared" si="5"/>
        <v>186.00000000000077</v>
      </c>
      <c r="H30" s="471">
        <f t="shared" si="6"/>
        <v>198.4000000000002</v>
      </c>
    </row>
    <row r="31" spans="1:8">
      <c r="A31" s="469">
        <f t="shared" si="7"/>
        <v>0.77777777777777746</v>
      </c>
      <c r="B31" s="470">
        <f t="shared" si="0"/>
        <v>217.77777777777828</v>
      </c>
      <c r="C31" s="471">
        <f t="shared" si="1"/>
        <v>230.22222222222354</v>
      </c>
      <c r="D31" s="470">
        <f t="shared" si="2"/>
        <v>237.99999999999881</v>
      </c>
      <c r="E31" s="471">
        <f t="shared" si="3"/>
        <v>202.22222222222172</v>
      </c>
      <c r="F31" s="470">
        <f t="shared" si="4"/>
        <v>214.66666666666634</v>
      </c>
      <c r="G31" s="470">
        <f t="shared" si="5"/>
        <v>186.66666666666742</v>
      </c>
      <c r="H31" s="471">
        <f t="shared" si="6"/>
        <v>199.11111111111131</v>
      </c>
    </row>
    <row r="32" spans="1:8">
      <c r="A32" s="469">
        <f t="shared" si="7"/>
        <v>0.78055555555555522</v>
      </c>
      <c r="B32" s="470">
        <f t="shared" si="0"/>
        <v>218.55555555555605</v>
      </c>
      <c r="C32" s="471">
        <f t="shared" si="1"/>
        <v>231.04444444444576</v>
      </c>
      <c r="D32" s="470">
        <f t="shared" si="2"/>
        <v>238.8499999999988</v>
      </c>
      <c r="E32" s="471">
        <f t="shared" si="3"/>
        <v>202.94444444444395</v>
      </c>
      <c r="F32" s="470">
        <f t="shared" si="4"/>
        <v>215.43333333333302</v>
      </c>
      <c r="G32" s="470">
        <f t="shared" si="5"/>
        <v>187.33333333333408</v>
      </c>
      <c r="H32" s="471">
        <f t="shared" si="6"/>
        <v>199.82222222222242</v>
      </c>
    </row>
    <row r="33" spans="1:8">
      <c r="A33" s="469">
        <f t="shared" si="7"/>
        <v>0.78333333333333299</v>
      </c>
      <c r="B33" s="470">
        <f t="shared" si="0"/>
        <v>219.33333333333383</v>
      </c>
      <c r="C33" s="471">
        <f t="shared" si="1"/>
        <v>231.86666666666798</v>
      </c>
      <c r="D33" s="470">
        <f t="shared" si="2"/>
        <v>239.69999999999879</v>
      </c>
      <c r="E33" s="471">
        <f t="shared" si="3"/>
        <v>203.66666666666617</v>
      </c>
      <c r="F33" s="470">
        <f t="shared" si="4"/>
        <v>216.1999999999997</v>
      </c>
      <c r="G33" s="470">
        <f t="shared" si="5"/>
        <v>188.00000000000074</v>
      </c>
      <c r="H33" s="471">
        <f t="shared" si="6"/>
        <v>200.53333333333353</v>
      </c>
    </row>
    <row r="34" spans="1:8">
      <c r="A34" s="469">
        <f t="shared" si="7"/>
        <v>0.78611111111111076</v>
      </c>
      <c r="B34" s="470">
        <f t="shared" si="0"/>
        <v>220.1111111111116</v>
      </c>
      <c r="C34" s="471">
        <f t="shared" si="1"/>
        <v>232.6888888888902</v>
      </c>
      <c r="D34" s="470">
        <f t="shared" si="2"/>
        <v>240.54999999999879</v>
      </c>
      <c r="E34" s="471">
        <f t="shared" si="3"/>
        <v>204.3888888888884</v>
      </c>
      <c r="F34" s="470">
        <f t="shared" si="4"/>
        <v>216.96666666666638</v>
      </c>
      <c r="G34" s="470">
        <f t="shared" si="5"/>
        <v>188.6666666666674</v>
      </c>
      <c r="H34" s="471">
        <f t="shared" si="6"/>
        <v>201.24444444444464</v>
      </c>
    </row>
    <row r="35" spans="1:8">
      <c r="A35" s="469">
        <f t="shared" si="7"/>
        <v>0.78888888888888853</v>
      </c>
      <c r="B35" s="470">
        <f t="shared" si="0"/>
        <v>220.88888888888937</v>
      </c>
      <c r="C35" s="471">
        <f t="shared" si="1"/>
        <v>233.51111111111243</v>
      </c>
      <c r="D35" s="470">
        <f t="shared" si="2"/>
        <v>241.39999999999878</v>
      </c>
      <c r="E35" s="471">
        <f t="shared" si="3"/>
        <v>205.11111111111063</v>
      </c>
      <c r="F35" s="470">
        <f t="shared" si="4"/>
        <v>217.73333333333306</v>
      </c>
      <c r="G35" s="470">
        <f t="shared" si="5"/>
        <v>189.33333333333405</v>
      </c>
      <c r="H35" s="471">
        <f t="shared" si="6"/>
        <v>201.95555555555575</v>
      </c>
    </row>
    <row r="36" spans="1:8">
      <c r="A36" s="469">
        <f t="shared" si="7"/>
        <v>0.7916666666666663</v>
      </c>
      <c r="B36" s="470">
        <f t="shared" si="0"/>
        <v>221.66666666666714</v>
      </c>
      <c r="C36" s="471">
        <f t="shared" si="1"/>
        <v>234.33333333333465</v>
      </c>
      <c r="D36" s="470">
        <f t="shared" si="2"/>
        <v>242.24999999999878</v>
      </c>
      <c r="E36" s="471">
        <f t="shared" si="3"/>
        <v>205.83333333333286</v>
      </c>
      <c r="F36" s="470">
        <f t="shared" si="4"/>
        <v>218.49999999999974</v>
      </c>
      <c r="G36" s="470">
        <f t="shared" si="5"/>
        <v>190.00000000000071</v>
      </c>
      <c r="H36" s="471">
        <f t="shared" si="6"/>
        <v>202.66666666666686</v>
      </c>
    </row>
    <row r="37" spans="1:8">
      <c r="A37" s="469">
        <f t="shared" si="7"/>
        <v>0.79444444444444406</v>
      </c>
      <c r="B37" s="470">
        <f t="shared" si="0"/>
        <v>222.44444444444491</v>
      </c>
      <c r="C37" s="471">
        <f t="shared" si="1"/>
        <v>235.15555555555687</v>
      </c>
      <c r="D37" s="470">
        <f t="shared" si="2"/>
        <v>243.09999999999877</v>
      </c>
      <c r="E37" s="471">
        <f t="shared" si="3"/>
        <v>206.55555555555509</v>
      </c>
      <c r="F37" s="470">
        <f t="shared" si="4"/>
        <v>219.26666666666642</v>
      </c>
      <c r="G37" s="470">
        <f t="shared" si="5"/>
        <v>190.66666666666737</v>
      </c>
      <c r="H37" s="471">
        <f t="shared" si="6"/>
        <v>203.37777777777796</v>
      </c>
    </row>
    <row r="38" spans="1:8">
      <c r="A38" s="469">
        <f t="shared" si="7"/>
        <v>0.79722222222222183</v>
      </c>
      <c r="B38" s="470">
        <f t="shared" si="0"/>
        <v>223.22222222222268</v>
      </c>
      <c r="C38" s="471">
        <f t="shared" si="1"/>
        <v>235.9777777777791</v>
      </c>
      <c r="D38" s="470">
        <f t="shared" si="2"/>
        <v>243.94999999999877</v>
      </c>
      <c r="E38" s="471">
        <f t="shared" si="3"/>
        <v>207.27777777777732</v>
      </c>
      <c r="F38" s="470">
        <f t="shared" si="4"/>
        <v>220.0333333333331</v>
      </c>
      <c r="G38" s="470">
        <f t="shared" si="5"/>
        <v>191.33333333333402</v>
      </c>
      <c r="H38" s="471">
        <f t="shared" si="6"/>
        <v>204.08888888888907</v>
      </c>
    </row>
    <row r="39" spans="1:8">
      <c r="A39" s="469">
        <f t="shared" si="7"/>
        <v>0.7999999999999996</v>
      </c>
      <c r="B39" s="470">
        <f t="shared" si="0"/>
        <v>224.00000000000045</v>
      </c>
      <c r="C39" s="471">
        <f t="shared" si="1"/>
        <v>236.80000000000132</v>
      </c>
      <c r="D39" s="470">
        <f t="shared" si="2"/>
        <v>244.79999999999876</v>
      </c>
      <c r="E39" s="471">
        <f t="shared" si="3"/>
        <v>207.99999999999955</v>
      </c>
      <c r="F39" s="470">
        <f t="shared" si="4"/>
        <v>220.79999999999978</v>
      </c>
      <c r="G39" s="470">
        <f t="shared" si="5"/>
        <v>192.00000000000068</v>
      </c>
      <c r="H39" s="471">
        <f t="shared" si="6"/>
        <v>204.80000000000018</v>
      </c>
    </row>
    <row r="40" spans="1:8">
      <c r="A40" s="469">
        <f t="shared" si="7"/>
        <v>0.80277777777777737</v>
      </c>
      <c r="B40" s="470">
        <f t="shared" si="0"/>
        <v>224.77777777777823</v>
      </c>
      <c r="C40" s="471">
        <f t="shared" si="1"/>
        <v>237.62222222222354</v>
      </c>
      <c r="D40" s="470">
        <f t="shared" si="2"/>
        <v>245.64999999999876</v>
      </c>
      <c r="E40" s="471">
        <f t="shared" si="3"/>
        <v>208.72222222222177</v>
      </c>
      <c r="F40" s="470">
        <f t="shared" si="4"/>
        <v>221.56666666666646</v>
      </c>
      <c r="G40" s="470">
        <f t="shared" si="5"/>
        <v>192.66666666666734</v>
      </c>
      <c r="H40" s="471">
        <f t="shared" si="6"/>
        <v>205.51111111111129</v>
      </c>
    </row>
    <row r="41" spans="1:8">
      <c r="A41" s="469">
        <f t="shared" si="7"/>
        <v>0.80555555555555514</v>
      </c>
      <c r="B41" s="470">
        <f t="shared" si="0"/>
        <v>225.555555555556</v>
      </c>
      <c r="C41" s="471">
        <f t="shared" si="1"/>
        <v>238.44444444444576</v>
      </c>
      <c r="D41" s="470">
        <f t="shared" si="2"/>
        <v>246.49999999999875</v>
      </c>
      <c r="E41" s="471">
        <f t="shared" si="3"/>
        <v>209.444444444444</v>
      </c>
      <c r="F41" s="470">
        <f t="shared" si="4"/>
        <v>222.33333333333314</v>
      </c>
      <c r="G41" s="470">
        <f t="shared" si="5"/>
        <v>193.333333333334</v>
      </c>
      <c r="H41" s="471">
        <f t="shared" si="6"/>
        <v>206.2222222222224</v>
      </c>
    </row>
    <row r="42" spans="1:8">
      <c r="A42" s="469">
        <f t="shared" si="7"/>
        <v>0.8083333333333329</v>
      </c>
      <c r="B42" s="470">
        <f t="shared" si="0"/>
        <v>226.33333333333377</v>
      </c>
      <c r="C42" s="471">
        <f t="shared" si="1"/>
        <v>239.26666666666799</v>
      </c>
      <c r="D42" s="470">
        <f t="shared" si="2"/>
        <v>247.34999999999874</v>
      </c>
      <c r="E42" s="471">
        <f t="shared" si="3"/>
        <v>210.16666666666623</v>
      </c>
      <c r="F42" s="470">
        <f t="shared" si="4"/>
        <v>223.09999999999982</v>
      </c>
      <c r="G42" s="470">
        <f t="shared" si="5"/>
        <v>194.00000000000065</v>
      </c>
      <c r="H42" s="471">
        <f t="shared" si="6"/>
        <v>206.93333333333351</v>
      </c>
    </row>
    <row r="43" spans="1:8">
      <c r="A43" s="469">
        <f t="shared" si="7"/>
        <v>0.81111111111111067</v>
      </c>
      <c r="B43" s="470">
        <f t="shared" si="0"/>
        <v>227.11111111111154</v>
      </c>
      <c r="C43" s="471">
        <f t="shared" si="1"/>
        <v>240.08888888889021</v>
      </c>
      <c r="D43" s="470">
        <f t="shared" si="2"/>
        <v>248.19999999999874</v>
      </c>
      <c r="E43" s="471">
        <f t="shared" si="3"/>
        <v>210.88888888888846</v>
      </c>
      <c r="F43" s="470">
        <f t="shared" si="4"/>
        <v>223.8666666666665</v>
      </c>
      <c r="G43" s="470">
        <f t="shared" si="5"/>
        <v>194.66666666666731</v>
      </c>
      <c r="H43" s="471">
        <f t="shared" si="6"/>
        <v>207.64444444444462</v>
      </c>
    </row>
    <row r="44" spans="1:8">
      <c r="A44" s="469">
        <f t="shared" si="7"/>
        <v>0.81388888888888844</v>
      </c>
      <c r="B44" s="470">
        <f t="shared" si="0"/>
        <v>227.88888888888931</v>
      </c>
      <c r="C44" s="471">
        <f t="shared" si="1"/>
        <v>240.91111111111243</v>
      </c>
      <c r="D44" s="470">
        <f t="shared" si="2"/>
        <v>249.04999999999873</v>
      </c>
      <c r="E44" s="471">
        <f t="shared" si="3"/>
        <v>211.61111111111069</v>
      </c>
      <c r="F44" s="470">
        <f t="shared" si="4"/>
        <v>224.63333333333318</v>
      </c>
      <c r="G44" s="470">
        <f t="shared" si="5"/>
        <v>195.33333333333397</v>
      </c>
      <c r="H44" s="471">
        <f t="shared" si="6"/>
        <v>208.35555555555572</v>
      </c>
    </row>
    <row r="45" spans="1:8">
      <c r="A45" s="469">
        <f t="shared" si="7"/>
        <v>0.81666666666666621</v>
      </c>
      <c r="B45" s="470">
        <f t="shared" si="0"/>
        <v>228.66666666666708</v>
      </c>
      <c r="C45" s="471">
        <f t="shared" si="1"/>
        <v>241.73333333333466</v>
      </c>
      <c r="D45" s="470">
        <f t="shared" si="2"/>
        <v>249.89999999999873</v>
      </c>
      <c r="E45" s="471">
        <f t="shared" si="3"/>
        <v>212.33333333333292</v>
      </c>
      <c r="F45" s="470">
        <f t="shared" si="4"/>
        <v>225.39999999999986</v>
      </c>
      <c r="G45" s="470">
        <f t="shared" si="5"/>
        <v>196.00000000000063</v>
      </c>
      <c r="H45" s="471">
        <f t="shared" si="6"/>
        <v>209.06666666666683</v>
      </c>
    </row>
    <row r="46" spans="1:8">
      <c r="A46" s="469">
        <f t="shared" si="7"/>
        <v>0.81944444444444398</v>
      </c>
      <c r="B46" s="470">
        <f t="shared" si="0"/>
        <v>229.44444444444485</v>
      </c>
      <c r="C46" s="471">
        <f t="shared" si="1"/>
        <v>242.55555555555688</v>
      </c>
      <c r="D46" s="470">
        <f t="shared" si="2"/>
        <v>250.74999999999872</v>
      </c>
      <c r="E46" s="471">
        <f t="shared" si="3"/>
        <v>213.05555555555515</v>
      </c>
      <c r="F46" s="470">
        <f t="shared" si="4"/>
        <v>226.16666666666654</v>
      </c>
      <c r="G46" s="470">
        <f t="shared" si="5"/>
        <v>196.66666666666728</v>
      </c>
      <c r="H46" s="471">
        <f t="shared" si="6"/>
        <v>209.77777777777794</v>
      </c>
    </row>
    <row r="47" spans="1:8">
      <c r="A47" s="469">
        <f t="shared" si="7"/>
        <v>0.82222222222222174</v>
      </c>
      <c r="B47" s="470">
        <f t="shared" si="0"/>
        <v>230.22222222222263</v>
      </c>
      <c r="C47" s="471">
        <f t="shared" si="1"/>
        <v>243.3777777777791</v>
      </c>
      <c r="D47" s="470">
        <f t="shared" si="2"/>
        <v>251.59999999999872</v>
      </c>
      <c r="E47" s="471">
        <f t="shared" si="3"/>
        <v>213.77777777777737</v>
      </c>
      <c r="F47" s="470">
        <f t="shared" si="4"/>
        <v>226.93333333333322</v>
      </c>
      <c r="G47" s="470">
        <f t="shared" si="5"/>
        <v>197.33333333333394</v>
      </c>
      <c r="H47" s="471">
        <f t="shared" si="6"/>
        <v>210.48888888888905</v>
      </c>
    </row>
    <row r="48" spans="1:8">
      <c r="A48" s="469">
        <f t="shared" si="7"/>
        <v>0.82499999999999951</v>
      </c>
      <c r="B48" s="470">
        <f t="shared" si="0"/>
        <v>231.0000000000004</v>
      </c>
      <c r="C48" s="471">
        <f t="shared" si="1"/>
        <v>244.20000000000132</v>
      </c>
      <c r="D48" s="470">
        <f t="shared" si="2"/>
        <v>252.44999999999871</v>
      </c>
      <c r="E48" s="471">
        <f t="shared" si="3"/>
        <v>214.4999999999996</v>
      </c>
      <c r="F48" s="470">
        <f t="shared" si="4"/>
        <v>227.6999999999999</v>
      </c>
      <c r="G48" s="470">
        <f t="shared" si="5"/>
        <v>198.0000000000006</v>
      </c>
      <c r="H48" s="471">
        <f t="shared" si="6"/>
        <v>211.20000000000016</v>
      </c>
    </row>
    <row r="49" spans="1:8">
      <c r="A49" s="469">
        <f t="shared" si="7"/>
        <v>0.82777777777777728</v>
      </c>
      <c r="B49" s="470">
        <f t="shared" si="0"/>
        <v>231.77777777777817</v>
      </c>
      <c r="C49" s="471">
        <f t="shared" si="1"/>
        <v>245.02222222222355</v>
      </c>
      <c r="D49" s="470">
        <f t="shared" si="2"/>
        <v>253.2999999999987</v>
      </c>
      <c r="E49" s="471">
        <f t="shared" si="3"/>
        <v>215.22222222222183</v>
      </c>
      <c r="F49" s="470">
        <f t="shared" si="4"/>
        <v>228.46666666666658</v>
      </c>
      <c r="G49" s="470">
        <f t="shared" si="5"/>
        <v>198.66666666666725</v>
      </c>
      <c r="H49" s="471">
        <f t="shared" si="6"/>
        <v>211.91111111111127</v>
      </c>
    </row>
    <row r="50" spans="1:8">
      <c r="A50" s="469">
        <f t="shared" si="7"/>
        <v>0.83055555555555505</v>
      </c>
      <c r="B50" s="470">
        <f t="shared" si="0"/>
        <v>232.55555555555594</v>
      </c>
      <c r="C50" s="471">
        <f t="shared" si="1"/>
        <v>245.84444444444577</v>
      </c>
      <c r="D50" s="470">
        <f t="shared" si="2"/>
        <v>254.1499999999987</v>
      </c>
      <c r="E50" s="471">
        <f t="shared" si="3"/>
        <v>215.94444444444406</v>
      </c>
      <c r="F50" s="470">
        <f t="shared" si="4"/>
        <v>229.23333333333326</v>
      </c>
      <c r="G50" s="470">
        <f t="shared" si="5"/>
        <v>199.33333333333391</v>
      </c>
      <c r="H50" s="471">
        <f t="shared" si="6"/>
        <v>212.62222222222238</v>
      </c>
    </row>
    <row r="51" spans="1:8">
      <c r="A51" s="469">
        <f t="shared" si="7"/>
        <v>0.83333333333333282</v>
      </c>
      <c r="B51" s="470">
        <f t="shared" si="0"/>
        <v>233.33333333333371</v>
      </c>
      <c r="C51" s="471">
        <f t="shared" si="1"/>
        <v>246.66666666666799</v>
      </c>
      <c r="D51" s="470">
        <f t="shared" si="2"/>
        <v>254.99999999999869</v>
      </c>
      <c r="E51" s="471">
        <f t="shared" si="3"/>
        <v>216.66666666666629</v>
      </c>
      <c r="F51" s="470">
        <f t="shared" si="4"/>
        <v>229.99999999999994</v>
      </c>
      <c r="G51" s="470">
        <f t="shared" si="5"/>
        <v>200.00000000000057</v>
      </c>
      <c r="H51" s="471">
        <f t="shared" si="6"/>
        <v>213.33333333333348</v>
      </c>
    </row>
    <row r="52" spans="1:8">
      <c r="A52" s="469">
        <f t="shared" si="7"/>
        <v>0.83611111111111058</v>
      </c>
      <c r="B52" s="470">
        <f t="shared" si="0"/>
        <v>234.11111111111148</v>
      </c>
      <c r="C52" s="471">
        <f t="shared" si="1"/>
        <v>247.48888888889022</v>
      </c>
      <c r="D52" s="470">
        <f t="shared" si="2"/>
        <v>255.84999999999869</v>
      </c>
      <c r="E52" s="471">
        <f t="shared" si="3"/>
        <v>217.38888888888852</v>
      </c>
      <c r="F52" s="470">
        <f t="shared" si="4"/>
        <v>230.76666666666662</v>
      </c>
      <c r="G52" s="470">
        <f t="shared" si="5"/>
        <v>200.66666666666723</v>
      </c>
      <c r="H52" s="471">
        <f t="shared" si="6"/>
        <v>214.04444444444459</v>
      </c>
    </row>
    <row r="53" spans="1:8">
      <c r="A53" s="469">
        <f t="shared" si="7"/>
        <v>0.83888888888888835</v>
      </c>
      <c r="B53" s="470">
        <f t="shared" si="0"/>
        <v>234.88888888888926</v>
      </c>
      <c r="C53" s="471">
        <f t="shared" si="1"/>
        <v>248.31111111111244</v>
      </c>
      <c r="D53" s="470">
        <f t="shared" si="2"/>
        <v>256.69999999999868</v>
      </c>
      <c r="E53" s="471">
        <f t="shared" si="3"/>
        <v>218.11111111111074</v>
      </c>
      <c r="F53" s="470">
        <f t="shared" si="4"/>
        <v>231.5333333333333</v>
      </c>
      <c r="G53" s="470">
        <f t="shared" si="5"/>
        <v>201.33333333333388</v>
      </c>
      <c r="H53" s="471">
        <f t="shared" si="6"/>
        <v>214.7555555555557</v>
      </c>
    </row>
    <row r="54" spans="1:8">
      <c r="A54" s="469">
        <f t="shared" si="7"/>
        <v>0.84166666666666612</v>
      </c>
      <c r="B54" s="470">
        <f t="shared" si="0"/>
        <v>235.66666666666703</v>
      </c>
      <c r="C54" s="471">
        <f t="shared" si="1"/>
        <v>249.13333333333466</v>
      </c>
      <c r="D54" s="470">
        <f t="shared" si="2"/>
        <v>257.5499999999987</v>
      </c>
      <c r="E54" s="471">
        <f t="shared" si="3"/>
        <v>218.83333333333297</v>
      </c>
      <c r="F54" s="470">
        <f t="shared" si="4"/>
        <v>232.29999999999998</v>
      </c>
      <c r="G54" s="470">
        <f t="shared" si="5"/>
        <v>202.00000000000054</v>
      </c>
      <c r="H54" s="471">
        <f t="shared" si="6"/>
        <v>215.46666666666681</v>
      </c>
    </row>
    <row r="55" spans="1:8">
      <c r="A55" s="469">
        <f t="shared" si="7"/>
        <v>0.84444444444444389</v>
      </c>
      <c r="B55" s="470">
        <f t="shared" si="0"/>
        <v>236.4444444444448</v>
      </c>
      <c r="C55" s="471">
        <f t="shared" si="1"/>
        <v>249.95555555555688</v>
      </c>
      <c r="D55" s="470">
        <f t="shared" si="2"/>
        <v>258.39999999999873</v>
      </c>
      <c r="E55" s="471">
        <f t="shared" si="3"/>
        <v>219.5555555555552</v>
      </c>
      <c r="F55" s="470">
        <f t="shared" si="4"/>
        <v>233.06666666666666</v>
      </c>
      <c r="G55" s="470">
        <f t="shared" si="5"/>
        <v>202.6666666666672</v>
      </c>
      <c r="H55" s="471">
        <f t="shared" si="6"/>
        <v>216.17777777777792</v>
      </c>
    </row>
    <row r="56" spans="1:8">
      <c r="A56" s="469">
        <f t="shared" si="7"/>
        <v>0.84722222222222165</v>
      </c>
      <c r="B56" s="470">
        <f t="shared" si="0"/>
        <v>237.22222222222257</v>
      </c>
      <c r="C56" s="471">
        <f t="shared" si="1"/>
        <v>250.77777777777911</v>
      </c>
      <c r="D56" s="470">
        <f t="shared" si="2"/>
        <v>259.24999999999875</v>
      </c>
      <c r="E56" s="471">
        <f t="shared" si="3"/>
        <v>220.27777777777743</v>
      </c>
      <c r="F56" s="470">
        <f t="shared" si="4"/>
        <v>233.83333333333334</v>
      </c>
      <c r="G56" s="470">
        <f t="shared" si="5"/>
        <v>203.33333333333385</v>
      </c>
      <c r="H56" s="471">
        <f t="shared" si="6"/>
        <v>216.88888888888903</v>
      </c>
    </row>
    <row r="57" spans="1:8">
      <c r="A57" s="469">
        <f t="shared" si="7"/>
        <v>0.84999999999999942</v>
      </c>
      <c r="B57" s="470">
        <f t="shared" si="0"/>
        <v>238.00000000000034</v>
      </c>
      <c r="C57" s="471">
        <f t="shared" si="1"/>
        <v>251.60000000000133</v>
      </c>
      <c r="D57" s="470">
        <f t="shared" si="2"/>
        <v>260.09999999999877</v>
      </c>
      <c r="E57" s="471">
        <f t="shared" si="3"/>
        <v>220.99999999999966</v>
      </c>
      <c r="F57" s="470">
        <f t="shared" si="4"/>
        <v>234.60000000000002</v>
      </c>
      <c r="G57" s="470">
        <f t="shared" si="5"/>
        <v>204.00000000000051</v>
      </c>
      <c r="H57" s="471">
        <f t="shared" si="6"/>
        <v>217.60000000000014</v>
      </c>
    </row>
    <row r="58" spans="1:8">
      <c r="A58" s="469">
        <f t="shared" si="7"/>
        <v>0.85277777777777719</v>
      </c>
      <c r="B58" s="470">
        <f t="shared" si="0"/>
        <v>238.77777777777811</v>
      </c>
      <c r="C58" s="471">
        <f t="shared" si="1"/>
        <v>252.42222222222355</v>
      </c>
      <c r="D58" s="470">
        <f t="shared" si="2"/>
        <v>260.94999999999879</v>
      </c>
      <c r="E58" s="471">
        <f t="shared" si="3"/>
        <v>221.72222222222189</v>
      </c>
      <c r="F58" s="470">
        <f t="shared" si="4"/>
        <v>235.3666666666667</v>
      </c>
      <c r="G58" s="470">
        <f t="shared" si="5"/>
        <v>204.66666666666717</v>
      </c>
      <c r="H58" s="471">
        <f t="shared" si="6"/>
        <v>218.31111111111125</v>
      </c>
    </row>
    <row r="59" spans="1:8">
      <c r="A59" s="469">
        <f t="shared" si="7"/>
        <v>0.85555555555555496</v>
      </c>
      <c r="B59" s="470">
        <f t="shared" si="0"/>
        <v>239.55555555555588</v>
      </c>
      <c r="C59" s="471">
        <f t="shared" si="1"/>
        <v>253.24444444444578</v>
      </c>
      <c r="D59" s="470">
        <f t="shared" si="2"/>
        <v>261.79999999999882</v>
      </c>
      <c r="E59" s="471">
        <f t="shared" si="3"/>
        <v>222.44444444444412</v>
      </c>
      <c r="F59" s="470">
        <f t="shared" si="4"/>
        <v>236.13333333333338</v>
      </c>
      <c r="G59" s="470">
        <f t="shared" si="5"/>
        <v>205.33333333333383</v>
      </c>
      <c r="H59" s="471">
        <f t="shared" si="6"/>
        <v>219.02222222222235</v>
      </c>
    </row>
    <row r="60" spans="1:8">
      <c r="A60" s="469">
        <f t="shared" si="7"/>
        <v>0.85833333333333273</v>
      </c>
      <c r="B60" s="470">
        <f t="shared" si="0"/>
        <v>240.33333333333366</v>
      </c>
      <c r="C60" s="471">
        <f t="shared" si="1"/>
        <v>254.066666666668</v>
      </c>
      <c r="D60" s="470">
        <f t="shared" si="2"/>
        <v>262.64999999999884</v>
      </c>
      <c r="E60" s="471">
        <f t="shared" si="3"/>
        <v>223.16666666666634</v>
      </c>
      <c r="F60" s="470">
        <f t="shared" si="4"/>
        <v>236.90000000000006</v>
      </c>
      <c r="G60" s="470">
        <f t="shared" si="5"/>
        <v>206.00000000000048</v>
      </c>
      <c r="H60" s="471">
        <f t="shared" si="6"/>
        <v>219.73333333333346</v>
      </c>
    </row>
    <row r="61" spans="1:8">
      <c r="A61" s="469">
        <f t="shared" si="7"/>
        <v>0.86111111111111049</v>
      </c>
      <c r="B61" s="470">
        <f t="shared" si="0"/>
        <v>241.11111111111143</v>
      </c>
      <c r="C61" s="471">
        <f t="shared" si="1"/>
        <v>254.88888888889022</v>
      </c>
      <c r="D61" s="470">
        <f t="shared" si="2"/>
        <v>263.49999999999886</v>
      </c>
      <c r="E61" s="471">
        <f t="shared" si="3"/>
        <v>223.88888888888857</v>
      </c>
      <c r="F61" s="470">
        <f t="shared" si="4"/>
        <v>237.66666666666674</v>
      </c>
      <c r="G61" s="470">
        <f t="shared" si="5"/>
        <v>206.66666666666714</v>
      </c>
      <c r="H61" s="471">
        <f t="shared" si="6"/>
        <v>220.44444444444457</v>
      </c>
    </row>
    <row r="62" spans="1:8">
      <c r="A62" s="469">
        <f t="shared" si="7"/>
        <v>0.86388888888888826</v>
      </c>
      <c r="B62" s="470">
        <f t="shared" si="0"/>
        <v>241.8888888888892</v>
      </c>
      <c r="C62" s="471">
        <f t="shared" si="1"/>
        <v>255.71111111111244</v>
      </c>
      <c r="D62" s="470">
        <f t="shared" si="2"/>
        <v>264.34999999999889</v>
      </c>
      <c r="E62" s="471">
        <f t="shared" si="3"/>
        <v>224.6111111111108</v>
      </c>
      <c r="F62" s="470">
        <f t="shared" si="4"/>
        <v>238.43333333333342</v>
      </c>
      <c r="G62" s="470">
        <f t="shared" si="5"/>
        <v>207.3333333333338</v>
      </c>
      <c r="H62" s="471">
        <f t="shared" si="6"/>
        <v>221.15555555555568</v>
      </c>
    </row>
    <row r="63" spans="1:8">
      <c r="A63" s="469">
        <f t="shared" si="7"/>
        <v>0.86666666666666603</v>
      </c>
      <c r="B63" s="470">
        <f t="shared" si="0"/>
        <v>242.66666666666697</v>
      </c>
      <c r="C63" s="471">
        <f t="shared" si="1"/>
        <v>256.53333333333467</v>
      </c>
      <c r="D63" s="470">
        <f t="shared" si="2"/>
        <v>265.19999999999891</v>
      </c>
      <c r="E63" s="471">
        <f t="shared" si="3"/>
        <v>225.33333333333303</v>
      </c>
      <c r="F63" s="470">
        <f t="shared" si="4"/>
        <v>239.2000000000001</v>
      </c>
      <c r="G63" s="470">
        <f t="shared" si="5"/>
        <v>208.00000000000045</v>
      </c>
      <c r="H63" s="471">
        <f t="shared" si="6"/>
        <v>221.86666666666679</v>
      </c>
    </row>
    <row r="64" spans="1:8">
      <c r="A64" s="469">
        <f t="shared" si="7"/>
        <v>0.8694444444444438</v>
      </c>
      <c r="B64" s="470">
        <f t="shared" si="0"/>
        <v>243.44444444444474</v>
      </c>
      <c r="C64" s="471">
        <f t="shared" si="1"/>
        <v>257.35555555555686</v>
      </c>
      <c r="D64" s="470">
        <f t="shared" si="2"/>
        <v>266.04999999999893</v>
      </c>
      <c r="E64" s="471">
        <f t="shared" si="3"/>
        <v>226.05555555555526</v>
      </c>
      <c r="F64" s="470">
        <f t="shared" si="4"/>
        <v>239.96666666666678</v>
      </c>
      <c r="G64" s="470">
        <f t="shared" si="5"/>
        <v>208.66666666666711</v>
      </c>
      <c r="H64" s="471">
        <f t="shared" si="6"/>
        <v>222.5777777777779</v>
      </c>
    </row>
    <row r="65" spans="1:8">
      <c r="A65" s="469">
        <f t="shared" si="7"/>
        <v>0.87222222222222157</v>
      </c>
      <c r="B65" s="470">
        <f t="shared" si="0"/>
        <v>244.22222222222251</v>
      </c>
      <c r="C65" s="471">
        <f t="shared" si="1"/>
        <v>258.17777777777906</v>
      </c>
      <c r="D65" s="470">
        <f t="shared" si="2"/>
        <v>266.89999999999895</v>
      </c>
      <c r="E65" s="471">
        <f t="shared" si="3"/>
        <v>226.77777777777749</v>
      </c>
      <c r="F65" s="470">
        <f t="shared" si="4"/>
        <v>240.73333333333346</v>
      </c>
      <c r="G65" s="470">
        <f t="shared" si="5"/>
        <v>209.33333333333377</v>
      </c>
      <c r="H65" s="471">
        <f t="shared" si="6"/>
        <v>223.28888888888901</v>
      </c>
    </row>
    <row r="66" spans="1:8">
      <c r="A66" s="469">
        <f t="shared" si="7"/>
        <v>0.87499999999999933</v>
      </c>
      <c r="B66" s="470">
        <f t="shared" si="0"/>
        <v>245.00000000000028</v>
      </c>
      <c r="C66" s="471">
        <f t="shared" si="1"/>
        <v>259.00000000000125</v>
      </c>
      <c r="D66" s="470">
        <f t="shared" si="2"/>
        <v>267.74999999999898</v>
      </c>
      <c r="E66" s="471">
        <f t="shared" si="3"/>
        <v>227.49999999999972</v>
      </c>
      <c r="F66" s="470">
        <f t="shared" si="4"/>
        <v>241.50000000000014</v>
      </c>
      <c r="G66" s="470">
        <f t="shared" si="5"/>
        <v>210.00000000000043</v>
      </c>
      <c r="H66" s="471">
        <f t="shared" si="6"/>
        <v>224.00000000000011</v>
      </c>
    </row>
    <row r="67" spans="1:8">
      <c r="A67" s="469">
        <f t="shared" si="7"/>
        <v>0.8777777777777771</v>
      </c>
      <c r="B67" s="470">
        <f t="shared" ref="B67:B109" si="8">B68-($B$111*0.2/72)</f>
        <v>245.77777777777806</v>
      </c>
      <c r="C67" s="471">
        <f t="shared" ref="C67:C109" si="9">C68-($C$111*0.2/72)</f>
        <v>259.82222222222344</v>
      </c>
      <c r="D67" s="470">
        <f t="shared" ref="D67:D109" si="10">D68-($D$111*0.2/72)</f>
        <v>268.599999999999</v>
      </c>
      <c r="E67" s="471">
        <f t="shared" ref="E67:E109" si="11">E68-($E$111*0.2/72)</f>
        <v>228.22222222222194</v>
      </c>
      <c r="F67" s="470">
        <f t="shared" ref="F67:F109" si="12">F68-($F$111*0.2/72)</f>
        <v>242.26666666666682</v>
      </c>
      <c r="G67" s="470">
        <f t="shared" ref="G67:G109" si="13">G68-($G$111*0.2/72)</f>
        <v>210.66666666666708</v>
      </c>
      <c r="H67" s="471">
        <f t="shared" ref="H67:H109" si="14">H68-($H$111*0.2/72)</f>
        <v>224.71111111111122</v>
      </c>
    </row>
    <row r="68" spans="1:8">
      <c r="A68" s="469">
        <f t="shared" si="7"/>
        <v>0.88055555555555487</v>
      </c>
      <c r="B68" s="470">
        <f t="shared" si="8"/>
        <v>246.55555555555583</v>
      </c>
      <c r="C68" s="471">
        <f t="shared" si="9"/>
        <v>260.64444444444564</v>
      </c>
      <c r="D68" s="470">
        <f t="shared" si="10"/>
        <v>269.44999999999902</v>
      </c>
      <c r="E68" s="471">
        <f t="shared" si="11"/>
        <v>228.94444444444417</v>
      </c>
      <c r="F68" s="470">
        <f t="shared" si="12"/>
        <v>243.0333333333335</v>
      </c>
      <c r="G68" s="470">
        <f t="shared" si="13"/>
        <v>211.33333333333374</v>
      </c>
      <c r="H68" s="471">
        <f t="shared" si="14"/>
        <v>225.42222222222233</v>
      </c>
    </row>
    <row r="69" spans="1:8">
      <c r="A69" s="469">
        <f t="shared" ref="A69:A111" si="15">A68+0.00277777777777777</f>
        <v>0.88333333333333264</v>
      </c>
      <c r="B69" s="470">
        <f t="shared" si="8"/>
        <v>247.3333333333336</v>
      </c>
      <c r="C69" s="471">
        <f t="shared" si="9"/>
        <v>261.46666666666783</v>
      </c>
      <c r="D69" s="470">
        <f t="shared" si="10"/>
        <v>270.29999999999905</v>
      </c>
      <c r="E69" s="471">
        <f t="shared" si="11"/>
        <v>229.6666666666664</v>
      </c>
      <c r="F69" s="470">
        <f t="shared" si="12"/>
        <v>243.80000000000018</v>
      </c>
      <c r="G69" s="470">
        <f t="shared" si="13"/>
        <v>212.0000000000004</v>
      </c>
      <c r="H69" s="471">
        <f t="shared" si="14"/>
        <v>226.13333333333344</v>
      </c>
    </row>
    <row r="70" spans="1:8">
      <c r="A70" s="469">
        <f t="shared" si="15"/>
        <v>0.88611111111111041</v>
      </c>
      <c r="B70" s="470">
        <f t="shared" si="8"/>
        <v>248.11111111111137</v>
      </c>
      <c r="C70" s="471">
        <f t="shared" si="9"/>
        <v>262.28888888889003</v>
      </c>
      <c r="D70" s="470">
        <f t="shared" si="10"/>
        <v>271.14999999999907</v>
      </c>
      <c r="E70" s="471">
        <f t="shared" si="11"/>
        <v>230.38888888888863</v>
      </c>
      <c r="F70" s="470">
        <f t="shared" si="12"/>
        <v>244.56666666666686</v>
      </c>
      <c r="G70" s="470">
        <f t="shared" si="13"/>
        <v>212.66666666666706</v>
      </c>
      <c r="H70" s="471">
        <f t="shared" si="14"/>
        <v>226.84444444444455</v>
      </c>
    </row>
    <row r="71" spans="1:8">
      <c r="A71" s="469">
        <f t="shared" si="15"/>
        <v>0.88888888888888817</v>
      </c>
      <c r="B71" s="470">
        <f t="shared" si="8"/>
        <v>248.88888888888914</v>
      </c>
      <c r="C71" s="471">
        <f t="shared" si="9"/>
        <v>263.11111111111222</v>
      </c>
      <c r="D71" s="470">
        <f t="shared" si="10"/>
        <v>271.99999999999909</v>
      </c>
      <c r="E71" s="471">
        <f t="shared" si="11"/>
        <v>231.11111111111086</v>
      </c>
      <c r="F71" s="470">
        <f t="shared" si="12"/>
        <v>245.33333333333354</v>
      </c>
      <c r="G71" s="470">
        <f t="shared" si="13"/>
        <v>213.33333333333371</v>
      </c>
      <c r="H71" s="471">
        <f t="shared" si="14"/>
        <v>227.55555555555566</v>
      </c>
    </row>
    <row r="72" spans="1:8">
      <c r="A72" s="469">
        <f t="shared" si="15"/>
        <v>0.89166666666666594</v>
      </c>
      <c r="B72" s="470">
        <f t="shared" si="8"/>
        <v>249.66666666666691</v>
      </c>
      <c r="C72" s="471">
        <f t="shared" si="9"/>
        <v>263.93333333333442</v>
      </c>
      <c r="D72" s="470">
        <f t="shared" si="10"/>
        <v>272.84999999999911</v>
      </c>
      <c r="E72" s="471">
        <f t="shared" si="11"/>
        <v>231.83333333333309</v>
      </c>
      <c r="F72" s="470">
        <f t="shared" si="12"/>
        <v>246.10000000000022</v>
      </c>
      <c r="G72" s="470">
        <f t="shared" si="13"/>
        <v>214.00000000000037</v>
      </c>
      <c r="H72" s="471">
        <f t="shared" si="14"/>
        <v>228.26666666666677</v>
      </c>
    </row>
    <row r="73" spans="1:8">
      <c r="A73" s="469">
        <f t="shared" si="15"/>
        <v>0.89444444444444371</v>
      </c>
      <c r="B73" s="470">
        <f t="shared" si="8"/>
        <v>250.44444444444468</v>
      </c>
      <c r="C73" s="471">
        <f t="shared" si="9"/>
        <v>264.75555555555661</v>
      </c>
      <c r="D73" s="470">
        <f t="shared" si="10"/>
        <v>273.69999999999914</v>
      </c>
      <c r="E73" s="471">
        <f t="shared" si="11"/>
        <v>232.55555555555532</v>
      </c>
      <c r="F73" s="470">
        <f t="shared" si="12"/>
        <v>246.8666666666669</v>
      </c>
      <c r="G73" s="470">
        <f t="shared" si="13"/>
        <v>214.66666666666703</v>
      </c>
      <c r="H73" s="471">
        <f t="shared" si="14"/>
        <v>228.97777777777787</v>
      </c>
    </row>
    <row r="74" spans="1:8">
      <c r="A74" s="469">
        <f t="shared" si="15"/>
        <v>0.89722222222222148</v>
      </c>
      <c r="B74" s="470">
        <f t="shared" si="8"/>
        <v>251.22222222222246</v>
      </c>
      <c r="C74" s="471">
        <f t="shared" si="9"/>
        <v>265.57777777777881</v>
      </c>
      <c r="D74" s="470">
        <f t="shared" si="10"/>
        <v>274.54999999999916</v>
      </c>
      <c r="E74" s="471">
        <f t="shared" si="11"/>
        <v>233.27777777777754</v>
      </c>
      <c r="F74" s="470">
        <f t="shared" si="12"/>
        <v>247.63333333333358</v>
      </c>
      <c r="G74" s="470">
        <f t="shared" si="13"/>
        <v>215.33333333333368</v>
      </c>
      <c r="H74" s="471">
        <f t="shared" si="14"/>
        <v>229.68888888888898</v>
      </c>
    </row>
    <row r="75" spans="1:8">
      <c r="A75" s="469">
        <f t="shared" si="15"/>
        <v>0.89999999999999925</v>
      </c>
      <c r="B75" s="470">
        <f t="shared" si="8"/>
        <v>252.00000000000023</v>
      </c>
      <c r="C75" s="471">
        <f t="shared" si="9"/>
        <v>266.400000000001</v>
      </c>
      <c r="D75" s="470">
        <f t="shared" si="10"/>
        <v>275.39999999999918</v>
      </c>
      <c r="E75" s="471">
        <f t="shared" si="11"/>
        <v>233.99999999999977</v>
      </c>
      <c r="F75" s="470">
        <f t="shared" si="12"/>
        <v>248.40000000000026</v>
      </c>
      <c r="G75" s="470">
        <f t="shared" si="13"/>
        <v>216.00000000000034</v>
      </c>
      <c r="H75" s="471">
        <f t="shared" si="14"/>
        <v>230.40000000000009</v>
      </c>
    </row>
    <row r="76" spans="1:8">
      <c r="A76" s="469">
        <f t="shared" si="15"/>
        <v>0.90277777777777701</v>
      </c>
      <c r="B76" s="470">
        <f t="shared" si="8"/>
        <v>252.777777777778</v>
      </c>
      <c r="C76" s="471">
        <f t="shared" si="9"/>
        <v>267.22222222222319</v>
      </c>
      <c r="D76" s="470">
        <f t="shared" si="10"/>
        <v>276.2499999999992</v>
      </c>
      <c r="E76" s="471">
        <f t="shared" si="11"/>
        <v>234.722222222222</v>
      </c>
      <c r="F76" s="470">
        <f t="shared" si="12"/>
        <v>249.16666666666694</v>
      </c>
      <c r="G76" s="470">
        <f t="shared" si="13"/>
        <v>216.666666666667</v>
      </c>
      <c r="H76" s="471">
        <f t="shared" si="14"/>
        <v>231.1111111111112</v>
      </c>
    </row>
    <row r="77" spans="1:8">
      <c r="A77" s="469">
        <f t="shared" si="15"/>
        <v>0.90555555555555478</v>
      </c>
      <c r="B77" s="470">
        <f t="shared" si="8"/>
        <v>253.55555555555577</v>
      </c>
      <c r="C77" s="471">
        <f t="shared" si="9"/>
        <v>268.04444444444539</v>
      </c>
      <c r="D77" s="470">
        <f t="shared" si="10"/>
        <v>277.09999999999923</v>
      </c>
      <c r="E77" s="471">
        <f t="shared" si="11"/>
        <v>235.44444444444423</v>
      </c>
      <c r="F77" s="470">
        <f t="shared" si="12"/>
        <v>249.93333333333362</v>
      </c>
      <c r="G77" s="470">
        <f t="shared" si="13"/>
        <v>217.33333333333366</v>
      </c>
      <c r="H77" s="471">
        <f t="shared" si="14"/>
        <v>231.82222222222231</v>
      </c>
    </row>
    <row r="78" spans="1:8">
      <c r="A78" s="469">
        <f t="shared" si="15"/>
        <v>0.90833333333333255</v>
      </c>
      <c r="B78" s="470">
        <f t="shared" si="8"/>
        <v>254.33333333333354</v>
      </c>
      <c r="C78" s="471">
        <f t="shared" si="9"/>
        <v>268.86666666666758</v>
      </c>
      <c r="D78" s="470">
        <f t="shared" si="10"/>
        <v>277.94999999999925</v>
      </c>
      <c r="E78" s="471">
        <f t="shared" si="11"/>
        <v>236.16666666666646</v>
      </c>
      <c r="F78" s="470">
        <f t="shared" si="12"/>
        <v>250.7000000000003</v>
      </c>
      <c r="G78" s="470">
        <f t="shared" si="13"/>
        <v>218.00000000000031</v>
      </c>
      <c r="H78" s="471">
        <f t="shared" si="14"/>
        <v>232.53333333333342</v>
      </c>
    </row>
    <row r="79" spans="1:8">
      <c r="A79" s="469">
        <f t="shared" si="15"/>
        <v>0.91111111111111032</v>
      </c>
      <c r="B79" s="470">
        <f t="shared" si="8"/>
        <v>255.11111111111131</v>
      </c>
      <c r="C79" s="471">
        <f t="shared" si="9"/>
        <v>269.68888888888978</v>
      </c>
      <c r="D79" s="470">
        <f t="shared" si="10"/>
        <v>278.79999999999927</v>
      </c>
      <c r="E79" s="471">
        <f t="shared" si="11"/>
        <v>236.88888888888869</v>
      </c>
      <c r="F79" s="470">
        <f t="shared" si="12"/>
        <v>251.46666666666698</v>
      </c>
      <c r="G79" s="470">
        <f t="shared" si="13"/>
        <v>218.66666666666697</v>
      </c>
      <c r="H79" s="471">
        <f t="shared" si="14"/>
        <v>233.24444444444453</v>
      </c>
    </row>
    <row r="80" spans="1:8">
      <c r="A80" s="469">
        <f t="shared" si="15"/>
        <v>0.91388888888888808</v>
      </c>
      <c r="B80" s="470">
        <f t="shared" si="8"/>
        <v>255.88888888888908</v>
      </c>
      <c r="C80" s="471">
        <f t="shared" si="9"/>
        <v>270.51111111111197</v>
      </c>
      <c r="D80" s="470">
        <f t="shared" si="10"/>
        <v>279.6499999999993</v>
      </c>
      <c r="E80" s="471">
        <f t="shared" si="11"/>
        <v>237.61111111111092</v>
      </c>
      <c r="F80" s="470">
        <f t="shared" si="12"/>
        <v>252.23333333333366</v>
      </c>
      <c r="G80" s="470">
        <f t="shared" si="13"/>
        <v>219.33333333333363</v>
      </c>
      <c r="H80" s="471">
        <f t="shared" si="14"/>
        <v>233.95555555555563</v>
      </c>
    </row>
    <row r="81" spans="1:8">
      <c r="A81" s="469">
        <f t="shared" si="15"/>
        <v>0.91666666666666585</v>
      </c>
      <c r="B81" s="470">
        <f t="shared" si="8"/>
        <v>256.66666666666686</v>
      </c>
      <c r="C81" s="471">
        <f t="shared" si="9"/>
        <v>271.33333333333417</v>
      </c>
      <c r="D81" s="470">
        <f t="shared" si="10"/>
        <v>280.49999999999932</v>
      </c>
      <c r="E81" s="471">
        <f t="shared" si="11"/>
        <v>238.33333333333314</v>
      </c>
      <c r="F81" s="470">
        <f t="shared" si="12"/>
        <v>253.00000000000034</v>
      </c>
      <c r="G81" s="470">
        <f t="shared" si="13"/>
        <v>220.00000000000028</v>
      </c>
      <c r="H81" s="471">
        <f t="shared" si="14"/>
        <v>234.66666666666674</v>
      </c>
    </row>
    <row r="82" spans="1:8">
      <c r="A82" s="469">
        <f t="shared" si="15"/>
        <v>0.91944444444444362</v>
      </c>
      <c r="B82" s="470">
        <f t="shared" si="8"/>
        <v>257.44444444444463</v>
      </c>
      <c r="C82" s="471">
        <f t="shared" si="9"/>
        <v>272.15555555555636</v>
      </c>
      <c r="D82" s="470">
        <f t="shared" si="10"/>
        <v>281.34999999999934</v>
      </c>
      <c r="E82" s="471">
        <f t="shared" si="11"/>
        <v>239.05555555555537</v>
      </c>
      <c r="F82" s="470">
        <f t="shared" si="12"/>
        <v>253.76666666666702</v>
      </c>
      <c r="G82" s="470">
        <f t="shared" si="13"/>
        <v>220.66666666666694</v>
      </c>
      <c r="H82" s="471">
        <f t="shared" si="14"/>
        <v>235.37777777777785</v>
      </c>
    </row>
    <row r="83" spans="1:8">
      <c r="A83" s="469">
        <f t="shared" si="15"/>
        <v>0.92222222222222139</v>
      </c>
      <c r="B83" s="470">
        <f t="shared" si="8"/>
        <v>258.2222222222224</v>
      </c>
      <c r="C83" s="471">
        <f t="shared" si="9"/>
        <v>272.97777777777856</v>
      </c>
      <c r="D83" s="470">
        <f t="shared" si="10"/>
        <v>282.19999999999936</v>
      </c>
      <c r="E83" s="471">
        <f t="shared" si="11"/>
        <v>239.7777777777776</v>
      </c>
      <c r="F83" s="470">
        <f t="shared" si="12"/>
        <v>254.5333333333337</v>
      </c>
      <c r="G83" s="470">
        <f t="shared" si="13"/>
        <v>221.3333333333336</v>
      </c>
      <c r="H83" s="471">
        <f t="shared" si="14"/>
        <v>236.08888888888896</v>
      </c>
    </row>
    <row r="84" spans="1:8">
      <c r="A84" s="469">
        <f t="shared" si="15"/>
        <v>0.92499999999999916</v>
      </c>
      <c r="B84" s="470">
        <f t="shared" si="8"/>
        <v>259.00000000000017</v>
      </c>
      <c r="C84" s="471">
        <f t="shared" si="9"/>
        <v>273.80000000000075</v>
      </c>
      <c r="D84" s="470">
        <f t="shared" si="10"/>
        <v>283.04999999999939</v>
      </c>
      <c r="E84" s="471">
        <f t="shared" si="11"/>
        <v>240.49999999999983</v>
      </c>
      <c r="F84" s="470">
        <f t="shared" si="12"/>
        <v>255.30000000000038</v>
      </c>
      <c r="G84" s="470">
        <f t="shared" si="13"/>
        <v>222.00000000000026</v>
      </c>
      <c r="H84" s="471">
        <f t="shared" si="14"/>
        <v>236.80000000000007</v>
      </c>
    </row>
    <row r="85" spans="1:8">
      <c r="A85" s="469">
        <f t="shared" si="15"/>
        <v>0.92777777777777692</v>
      </c>
      <c r="B85" s="470">
        <f t="shared" si="8"/>
        <v>259.77777777777794</v>
      </c>
      <c r="C85" s="471">
        <f t="shared" si="9"/>
        <v>274.62222222222294</v>
      </c>
      <c r="D85" s="470">
        <f t="shared" si="10"/>
        <v>283.89999999999941</v>
      </c>
      <c r="E85" s="471">
        <f t="shared" si="11"/>
        <v>241.22222222222206</v>
      </c>
      <c r="F85" s="470">
        <f t="shared" si="12"/>
        <v>256.06666666666706</v>
      </c>
      <c r="G85" s="470">
        <f t="shared" si="13"/>
        <v>222.66666666666691</v>
      </c>
      <c r="H85" s="471">
        <f t="shared" si="14"/>
        <v>237.51111111111118</v>
      </c>
    </row>
    <row r="86" spans="1:8">
      <c r="A86" s="469">
        <f t="shared" si="15"/>
        <v>0.93055555555555469</v>
      </c>
      <c r="B86" s="470">
        <f t="shared" si="8"/>
        <v>260.55555555555571</v>
      </c>
      <c r="C86" s="471">
        <f t="shared" si="9"/>
        <v>275.44444444444514</v>
      </c>
      <c r="D86" s="470">
        <f t="shared" si="10"/>
        <v>284.74999999999943</v>
      </c>
      <c r="E86" s="471">
        <f t="shared" si="11"/>
        <v>241.94444444444429</v>
      </c>
      <c r="F86" s="470">
        <f t="shared" si="12"/>
        <v>256.83333333333371</v>
      </c>
      <c r="G86" s="470">
        <f t="shared" si="13"/>
        <v>223.33333333333357</v>
      </c>
      <c r="H86" s="471">
        <f t="shared" si="14"/>
        <v>238.22222222222229</v>
      </c>
    </row>
    <row r="87" spans="1:8">
      <c r="A87" s="469">
        <f t="shared" si="15"/>
        <v>0.93333333333333246</v>
      </c>
      <c r="B87" s="470">
        <f t="shared" si="8"/>
        <v>261.33333333333348</v>
      </c>
      <c r="C87" s="471">
        <f t="shared" si="9"/>
        <v>276.26666666666733</v>
      </c>
      <c r="D87" s="470">
        <f t="shared" si="10"/>
        <v>285.59999999999945</v>
      </c>
      <c r="E87" s="471">
        <f t="shared" si="11"/>
        <v>242.66666666666652</v>
      </c>
      <c r="F87" s="470">
        <f t="shared" si="12"/>
        <v>257.60000000000036</v>
      </c>
      <c r="G87" s="470">
        <f t="shared" si="13"/>
        <v>224.00000000000023</v>
      </c>
      <c r="H87" s="471">
        <f t="shared" si="14"/>
        <v>238.93333333333339</v>
      </c>
    </row>
    <row r="88" spans="1:8">
      <c r="A88" s="469">
        <f t="shared" si="15"/>
        <v>0.93611111111111023</v>
      </c>
      <c r="B88" s="470">
        <f t="shared" si="8"/>
        <v>262.11111111111126</v>
      </c>
      <c r="C88" s="471">
        <f t="shared" si="9"/>
        <v>277.08888888888953</v>
      </c>
      <c r="D88" s="470">
        <f t="shared" si="10"/>
        <v>286.44999999999948</v>
      </c>
      <c r="E88" s="471">
        <f t="shared" si="11"/>
        <v>243.38888888888874</v>
      </c>
      <c r="F88" s="470">
        <f t="shared" si="12"/>
        <v>258.36666666666702</v>
      </c>
      <c r="G88" s="470">
        <f t="shared" si="13"/>
        <v>224.66666666666688</v>
      </c>
      <c r="H88" s="471">
        <f t="shared" si="14"/>
        <v>239.6444444444445</v>
      </c>
    </row>
    <row r="89" spans="1:8">
      <c r="A89" s="469">
        <f t="shared" si="15"/>
        <v>0.938888888888888</v>
      </c>
      <c r="B89" s="470">
        <f t="shared" si="8"/>
        <v>262.88888888888903</v>
      </c>
      <c r="C89" s="471">
        <f t="shared" si="9"/>
        <v>277.91111111111172</v>
      </c>
      <c r="D89" s="470">
        <f t="shared" si="10"/>
        <v>287.2999999999995</v>
      </c>
      <c r="E89" s="471">
        <f t="shared" si="11"/>
        <v>244.11111111111097</v>
      </c>
      <c r="F89" s="470">
        <f t="shared" si="12"/>
        <v>259.13333333333367</v>
      </c>
      <c r="G89" s="470">
        <f t="shared" si="13"/>
        <v>225.33333333333354</v>
      </c>
      <c r="H89" s="471">
        <f t="shared" si="14"/>
        <v>240.35555555555561</v>
      </c>
    </row>
    <row r="90" spans="1:8">
      <c r="A90" s="469">
        <f t="shared" si="15"/>
        <v>0.94166666666666576</v>
      </c>
      <c r="B90" s="470">
        <f t="shared" si="8"/>
        <v>263.6666666666668</v>
      </c>
      <c r="C90" s="471">
        <f t="shared" si="9"/>
        <v>278.73333333333392</v>
      </c>
      <c r="D90" s="470">
        <f t="shared" si="10"/>
        <v>288.14999999999952</v>
      </c>
      <c r="E90" s="471">
        <f t="shared" si="11"/>
        <v>244.8333333333332</v>
      </c>
      <c r="F90" s="470">
        <f t="shared" si="12"/>
        <v>259.90000000000032</v>
      </c>
      <c r="G90" s="470">
        <f t="shared" si="13"/>
        <v>226.0000000000002</v>
      </c>
      <c r="H90" s="471">
        <f t="shared" si="14"/>
        <v>241.06666666666672</v>
      </c>
    </row>
    <row r="91" spans="1:8">
      <c r="A91" s="469">
        <f t="shared" si="15"/>
        <v>0.94444444444444353</v>
      </c>
      <c r="B91" s="470">
        <f t="shared" si="8"/>
        <v>264.44444444444457</v>
      </c>
      <c r="C91" s="471">
        <f t="shared" si="9"/>
        <v>279.55555555555611</v>
      </c>
      <c r="D91" s="470">
        <f t="shared" si="10"/>
        <v>288.99999999999955</v>
      </c>
      <c r="E91" s="471">
        <f t="shared" si="11"/>
        <v>245.55555555555543</v>
      </c>
      <c r="F91" s="470">
        <f t="shared" si="12"/>
        <v>260.66666666666697</v>
      </c>
      <c r="G91" s="470">
        <f t="shared" si="13"/>
        <v>226.66666666666686</v>
      </c>
      <c r="H91" s="471">
        <f t="shared" si="14"/>
        <v>241.77777777777783</v>
      </c>
    </row>
    <row r="92" spans="1:8">
      <c r="A92" s="469">
        <f t="shared" si="15"/>
        <v>0.9472222222222213</v>
      </c>
      <c r="B92" s="470">
        <f t="shared" si="8"/>
        <v>265.22222222222234</v>
      </c>
      <c r="C92" s="471">
        <f t="shared" si="9"/>
        <v>280.37777777777831</v>
      </c>
      <c r="D92" s="470">
        <f t="shared" si="10"/>
        <v>289.84999999999957</v>
      </c>
      <c r="E92" s="471">
        <f t="shared" si="11"/>
        <v>246.27777777777766</v>
      </c>
      <c r="F92" s="470">
        <f t="shared" si="12"/>
        <v>261.43333333333362</v>
      </c>
      <c r="G92" s="470">
        <f t="shared" si="13"/>
        <v>227.33333333333351</v>
      </c>
      <c r="H92" s="471">
        <f t="shared" si="14"/>
        <v>242.48888888888894</v>
      </c>
    </row>
    <row r="93" spans="1:8">
      <c r="A93" s="469">
        <f t="shared" si="15"/>
        <v>0.94999999999999907</v>
      </c>
      <c r="B93" s="470">
        <f t="shared" si="8"/>
        <v>266.00000000000011</v>
      </c>
      <c r="C93" s="471">
        <f t="shared" si="9"/>
        <v>281.2000000000005</v>
      </c>
      <c r="D93" s="470">
        <f t="shared" si="10"/>
        <v>290.69999999999959</v>
      </c>
      <c r="E93" s="471">
        <f t="shared" si="11"/>
        <v>246.99999999999989</v>
      </c>
      <c r="F93" s="470">
        <f t="shared" si="12"/>
        <v>262.20000000000027</v>
      </c>
      <c r="G93" s="470">
        <f t="shared" si="13"/>
        <v>228.00000000000017</v>
      </c>
      <c r="H93" s="471">
        <f t="shared" si="14"/>
        <v>243.20000000000005</v>
      </c>
    </row>
    <row r="94" spans="1:8">
      <c r="A94" s="469">
        <f t="shared" si="15"/>
        <v>0.95277777777777684</v>
      </c>
      <c r="B94" s="470">
        <f t="shared" si="8"/>
        <v>266.77777777777789</v>
      </c>
      <c r="C94" s="471">
        <f t="shared" si="9"/>
        <v>282.02222222222269</v>
      </c>
      <c r="D94" s="470">
        <f t="shared" si="10"/>
        <v>291.54999999999961</v>
      </c>
      <c r="E94" s="471">
        <f t="shared" si="11"/>
        <v>247.72222222222211</v>
      </c>
      <c r="F94" s="470">
        <f t="shared" si="12"/>
        <v>262.96666666666692</v>
      </c>
      <c r="G94" s="470">
        <f t="shared" si="13"/>
        <v>228.66666666666683</v>
      </c>
      <c r="H94" s="471">
        <f t="shared" si="14"/>
        <v>243.91111111111115</v>
      </c>
    </row>
    <row r="95" spans="1:8">
      <c r="A95" s="469">
        <f t="shared" si="15"/>
        <v>0.9555555555555546</v>
      </c>
      <c r="B95" s="470">
        <f t="shared" si="8"/>
        <v>267.55555555555566</v>
      </c>
      <c r="C95" s="471">
        <f t="shared" si="9"/>
        <v>282.84444444444489</v>
      </c>
      <c r="D95" s="470">
        <f t="shared" si="10"/>
        <v>292.39999999999964</v>
      </c>
      <c r="E95" s="471">
        <f t="shared" si="11"/>
        <v>248.44444444444434</v>
      </c>
      <c r="F95" s="470">
        <f t="shared" si="12"/>
        <v>263.73333333333358</v>
      </c>
      <c r="G95" s="470">
        <f t="shared" si="13"/>
        <v>229.33333333333348</v>
      </c>
      <c r="H95" s="471">
        <f t="shared" si="14"/>
        <v>244.62222222222226</v>
      </c>
    </row>
    <row r="96" spans="1:8">
      <c r="A96" s="469">
        <f t="shared" si="15"/>
        <v>0.95833333333333237</v>
      </c>
      <c r="B96" s="470">
        <f t="shared" si="8"/>
        <v>268.33333333333343</v>
      </c>
      <c r="C96" s="471">
        <f t="shared" si="9"/>
        <v>283.66666666666708</v>
      </c>
      <c r="D96" s="470">
        <f t="shared" si="10"/>
        <v>293.24999999999966</v>
      </c>
      <c r="E96" s="471">
        <f t="shared" si="11"/>
        <v>249.16666666666657</v>
      </c>
      <c r="F96" s="470">
        <f t="shared" si="12"/>
        <v>264.50000000000023</v>
      </c>
      <c r="G96" s="470">
        <f t="shared" si="13"/>
        <v>230.00000000000014</v>
      </c>
      <c r="H96" s="471">
        <f t="shared" si="14"/>
        <v>245.33333333333337</v>
      </c>
    </row>
    <row r="97" spans="1:8">
      <c r="A97" s="469">
        <f t="shared" si="15"/>
        <v>0.96111111111111014</v>
      </c>
      <c r="B97" s="470">
        <f t="shared" si="8"/>
        <v>269.1111111111112</v>
      </c>
      <c r="C97" s="471">
        <f t="shared" si="9"/>
        <v>284.48888888888928</v>
      </c>
      <c r="D97" s="470">
        <f t="shared" si="10"/>
        <v>294.09999999999968</v>
      </c>
      <c r="E97" s="471">
        <f t="shared" si="11"/>
        <v>249.8888888888888</v>
      </c>
      <c r="F97" s="470">
        <f t="shared" si="12"/>
        <v>265.26666666666688</v>
      </c>
      <c r="G97" s="470">
        <f t="shared" si="13"/>
        <v>230.6666666666668</v>
      </c>
      <c r="H97" s="471">
        <f t="shared" si="14"/>
        <v>246.04444444444448</v>
      </c>
    </row>
    <row r="98" spans="1:8">
      <c r="A98" s="469">
        <f t="shared" si="15"/>
        <v>0.96388888888888791</v>
      </c>
      <c r="B98" s="470">
        <f t="shared" si="8"/>
        <v>269.88888888888897</v>
      </c>
      <c r="C98" s="471">
        <f t="shared" si="9"/>
        <v>285.31111111111147</v>
      </c>
      <c r="D98" s="470">
        <f t="shared" si="10"/>
        <v>294.9499999999997</v>
      </c>
      <c r="E98" s="471">
        <f t="shared" si="11"/>
        <v>250.61111111111103</v>
      </c>
      <c r="F98" s="470">
        <f t="shared" si="12"/>
        <v>266.03333333333353</v>
      </c>
      <c r="G98" s="470">
        <f t="shared" si="13"/>
        <v>231.33333333333346</v>
      </c>
      <c r="H98" s="471">
        <f t="shared" si="14"/>
        <v>246.75555555555559</v>
      </c>
    </row>
    <row r="99" spans="1:8">
      <c r="A99" s="469">
        <f t="shared" si="15"/>
        <v>0.96666666666666567</v>
      </c>
      <c r="B99" s="470">
        <f t="shared" si="8"/>
        <v>270.66666666666674</v>
      </c>
      <c r="C99" s="471">
        <f t="shared" si="9"/>
        <v>286.13333333333367</v>
      </c>
      <c r="D99" s="470">
        <f t="shared" si="10"/>
        <v>295.79999999999973</v>
      </c>
      <c r="E99" s="471">
        <f t="shared" si="11"/>
        <v>251.33333333333326</v>
      </c>
      <c r="F99" s="470">
        <f t="shared" si="12"/>
        <v>266.80000000000018</v>
      </c>
      <c r="G99" s="470">
        <f t="shared" si="13"/>
        <v>232.00000000000011</v>
      </c>
      <c r="H99" s="471">
        <f t="shared" si="14"/>
        <v>247.4666666666667</v>
      </c>
    </row>
    <row r="100" spans="1:8">
      <c r="A100" s="469">
        <f t="shared" si="15"/>
        <v>0.96944444444444344</v>
      </c>
      <c r="B100" s="470">
        <f t="shared" si="8"/>
        <v>271.44444444444451</v>
      </c>
      <c r="C100" s="471">
        <f t="shared" si="9"/>
        <v>286.95555555555586</v>
      </c>
      <c r="D100" s="470">
        <f t="shared" si="10"/>
        <v>296.64999999999975</v>
      </c>
      <c r="E100" s="471">
        <f t="shared" si="11"/>
        <v>252.05555555555549</v>
      </c>
      <c r="F100" s="470">
        <f t="shared" si="12"/>
        <v>267.56666666666683</v>
      </c>
      <c r="G100" s="470">
        <f t="shared" si="13"/>
        <v>232.66666666666677</v>
      </c>
      <c r="H100" s="471">
        <f t="shared" si="14"/>
        <v>248.17777777777781</v>
      </c>
    </row>
    <row r="101" spans="1:8">
      <c r="A101" s="469">
        <f t="shared" si="15"/>
        <v>0.97222222222222121</v>
      </c>
      <c r="B101" s="470">
        <f t="shared" si="8"/>
        <v>272.22222222222229</v>
      </c>
      <c r="C101" s="471">
        <f t="shared" si="9"/>
        <v>287.77777777777806</v>
      </c>
      <c r="D101" s="470">
        <f t="shared" si="10"/>
        <v>297.49999999999977</v>
      </c>
      <c r="E101" s="471">
        <f t="shared" si="11"/>
        <v>252.77777777777771</v>
      </c>
      <c r="F101" s="470">
        <f t="shared" si="12"/>
        <v>268.33333333333348</v>
      </c>
      <c r="G101" s="470">
        <f t="shared" si="13"/>
        <v>233.33333333333343</v>
      </c>
      <c r="H101" s="471">
        <f t="shared" si="14"/>
        <v>248.88888888888891</v>
      </c>
    </row>
    <row r="102" spans="1:8">
      <c r="A102" s="469">
        <f t="shared" si="15"/>
        <v>0.97499999999999898</v>
      </c>
      <c r="B102" s="470">
        <f t="shared" si="8"/>
        <v>273.00000000000006</v>
      </c>
      <c r="C102" s="471">
        <f t="shared" si="9"/>
        <v>288.60000000000025</v>
      </c>
      <c r="D102" s="470">
        <f t="shared" si="10"/>
        <v>298.3499999999998</v>
      </c>
      <c r="E102" s="471">
        <f t="shared" si="11"/>
        <v>253.49999999999994</v>
      </c>
      <c r="F102" s="470">
        <f t="shared" si="12"/>
        <v>269.10000000000014</v>
      </c>
      <c r="G102" s="470">
        <f t="shared" si="13"/>
        <v>234.00000000000009</v>
      </c>
      <c r="H102" s="471">
        <f t="shared" si="14"/>
        <v>249.60000000000002</v>
      </c>
    </row>
    <row r="103" spans="1:8">
      <c r="A103" s="469">
        <f t="shared" si="15"/>
        <v>0.97777777777777675</v>
      </c>
      <c r="B103" s="470">
        <f t="shared" si="8"/>
        <v>273.77777777777783</v>
      </c>
      <c r="C103" s="471">
        <f t="shared" si="9"/>
        <v>289.42222222222244</v>
      </c>
      <c r="D103" s="470">
        <f t="shared" si="10"/>
        <v>299.19999999999982</v>
      </c>
      <c r="E103" s="471">
        <f t="shared" si="11"/>
        <v>254.22222222222217</v>
      </c>
      <c r="F103" s="470">
        <f t="shared" si="12"/>
        <v>269.86666666666679</v>
      </c>
      <c r="G103" s="470">
        <f t="shared" si="13"/>
        <v>234.66666666666674</v>
      </c>
      <c r="H103" s="471">
        <f t="shared" si="14"/>
        <v>250.31111111111113</v>
      </c>
    </row>
    <row r="104" spans="1:8">
      <c r="A104" s="469">
        <f t="shared" si="15"/>
        <v>0.98055555555555451</v>
      </c>
      <c r="B104" s="470">
        <f t="shared" si="8"/>
        <v>274.5555555555556</v>
      </c>
      <c r="C104" s="471">
        <f t="shared" si="9"/>
        <v>290.24444444444464</v>
      </c>
      <c r="D104" s="470">
        <f t="shared" si="10"/>
        <v>300.04999999999984</v>
      </c>
      <c r="E104" s="471">
        <f t="shared" si="11"/>
        <v>254.9444444444444</v>
      </c>
      <c r="F104" s="470">
        <f t="shared" si="12"/>
        <v>270.63333333333344</v>
      </c>
      <c r="G104" s="470">
        <f t="shared" si="13"/>
        <v>235.3333333333334</v>
      </c>
      <c r="H104" s="471">
        <f t="shared" si="14"/>
        <v>251.02222222222224</v>
      </c>
    </row>
    <row r="105" spans="1:8">
      <c r="A105" s="469">
        <f t="shared" si="15"/>
        <v>0.98333333333333228</v>
      </c>
      <c r="B105" s="470">
        <f t="shared" si="8"/>
        <v>275.33333333333337</v>
      </c>
      <c r="C105" s="471">
        <f t="shared" si="9"/>
        <v>291.06666666666683</v>
      </c>
      <c r="D105" s="470">
        <f t="shared" si="10"/>
        <v>300.89999999999986</v>
      </c>
      <c r="E105" s="471">
        <f t="shared" si="11"/>
        <v>255.66666666666663</v>
      </c>
      <c r="F105" s="470">
        <f t="shared" si="12"/>
        <v>271.40000000000009</v>
      </c>
      <c r="G105" s="470">
        <f t="shared" si="13"/>
        <v>236.00000000000006</v>
      </c>
      <c r="H105" s="471">
        <f t="shared" si="14"/>
        <v>251.73333333333335</v>
      </c>
    </row>
    <row r="106" spans="1:8">
      <c r="A106" s="469">
        <f t="shared" si="15"/>
        <v>0.98611111111111005</v>
      </c>
      <c r="B106" s="470">
        <f t="shared" si="8"/>
        <v>276.11111111111114</v>
      </c>
      <c r="C106" s="471">
        <f t="shared" si="9"/>
        <v>291.88888888888903</v>
      </c>
      <c r="D106" s="470">
        <f t="shared" si="10"/>
        <v>301.74999999999989</v>
      </c>
      <c r="E106" s="471">
        <f t="shared" si="11"/>
        <v>256.38888888888886</v>
      </c>
      <c r="F106" s="470">
        <f t="shared" si="12"/>
        <v>272.16666666666674</v>
      </c>
      <c r="G106" s="470">
        <f t="shared" si="13"/>
        <v>236.66666666666671</v>
      </c>
      <c r="H106" s="471">
        <f t="shared" si="14"/>
        <v>252.44444444444446</v>
      </c>
    </row>
    <row r="107" spans="1:8">
      <c r="A107" s="469">
        <f t="shared" si="15"/>
        <v>0.98888888888888782</v>
      </c>
      <c r="B107" s="470">
        <f t="shared" si="8"/>
        <v>276.88888888888891</v>
      </c>
      <c r="C107" s="471">
        <f t="shared" si="9"/>
        <v>292.71111111111122</v>
      </c>
      <c r="D107" s="470">
        <f t="shared" si="10"/>
        <v>302.59999999999991</v>
      </c>
      <c r="E107" s="471">
        <f t="shared" si="11"/>
        <v>257.11111111111109</v>
      </c>
      <c r="F107" s="470">
        <f t="shared" si="12"/>
        <v>272.93333333333339</v>
      </c>
      <c r="G107" s="470">
        <f t="shared" si="13"/>
        <v>237.33333333333337</v>
      </c>
      <c r="H107" s="471">
        <f t="shared" si="14"/>
        <v>253.15555555555557</v>
      </c>
    </row>
    <row r="108" spans="1:8">
      <c r="A108" s="469">
        <f t="shared" si="15"/>
        <v>0.99166666666666559</v>
      </c>
      <c r="B108" s="470">
        <f t="shared" si="8"/>
        <v>277.66666666666669</v>
      </c>
      <c r="C108" s="471">
        <f t="shared" si="9"/>
        <v>293.53333333333342</v>
      </c>
      <c r="D108" s="470">
        <f t="shared" si="10"/>
        <v>303.44999999999993</v>
      </c>
      <c r="E108" s="471">
        <f t="shared" si="11"/>
        <v>257.83333333333331</v>
      </c>
      <c r="F108" s="470">
        <f t="shared" si="12"/>
        <v>273.70000000000005</v>
      </c>
      <c r="G108" s="470">
        <f t="shared" si="13"/>
        <v>238.00000000000003</v>
      </c>
      <c r="H108" s="471">
        <f t="shared" si="14"/>
        <v>253.86666666666667</v>
      </c>
    </row>
    <row r="109" spans="1:8">
      <c r="A109" s="469">
        <f t="shared" si="15"/>
        <v>0.99444444444444335</v>
      </c>
      <c r="B109" s="470">
        <f t="shared" si="8"/>
        <v>278.44444444444446</v>
      </c>
      <c r="C109" s="471">
        <f t="shared" si="9"/>
        <v>294.35555555555561</v>
      </c>
      <c r="D109" s="470">
        <f t="shared" si="10"/>
        <v>304.29999999999995</v>
      </c>
      <c r="E109" s="471">
        <f t="shared" si="11"/>
        <v>258.55555555555554</v>
      </c>
      <c r="F109" s="470">
        <f t="shared" si="12"/>
        <v>274.4666666666667</v>
      </c>
      <c r="G109" s="470">
        <f t="shared" si="13"/>
        <v>238.66666666666669</v>
      </c>
      <c r="H109" s="471">
        <f t="shared" si="14"/>
        <v>254.57777777777778</v>
      </c>
    </row>
    <row r="110" spans="1:8">
      <c r="A110" s="469">
        <f t="shared" si="15"/>
        <v>0.99722222222222112</v>
      </c>
      <c r="B110" s="470">
        <f>B111-($B$111*0.2/72)</f>
        <v>279.22222222222223</v>
      </c>
      <c r="C110" s="471">
        <f>C111-($C$111*0.2/72)</f>
        <v>295.17777777777781</v>
      </c>
      <c r="D110" s="470">
        <f>D111-($D$111*0.2/72)</f>
        <v>305.14999999999998</v>
      </c>
      <c r="E110" s="471">
        <f>E111-($E$111*0.2/72)</f>
        <v>259.27777777777777</v>
      </c>
      <c r="F110" s="470">
        <f>F111-($F$111*0.2/72)</f>
        <v>275.23333333333335</v>
      </c>
      <c r="G110" s="470">
        <f>G111-($G$111*0.2/72)</f>
        <v>239.33333333333334</v>
      </c>
      <c r="H110" s="471">
        <f>H111-($H$111*0.2/72)</f>
        <v>255.28888888888889</v>
      </c>
    </row>
    <row r="111" spans="1:8">
      <c r="A111" s="469">
        <f t="shared" si="15"/>
        <v>0.99999999999999889</v>
      </c>
      <c r="B111" s="467">
        <f>A1</f>
        <v>280</v>
      </c>
      <c r="C111" s="468">
        <f>A1+10+B1</f>
        <v>296</v>
      </c>
      <c r="D111" s="467">
        <f>A1+20+B1</f>
        <v>306</v>
      </c>
      <c r="E111" s="468">
        <f>B111-20</f>
        <v>260</v>
      </c>
      <c r="F111" s="467">
        <f>C111-20</f>
        <v>276</v>
      </c>
      <c r="G111" s="467">
        <f>E111-20</f>
        <v>240</v>
      </c>
      <c r="H111" s="468">
        <f>F111-20</f>
        <v>256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E412-67C4-4902-8B69-6B35B3A9892A}">
  <dimension ref="A1:S96"/>
  <sheetViews>
    <sheetView workbookViewId="0">
      <selection sqref="A1:XFD1048576"/>
    </sheetView>
  </sheetViews>
  <sheetFormatPr defaultRowHeight="15"/>
  <sheetData>
    <row r="1" spans="1:15" ht="15.75" thickBot="1">
      <c r="A1" t="s">
        <v>289</v>
      </c>
      <c r="B1" s="603" t="s">
        <v>299</v>
      </c>
      <c r="C1" s="604"/>
      <c r="D1" s="365" t="s">
        <v>300</v>
      </c>
      <c r="E1" s="366" t="s">
        <v>301</v>
      </c>
      <c r="F1" s="605" t="s">
        <v>400</v>
      </c>
      <c r="G1" s="606"/>
      <c r="H1" s="606"/>
      <c r="I1" s="606"/>
      <c r="J1" s="607"/>
      <c r="K1" s="367" t="s">
        <v>301</v>
      </c>
      <c r="L1" s="368" t="s">
        <v>299</v>
      </c>
      <c r="M1" s="608" t="s">
        <v>300</v>
      </c>
      <c r="N1" s="609"/>
      <c r="O1" t="s">
        <v>289</v>
      </c>
    </row>
    <row r="2" spans="1:15" ht="15.75" thickBot="1">
      <c r="B2" s="600" t="s">
        <v>303</v>
      </c>
      <c r="C2" s="601"/>
      <c r="D2" s="601"/>
      <c r="E2" s="601"/>
      <c r="F2" s="601"/>
      <c r="G2" s="602"/>
      <c r="I2" s="600" t="s">
        <v>304</v>
      </c>
      <c r="J2" s="601"/>
      <c r="K2" s="601"/>
      <c r="L2" s="601"/>
      <c r="M2" s="601"/>
      <c r="N2" s="602"/>
    </row>
    <row r="3" spans="1:15">
      <c r="B3" s="370" t="s">
        <v>305</v>
      </c>
      <c r="C3" s="371" t="s">
        <v>113</v>
      </c>
      <c r="D3" s="372" t="s">
        <v>295</v>
      </c>
      <c r="E3" s="373" t="s">
        <v>83</v>
      </c>
      <c r="F3" s="374" t="s">
        <v>306</v>
      </c>
      <c r="G3" s="375" t="s">
        <v>296</v>
      </c>
      <c r="H3" s="352" t="s">
        <v>297</v>
      </c>
      <c r="I3" s="375" t="s">
        <v>296</v>
      </c>
      <c r="J3" s="374" t="s">
        <v>306</v>
      </c>
      <c r="K3" s="373" t="s">
        <v>83</v>
      </c>
      <c r="L3" s="372" t="s">
        <v>295</v>
      </c>
      <c r="M3" s="371" t="s">
        <v>113</v>
      </c>
      <c r="N3" s="370" t="s">
        <v>305</v>
      </c>
    </row>
    <row r="4" spans="1:15">
      <c r="A4">
        <v>14.47</v>
      </c>
      <c r="B4" s="382">
        <v>0</v>
      </c>
      <c r="C4" s="348">
        <v>-18</v>
      </c>
      <c r="D4" s="360"/>
      <c r="E4" s="350">
        <v>0</v>
      </c>
      <c r="F4" s="405">
        <v>1</v>
      </c>
      <c r="G4" s="351">
        <v>276</v>
      </c>
      <c r="H4" s="352">
        <v>0</v>
      </c>
      <c r="I4" s="351"/>
      <c r="J4" s="405">
        <v>1</v>
      </c>
      <c r="K4" s="350"/>
      <c r="L4" s="349"/>
      <c r="M4" s="348"/>
      <c r="N4" s="376"/>
      <c r="O4">
        <f>A4</f>
        <v>14.47</v>
      </c>
    </row>
    <row r="5" spans="1:15">
      <c r="A5">
        <f t="shared" ref="A5:A49" si="0">A4+2</f>
        <v>16.47</v>
      </c>
      <c r="B5" s="382">
        <v>0</v>
      </c>
      <c r="C5" s="348">
        <v>-18</v>
      </c>
      <c r="D5" s="360"/>
      <c r="E5" s="350"/>
      <c r="F5" s="405"/>
      <c r="G5" s="351"/>
      <c r="H5" s="352">
        <f>H4+2</f>
        <v>2</v>
      </c>
      <c r="I5" s="351"/>
      <c r="J5" s="405"/>
      <c r="K5" s="350"/>
      <c r="L5" s="349"/>
      <c r="M5" s="348"/>
      <c r="N5" s="376"/>
      <c r="O5">
        <f t="shared" ref="O5:O11" si="1">O4-2</f>
        <v>12.47</v>
      </c>
    </row>
    <row r="6" spans="1:15">
      <c r="A6">
        <f t="shared" si="0"/>
        <v>18.47</v>
      </c>
      <c r="B6" s="382">
        <v>0</v>
      </c>
      <c r="C6" s="348">
        <v>-18</v>
      </c>
      <c r="D6" s="360"/>
      <c r="E6" s="350"/>
      <c r="F6" s="405"/>
      <c r="G6" s="351"/>
      <c r="H6" s="352">
        <f t="shared" ref="H6:H49" si="2">H5+2</f>
        <v>4</v>
      </c>
      <c r="I6" s="351"/>
      <c r="J6" s="405"/>
      <c r="K6" s="350"/>
      <c r="L6" s="349"/>
      <c r="M6" s="348"/>
      <c r="N6" s="376"/>
      <c r="O6">
        <f t="shared" si="1"/>
        <v>10.47</v>
      </c>
    </row>
    <row r="7" spans="1:15">
      <c r="A7">
        <f t="shared" si="0"/>
        <v>20.47</v>
      </c>
      <c r="B7" s="382">
        <v>0</v>
      </c>
      <c r="C7" s="348">
        <v>-18</v>
      </c>
      <c r="D7" s="360"/>
      <c r="E7" s="350"/>
      <c r="F7" s="405"/>
      <c r="G7" s="351"/>
      <c r="H7" s="352">
        <f t="shared" si="2"/>
        <v>6</v>
      </c>
      <c r="I7" s="351"/>
      <c r="J7" s="405"/>
      <c r="K7" s="350"/>
      <c r="L7" s="349"/>
      <c r="M7" s="348"/>
      <c r="N7" s="376"/>
      <c r="O7">
        <f t="shared" si="1"/>
        <v>8.4700000000000006</v>
      </c>
    </row>
    <row r="8" spans="1:15">
      <c r="A8">
        <f t="shared" si="0"/>
        <v>22.47</v>
      </c>
      <c r="B8" s="382">
        <v>0</v>
      </c>
      <c r="C8" s="348">
        <v>-18</v>
      </c>
      <c r="D8" s="360"/>
      <c r="E8" s="350"/>
      <c r="F8" s="405"/>
      <c r="G8" s="351"/>
      <c r="H8" s="352">
        <f t="shared" si="2"/>
        <v>8</v>
      </c>
      <c r="I8" s="351"/>
      <c r="J8" s="405"/>
      <c r="K8" s="350"/>
      <c r="L8" s="349"/>
      <c r="M8" s="348"/>
      <c r="N8" s="376"/>
      <c r="O8">
        <f t="shared" si="1"/>
        <v>6.4700000000000006</v>
      </c>
    </row>
    <row r="9" spans="1:15">
      <c r="A9">
        <f t="shared" si="0"/>
        <v>24.47</v>
      </c>
      <c r="B9" s="382">
        <v>0</v>
      </c>
      <c r="C9" s="348">
        <v>-18</v>
      </c>
      <c r="D9" s="360"/>
      <c r="E9" s="350"/>
      <c r="F9" s="405"/>
      <c r="G9" s="351"/>
      <c r="H9" s="352">
        <f t="shared" si="2"/>
        <v>10</v>
      </c>
      <c r="I9" s="351"/>
      <c r="J9" s="405"/>
      <c r="K9" s="350"/>
      <c r="L9" s="349"/>
      <c r="M9" s="348"/>
      <c r="N9" s="376"/>
      <c r="O9">
        <f t="shared" si="1"/>
        <v>4.4700000000000006</v>
      </c>
    </row>
    <row r="10" spans="1:15">
      <c r="A10">
        <f t="shared" si="0"/>
        <v>26.47</v>
      </c>
      <c r="B10" s="382">
        <v>0</v>
      </c>
      <c r="C10" s="348">
        <v>-18</v>
      </c>
      <c r="D10" s="360"/>
      <c r="E10" s="350"/>
      <c r="F10" s="405"/>
      <c r="G10" s="351"/>
      <c r="H10" s="352">
        <f t="shared" si="2"/>
        <v>12</v>
      </c>
      <c r="I10" s="351"/>
      <c r="J10" s="405"/>
      <c r="K10" s="350"/>
      <c r="L10" s="349"/>
      <c r="M10" s="348"/>
      <c r="N10" s="376"/>
      <c r="O10">
        <f t="shared" si="1"/>
        <v>2.4700000000000006</v>
      </c>
    </row>
    <row r="11" spans="1:15">
      <c r="A11">
        <f t="shared" si="0"/>
        <v>28.47</v>
      </c>
      <c r="B11" s="382">
        <v>0</v>
      </c>
      <c r="C11" s="348">
        <v>-18</v>
      </c>
      <c r="D11" s="360"/>
      <c r="E11" s="350"/>
      <c r="F11" s="405"/>
      <c r="G11" s="351"/>
      <c r="H11" s="352">
        <f t="shared" si="2"/>
        <v>14</v>
      </c>
      <c r="I11" s="351"/>
      <c r="J11" s="405"/>
      <c r="K11" s="350"/>
      <c r="L11" s="349"/>
      <c r="M11" s="348"/>
      <c r="N11" s="376"/>
      <c r="O11">
        <f t="shared" si="1"/>
        <v>0.47000000000000064</v>
      </c>
    </row>
    <row r="12" spans="1:15">
      <c r="A12">
        <f t="shared" si="0"/>
        <v>30.47</v>
      </c>
      <c r="B12" s="382">
        <v>0</v>
      </c>
      <c r="C12" s="348">
        <v>-18</v>
      </c>
      <c r="D12" s="360"/>
      <c r="E12" s="350"/>
      <c r="F12" s="405"/>
      <c r="G12" s="351"/>
      <c r="H12" s="352">
        <f t="shared" si="2"/>
        <v>16</v>
      </c>
      <c r="I12" s="379"/>
      <c r="J12" s="405"/>
      <c r="K12" s="350"/>
      <c r="L12" s="349"/>
      <c r="M12" s="348"/>
      <c r="N12" s="376"/>
      <c r="O12">
        <f>O11-2 +360</f>
        <v>358.47</v>
      </c>
    </row>
    <row r="13" spans="1:15">
      <c r="A13">
        <f t="shared" si="0"/>
        <v>32.47</v>
      </c>
      <c r="B13" s="382">
        <v>0</v>
      </c>
      <c r="C13" s="348">
        <v>-18</v>
      </c>
      <c r="D13" s="360"/>
      <c r="E13" s="350"/>
      <c r="F13" s="405"/>
      <c r="G13" s="351"/>
      <c r="H13" s="352">
        <f t="shared" si="2"/>
        <v>18</v>
      </c>
      <c r="I13" s="351"/>
      <c r="J13" s="405"/>
      <c r="K13" s="350"/>
      <c r="L13" s="349"/>
      <c r="M13" s="348"/>
      <c r="N13" s="376"/>
      <c r="O13">
        <f t="shared" ref="O13:O49" si="3">O12-2</f>
        <v>356.47</v>
      </c>
    </row>
    <row r="14" spans="1:15">
      <c r="A14">
        <f t="shared" si="0"/>
        <v>34.47</v>
      </c>
      <c r="B14" s="382">
        <v>0</v>
      </c>
      <c r="C14" s="348">
        <v>-18</v>
      </c>
      <c r="D14" s="360"/>
      <c r="E14" s="350"/>
      <c r="F14" s="405"/>
      <c r="G14" s="351"/>
      <c r="H14" s="352">
        <f t="shared" si="2"/>
        <v>20</v>
      </c>
      <c r="I14" s="351"/>
      <c r="J14" s="405"/>
      <c r="K14" s="350"/>
      <c r="L14" s="349"/>
      <c r="M14" s="348"/>
      <c r="N14" s="376"/>
      <c r="O14">
        <f t="shared" si="3"/>
        <v>354.47</v>
      </c>
    </row>
    <row r="15" spans="1:15">
      <c r="A15">
        <f t="shared" si="0"/>
        <v>36.47</v>
      </c>
      <c r="B15" s="382">
        <v>0</v>
      </c>
      <c r="C15" s="348">
        <v>-18</v>
      </c>
      <c r="D15" s="360"/>
      <c r="E15" s="350"/>
      <c r="F15" s="405"/>
      <c r="G15" s="351"/>
      <c r="H15" s="352">
        <f t="shared" si="2"/>
        <v>22</v>
      </c>
      <c r="I15" s="351"/>
      <c r="J15" s="405"/>
      <c r="K15" s="350"/>
      <c r="L15" s="349"/>
      <c r="M15" s="348"/>
      <c r="N15" s="376"/>
      <c r="O15">
        <f t="shared" si="3"/>
        <v>352.47</v>
      </c>
    </row>
    <row r="16" spans="1:15">
      <c r="A16">
        <f t="shared" si="0"/>
        <v>38.47</v>
      </c>
      <c r="B16" s="382">
        <v>0</v>
      </c>
      <c r="C16" s="348">
        <v>-18</v>
      </c>
      <c r="D16" s="361"/>
      <c r="E16" s="350"/>
      <c r="F16" s="405"/>
      <c r="G16" s="351"/>
      <c r="H16" s="352">
        <f t="shared" si="2"/>
        <v>24</v>
      </c>
      <c r="I16" s="351"/>
      <c r="J16" s="405"/>
      <c r="K16" s="350"/>
      <c r="L16" s="349"/>
      <c r="M16" s="348"/>
      <c r="N16" s="376"/>
      <c r="O16">
        <f t="shared" si="3"/>
        <v>350.47</v>
      </c>
    </row>
    <row r="17" spans="1:15">
      <c r="A17">
        <f t="shared" si="0"/>
        <v>40.47</v>
      </c>
      <c r="B17" s="382">
        <v>0</v>
      </c>
      <c r="C17" s="348">
        <v>-18</v>
      </c>
      <c r="D17" s="360"/>
      <c r="E17" s="350"/>
      <c r="F17" s="405"/>
      <c r="G17" s="351"/>
      <c r="H17" s="352">
        <f t="shared" si="2"/>
        <v>26</v>
      </c>
      <c r="I17" s="351"/>
      <c r="J17" s="405"/>
      <c r="K17" s="350"/>
      <c r="L17" s="349"/>
      <c r="M17" s="348"/>
      <c r="N17" s="376"/>
      <c r="O17">
        <f t="shared" si="3"/>
        <v>348.47</v>
      </c>
    </row>
    <row r="18" spans="1:15">
      <c r="A18">
        <f t="shared" si="0"/>
        <v>42.47</v>
      </c>
      <c r="B18" s="382">
        <v>0</v>
      </c>
      <c r="C18" s="348">
        <v>-18</v>
      </c>
      <c r="D18" s="349"/>
      <c r="E18" s="350"/>
      <c r="F18" s="405"/>
      <c r="G18" s="351"/>
      <c r="H18" s="352">
        <f t="shared" si="2"/>
        <v>28</v>
      </c>
      <c r="I18" s="351"/>
      <c r="J18" s="405"/>
      <c r="K18" s="350"/>
      <c r="L18" s="349"/>
      <c r="M18" s="348"/>
      <c r="N18" s="376"/>
      <c r="O18">
        <f t="shared" si="3"/>
        <v>346.47</v>
      </c>
    </row>
    <row r="19" spans="1:15">
      <c r="A19">
        <f t="shared" si="0"/>
        <v>44.47</v>
      </c>
      <c r="B19" s="382">
        <v>0</v>
      </c>
      <c r="C19" s="348">
        <v>-18</v>
      </c>
      <c r="D19" s="349"/>
      <c r="E19" s="350"/>
      <c r="F19" s="405"/>
      <c r="G19" s="351"/>
      <c r="H19" s="352">
        <f t="shared" si="2"/>
        <v>30</v>
      </c>
      <c r="I19" s="351"/>
      <c r="J19" s="405"/>
      <c r="K19" s="350"/>
      <c r="L19" s="349"/>
      <c r="M19" s="348"/>
      <c r="N19" s="376"/>
      <c r="O19">
        <f t="shared" si="3"/>
        <v>344.47</v>
      </c>
    </row>
    <row r="20" spans="1:15">
      <c r="A20">
        <f t="shared" si="0"/>
        <v>46.47</v>
      </c>
      <c r="B20" s="382">
        <v>0</v>
      </c>
      <c r="C20" s="348">
        <v>-18</v>
      </c>
      <c r="D20" s="349"/>
      <c r="E20" s="350"/>
      <c r="F20" s="405"/>
      <c r="G20" s="351"/>
      <c r="H20" s="352">
        <f t="shared" si="2"/>
        <v>32</v>
      </c>
      <c r="I20" s="351"/>
      <c r="J20" s="405"/>
      <c r="K20" s="350"/>
      <c r="L20" s="349"/>
      <c r="M20" s="348"/>
      <c r="N20" s="376"/>
      <c r="O20">
        <f t="shared" si="3"/>
        <v>342.47</v>
      </c>
    </row>
    <row r="21" spans="1:15">
      <c r="A21">
        <f t="shared" si="0"/>
        <v>48.47</v>
      </c>
      <c r="B21" s="382">
        <v>0</v>
      </c>
      <c r="C21" s="348">
        <v>-18</v>
      </c>
      <c r="D21" s="349"/>
      <c r="E21" s="350"/>
      <c r="F21" s="405"/>
      <c r="G21" s="351"/>
      <c r="H21" s="352">
        <f t="shared" si="2"/>
        <v>34</v>
      </c>
      <c r="I21" s="351"/>
      <c r="J21" s="405"/>
      <c r="K21" s="350"/>
      <c r="L21" s="349"/>
      <c r="M21" s="348"/>
      <c r="N21" s="376"/>
      <c r="O21">
        <f t="shared" si="3"/>
        <v>340.47</v>
      </c>
    </row>
    <row r="22" spans="1:15">
      <c r="A22">
        <f t="shared" si="0"/>
        <v>50.47</v>
      </c>
      <c r="B22" s="382">
        <v>0</v>
      </c>
      <c r="C22" s="348">
        <v>-18</v>
      </c>
      <c r="D22" s="349"/>
      <c r="E22" s="350"/>
      <c r="F22" s="405"/>
      <c r="G22" s="351"/>
      <c r="H22" s="352">
        <f t="shared" si="2"/>
        <v>36</v>
      </c>
      <c r="I22" s="351"/>
      <c r="J22" s="405"/>
      <c r="K22" s="350"/>
      <c r="L22" s="349"/>
      <c r="M22" s="348"/>
      <c r="N22" s="376"/>
      <c r="O22">
        <f t="shared" si="3"/>
        <v>338.47</v>
      </c>
    </row>
    <row r="23" spans="1:15">
      <c r="A23">
        <f t="shared" si="0"/>
        <v>52.47</v>
      </c>
      <c r="B23" s="382">
        <v>0</v>
      </c>
      <c r="C23" s="348">
        <v>-18</v>
      </c>
      <c r="D23" s="349"/>
      <c r="E23" s="350"/>
      <c r="F23" s="405"/>
      <c r="G23" s="351"/>
      <c r="H23" s="352">
        <f t="shared" si="2"/>
        <v>38</v>
      </c>
      <c r="I23" s="351"/>
      <c r="J23" s="405"/>
      <c r="K23" s="350"/>
      <c r="L23" s="349"/>
      <c r="M23" s="348"/>
      <c r="N23" s="376"/>
      <c r="O23">
        <f t="shared" si="3"/>
        <v>336.47</v>
      </c>
    </row>
    <row r="24" spans="1:15">
      <c r="A24">
        <f t="shared" si="0"/>
        <v>54.47</v>
      </c>
      <c r="B24" s="382">
        <v>0</v>
      </c>
      <c r="C24" s="348">
        <v>-18</v>
      </c>
      <c r="D24" s="349"/>
      <c r="E24" s="350"/>
      <c r="F24" s="405"/>
      <c r="G24" s="338"/>
      <c r="H24" s="352">
        <f t="shared" si="2"/>
        <v>40</v>
      </c>
      <c r="I24" s="338"/>
      <c r="J24" s="405"/>
      <c r="K24" s="350"/>
      <c r="L24" s="349"/>
      <c r="M24" s="348"/>
      <c r="N24" s="376"/>
      <c r="O24">
        <f t="shared" si="3"/>
        <v>334.47</v>
      </c>
    </row>
    <row r="25" spans="1:15">
      <c r="A25">
        <f t="shared" si="0"/>
        <v>56.47</v>
      </c>
      <c r="B25" s="382">
        <v>0</v>
      </c>
      <c r="C25" s="348">
        <v>-18</v>
      </c>
      <c r="D25" s="349"/>
      <c r="E25" s="350"/>
      <c r="F25" s="405"/>
      <c r="G25" s="338"/>
      <c r="H25" s="352">
        <f t="shared" si="2"/>
        <v>42</v>
      </c>
      <c r="I25" s="338"/>
      <c r="J25" s="405"/>
      <c r="K25" s="350"/>
      <c r="L25" s="349"/>
      <c r="M25" s="348"/>
      <c r="N25" s="376"/>
      <c r="O25">
        <f t="shared" si="3"/>
        <v>332.47</v>
      </c>
    </row>
    <row r="26" spans="1:15">
      <c r="A26">
        <f t="shared" si="0"/>
        <v>58.47</v>
      </c>
      <c r="B26" s="382">
        <v>0</v>
      </c>
      <c r="C26" s="348">
        <v>-18</v>
      </c>
      <c r="D26" s="349"/>
      <c r="E26" s="350"/>
      <c r="F26" s="405"/>
      <c r="G26" s="338"/>
      <c r="H26" s="352">
        <f t="shared" si="2"/>
        <v>44</v>
      </c>
      <c r="I26" s="338"/>
      <c r="J26" s="405"/>
      <c r="K26" s="350"/>
      <c r="L26" s="349"/>
      <c r="M26" s="348"/>
      <c r="N26" s="376"/>
      <c r="O26">
        <f t="shared" si="3"/>
        <v>330.47</v>
      </c>
    </row>
    <row r="27" spans="1:15">
      <c r="A27">
        <f t="shared" si="0"/>
        <v>60.47</v>
      </c>
      <c r="B27" s="382">
        <v>0</v>
      </c>
      <c r="C27" s="348">
        <v>-18</v>
      </c>
      <c r="D27" s="349"/>
      <c r="E27" s="350"/>
      <c r="F27" s="405"/>
      <c r="G27" s="338"/>
      <c r="H27" s="352">
        <f t="shared" si="2"/>
        <v>46</v>
      </c>
      <c r="I27" s="338"/>
      <c r="J27" s="405"/>
      <c r="K27" s="350"/>
      <c r="L27" s="349"/>
      <c r="M27" s="348"/>
      <c r="N27" s="376"/>
      <c r="O27">
        <f t="shared" si="3"/>
        <v>328.47</v>
      </c>
    </row>
    <row r="28" spans="1:15">
      <c r="A28">
        <f t="shared" si="0"/>
        <v>62.47</v>
      </c>
      <c r="B28" s="382">
        <v>0</v>
      </c>
      <c r="C28" s="348">
        <v>-18</v>
      </c>
      <c r="D28" s="349"/>
      <c r="E28" s="350"/>
      <c r="F28" s="405"/>
      <c r="G28" s="338"/>
      <c r="H28" s="352">
        <f t="shared" si="2"/>
        <v>48</v>
      </c>
      <c r="I28" s="338"/>
      <c r="J28" s="405"/>
      <c r="K28" s="350"/>
      <c r="L28" s="349"/>
      <c r="M28" s="348"/>
      <c r="N28" s="376"/>
      <c r="O28">
        <f t="shared" si="3"/>
        <v>326.47000000000003</v>
      </c>
    </row>
    <row r="29" spans="1:15">
      <c r="A29">
        <f t="shared" si="0"/>
        <v>64.47</v>
      </c>
      <c r="B29" s="382">
        <v>0</v>
      </c>
      <c r="C29" s="348">
        <v>-18</v>
      </c>
      <c r="D29" s="349"/>
      <c r="E29" s="350"/>
      <c r="F29" s="406"/>
      <c r="G29" s="338"/>
      <c r="H29" s="352">
        <f t="shared" si="2"/>
        <v>50</v>
      </c>
      <c r="I29" s="338"/>
      <c r="J29" s="406"/>
      <c r="K29" s="350"/>
      <c r="L29" s="349"/>
      <c r="M29" s="348"/>
      <c r="N29" s="376"/>
      <c r="O29">
        <f t="shared" si="3"/>
        <v>324.47000000000003</v>
      </c>
    </row>
    <row r="30" spans="1:15">
      <c r="A30">
        <f t="shared" si="0"/>
        <v>66.47</v>
      </c>
      <c r="B30" s="382">
        <v>0</v>
      </c>
      <c r="C30" s="348">
        <v>-18</v>
      </c>
      <c r="D30" s="349"/>
      <c r="E30" s="350"/>
      <c r="F30" s="406"/>
      <c r="G30" s="381"/>
      <c r="H30" s="352">
        <f t="shared" si="2"/>
        <v>52</v>
      </c>
      <c r="I30" s="338"/>
      <c r="J30" s="406"/>
      <c r="K30" s="350"/>
      <c r="L30" s="349"/>
      <c r="M30" s="348"/>
      <c r="N30" s="376"/>
      <c r="O30">
        <f t="shared" si="3"/>
        <v>322.47000000000003</v>
      </c>
    </row>
    <row r="31" spans="1:15">
      <c r="A31">
        <f t="shared" si="0"/>
        <v>68.47</v>
      </c>
      <c r="B31" s="382">
        <v>0</v>
      </c>
      <c r="C31" s="348">
        <v>-18</v>
      </c>
      <c r="D31" s="349"/>
      <c r="E31" s="350"/>
      <c r="F31" s="406"/>
      <c r="G31" s="381"/>
      <c r="H31" s="352">
        <f t="shared" si="2"/>
        <v>54</v>
      </c>
      <c r="I31" s="338"/>
      <c r="J31" s="406"/>
      <c r="K31" s="350"/>
      <c r="L31" s="349"/>
      <c r="M31" s="348"/>
      <c r="N31" s="376"/>
      <c r="O31">
        <f t="shared" si="3"/>
        <v>320.47000000000003</v>
      </c>
    </row>
    <row r="32" spans="1:15">
      <c r="A32">
        <f t="shared" si="0"/>
        <v>70.47</v>
      </c>
      <c r="B32" s="382">
        <v>0</v>
      </c>
      <c r="C32" s="348">
        <v>-18</v>
      </c>
      <c r="D32" s="349"/>
      <c r="E32" s="350"/>
      <c r="F32" s="406"/>
      <c r="G32" s="381"/>
      <c r="H32" s="352">
        <f t="shared" si="2"/>
        <v>56</v>
      </c>
      <c r="I32" s="338"/>
      <c r="J32" s="406"/>
      <c r="K32" s="350"/>
      <c r="L32" s="349"/>
      <c r="M32" s="348"/>
      <c r="N32" s="376"/>
      <c r="O32">
        <f t="shared" si="3"/>
        <v>318.47000000000003</v>
      </c>
    </row>
    <row r="33" spans="1:15">
      <c r="A33">
        <f t="shared" si="0"/>
        <v>72.47</v>
      </c>
      <c r="B33" s="382">
        <v>0</v>
      </c>
      <c r="C33" s="348">
        <v>-18</v>
      </c>
      <c r="D33" s="349"/>
      <c r="E33" s="350"/>
      <c r="F33" s="406"/>
      <c r="G33" s="381"/>
      <c r="H33" s="352">
        <f t="shared" si="2"/>
        <v>58</v>
      </c>
      <c r="I33" s="338"/>
      <c r="J33" s="406"/>
      <c r="K33" s="350"/>
      <c r="L33" s="349"/>
      <c r="M33" s="348"/>
      <c r="N33" s="376"/>
      <c r="O33">
        <f t="shared" si="3"/>
        <v>316.47000000000003</v>
      </c>
    </row>
    <row r="34" spans="1:15">
      <c r="A34">
        <f t="shared" si="0"/>
        <v>74.47</v>
      </c>
      <c r="B34" s="382">
        <v>0</v>
      </c>
      <c r="C34" s="348">
        <v>-18</v>
      </c>
      <c r="D34" s="349"/>
      <c r="E34" s="350"/>
      <c r="F34" s="406"/>
      <c r="G34" s="381"/>
      <c r="H34" s="352">
        <f t="shared" si="2"/>
        <v>60</v>
      </c>
      <c r="I34" s="338"/>
      <c r="J34" s="406"/>
      <c r="K34" s="350"/>
      <c r="L34" s="349"/>
      <c r="M34" s="348"/>
      <c r="N34" s="376"/>
      <c r="O34">
        <f t="shared" si="3"/>
        <v>314.47000000000003</v>
      </c>
    </row>
    <row r="35" spans="1:15">
      <c r="A35">
        <f t="shared" si="0"/>
        <v>76.47</v>
      </c>
      <c r="B35" s="382">
        <v>0</v>
      </c>
      <c r="C35" s="348">
        <v>-18</v>
      </c>
      <c r="D35" s="349"/>
      <c r="E35" s="350"/>
      <c r="F35" s="406"/>
      <c r="G35" s="381"/>
      <c r="H35" s="352">
        <f t="shared" si="2"/>
        <v>62</v>
      </c>
      <c r="I35" s="338"/>
      <c r="J35" s="406"/>
      <c r="K35" s="350"/>
      <c r="L35" s="349"/>
      <c r="M35" s="348"/>
      <c r="N35" s="376"/>
      <c r="O35">
        <f t="shared" si="3"/>
        <v>312.47000000000003</v>
      </c>
    </row>
    <row r="36" spans="1:15">
      <c r="A36">
        <f t="shared" si="0"/>
        <v>78.47</v>
      </c>
      <c r="B36" s="382">
        <v>0</v>
      </c>
      <c r="C36" s="348">
        <v>-18</v>
      </c>
      <c r="D36" s="349"/>
      <c r="E36" s="350"/>
      <c r="F36" s="406"/>
      <c r="G36" s="381"/>
      <c r="H36" s="352">
        <f t="shared" si="2"/>
        <v>64</v>
      </c>
      <c r="I36" s="338"/>
      <c r="J36" s="406"/>
      <c r="K36" s="350"/>
      <c r="L36" s="349"/>
      <c r="M36" s="348"/>
      <c r="N36" s="376"/>
      <c r="O36">
        <f t="shared" si="3"/>
        <v>310.47000000000003</v>
      </c>
    </row>
    <row r="37" spans="1:15">
      <c r="A37">
        <f t="shared" si="0"/>
        <v>80.47</v>
      </c>
      <c r="B37" s="382">
        <v>0</v>
      </c>
      <c r="C37" s="348">
        <v>-18</v>
      </c>
      <c r="D37" s="349"/>
      <c r="E37" s="350"/>
      <c r="F37" s="406"/>
      <c r="G37" s="381"/>
      <c r="H37" s="352">
        <f t="shared" si="2"/>
        <v>66</v>
      </c>
      <c r="I37" s="338"/>
      <c r="J37" s="406"/>
      <c r="K37" s="350"/>
      <c r="L37" s="349"/>
      <c r="M37" s="348"/>
      <c r="N37" s="376"/>
      <c r="O37">
        <f t="shared" si="3"/>
        <v>308.47000000000003</v>
      </c>
    </row>
    <row r="38" spans="1:15">
      <c r="A38">
        <f t="shared" si="0"/>
        <v>82.47</v>
      </c>
      <c r="B38" s="382">
        <v>0</v>
      </c>
      <c r="C38" s="348">
        <v>-18</v>
      </c>
      <c r="D38" s="349"/>
      <c r="E38" s="350"/>
      <c r="F38" s="406"/>
      <c r="G38" s="381"/>
      <c r="H38" s="352">
        <f t="shared" si="2"/>
        <v>68</v>
      </c>
      <c r="I38" s="338"/>
      <c r="J38" s="406"/>
      <c r="K38" s="350"/>
      <c r="L38" s="349"/>
      <c r="M38" s="348"/>
      <c r="N38" s="376"/>
      <c r="O38">
        <f t="shared" si="3"/>
        <v>306.47000000000003</v>
      </c>
    </row>
    <row r="39" spans="1:15">
      <c r="A39">
        <f t="shared" si="0"/>
        <v>84.47</v>
      </c>
      <c r="B39" s="382">
        <v>0</v>
      </c>
      <c r="C39" s="348">
        <v>-18</v>
      </c>
      <c r="D39" s="349"/>
      <c r="E39" s="350"/>
      <c r="F39" s="406"/>
      <c r="G39" s="381"/>
      <c r="H39" s="352">
        <f t="shared" si="2"/>
        <v>70</v>
      </c>
      <c r="I39" s="338"/>
      <c r="J39" s="406"/>
      <c r="K39" s="350"/>
      <c r="L39" s="349"/>
      <c r="M39" s="348"/>
      <c r="N39" s="376"/>
      <c r="O39">
        <f t="shared" si="3"/>
        <v>304.47000000000003</v>
      </c>
    </row>
    <row r="40" spans="1:15">
      <c r="A40">
        <f t="shared" si="0"/>
        <v>86.47</v>
      </c>
      <c r="B40" s="382">
        <v>0</v>
      </c>
      <c r="C40" s="348">
        <v>-18</v>
      </c>
      <c r="D40" s="349"/>
      <c r="E40" s="350"/>
      <c r="F40" s="406"/>
      <c r="G40" s="381"/>
      <c r="H40" s="352">
        <f t="shared" si="2"/>
        <v>72</v>
      </c>
      <c r="I40" s="338"/>
      <c r="J40" s="406"/>
      <c r="K40" s="350"/>
      <c r="L40" s="349"/>
      <c r="M40" s="348"/>
      <c r="N40" s="376"/>
      <c r="O40">
        <f t="shared" si="3"/>
        <v>302.47000000000003</v>
      </c>
    </row>
    <row r="41" spans="1:15">
      <c r="A41">
        <f t="shared" si="0"/>
        <v>88.47</v>
      </c>
      <c r="B41" s="382">
        <v>0</v>
      </c>
      <c r="C41" s="348">
        <v>-18</v>
      </c>
      <c r="D41" s="349"/>
      <c r="E41" s="350"/>
      <c r="F41" s="406"/>
      <c r="G41" s="381"/>
      <c r="H41" s="352">
        <f t="shared" si="2"/>
        <v>74</v>
      </c>
      <c r="I41" s="381"/>
      <c r="J41" s="406"/>
      <c r="K41" s="350"/>
      <c r="L41" s="349"/>
      <c r="M41" s="348"/>
      <c r="N41" s="376"/>
      <c r="O41">
        <f t="shared" si="3"/>
        <v>300.47000000000003</v>
      </c>
    </row>
    <row r="42" spans="1:15">
      <c r="A42">
        <f t="shared" si="0"/>
        <v>90.47</v>
      </c>
      <c r="B42" s="382">
        <v>0</v>
      </c>
      <c r="C42" s="348">
        <v>-18</v>
      </c>
      <c r="D42" s="349"/>
      <c r="E42" s="350"/>
      <c r="F42" s="406"/>
      <c r="G42" s="381"/>
      <c r="H42" s="352">
        <f t="shared" si="2"/>
        <v>76</v>
      </c>
      <c r="I42" s="381"/>
      <c r="J42" s="406"/>
      <c r="K42" s="350"/>
      <c r="L42" s="349"/>
      <c r="M42" s="348"/>
      <c r="N42" s="376"/>
      <c r="O42">
        <f t="shared" si="3"/>
        <v>298.47000000000003</v>
      </c>
    </row>
    <row r="43" spans="1:15">
      <c r="A43">
        <f t="shared" si="0"/>
        <v>92.47</v>
      </c>
      <c r="B43" s="382">
        <v>0</v>
      </c>
      <c r="C43" s="348">
        <v>-18</v>
      </c>
      <c r="D43" s="349"/>
      <c r="E43" s="350"/>
      <c r="F43" s="406"/>
      <c r="G43" s="381"/>
      <c r="H43" s="352">
        <f t="shared" si="2"/>
        <v>78</v>
      </c>
      <c r="I43" s="381"/>
      <c r="J43" s="406"/>
      <c r="K43" s="350"/>
      <c r="L43" s="349"/>
      <c r="M43" s="348"/>
      <c r="N43" s="376"/>
      <c r="O43">
        <f t="shared" si="3"/>
        <v>296.47000000000003</v>
      </c>
    </row>
    <row r="44" spans="1:15">
      <c r="A44">
        <f t="shared" si="0"/>
        <v>94.47</v>
      </c>
      <c r="B44" s="382">
        <v>0</v>
      </c>
      <c r="C44" s="348">
        <v>-18</v>
      </c>
      <c r="D44" s="349"/>
      <c r="E44" s="350"/>
      <c r="F44" s="406"/>
      <c r="G44" s="381"/>
      <c r="H44" s="352">
        <f t="shared" si="2"/>
        <v>80</v>
      </c>
      <c r="I44" s="381"/>
      <c r="J44" s="406"/>
      <c r="K44" s="350"/>
      <c r="L44" s="349"/>
      <c r="M44" s="348"/>
      <c r="N44" s="376"/>
      <c r="O44">
        <f t="shared" si="3"/>
        <v>294.47000000000003</v>
      </c>
    </row>
    <row r="45" spans="1:15">
      <c r="A45">
        <f t="shared" si="0"/>
        <v>96.47</v>
      </c>
      <c r="B45" s="382">
        <v>0</v>
      </c>
      <c r="C45" s="348">
        <v>-18</v>
      </c>
      <c r="D45" s="349"/>
      <c r="E45" s="350"/>
      <c r="F45" s="406"/>
      <c r="G45" s="381"/>
      <c r="H45" s="352">
        <f t="shared" si="2"/>
        <v>82</v>
      </c>
      <c r="I45" s="381"/>
      <c r="J45" s="406"/>
      <c r="K45" s="350"/>
      <c r="L45" s="349"/>
      <c r="M45" s="348"/>
      <c r="N45" s="376"/>
      <c r="O45">
        <f t="shared" si="3"/>
        <v>292.47000000000003</v>
      </c>
    </row>
    <row r="46" spans="1:15">
      <c r="A46">
        <f t="shared" si="0"/>
        <v>98.47</v>
      </c>
      <c r="B46" s="382">
        <v>0</v>
      </c>
      <c r="C46" s="348">
        <v>-18</v>
      </c>
      <c r="D46" s="349"/>
      <c r="E46" s="350"/>
      <c r="F46" s="406"/>
      <c r="G46" s="381"/>
      <c r="H46" s="352">
        <f t="shared" si="2"/>
        <v>84</v>
      </c>
      <c r="I46" s="381"/>
      <c r="J46" s="406"/>
      <c r="K46" s="350"/>
      <c r="L46" s="349"/>
      <c r="M46" s="348"/>
      <c r="N46" s="376"/>
      <c r="O46">
        <f t="shared" si="3"/>
        <v>290.47000000000003</v>
      </c>
    </row>
    <row r="47" spans="1:15">
      <c r="A47">
        <f t="shared" si="0"/>
        <v>100.47</v>
      </c>
      <c r="B47" s="382">
        <v>0</v>
      </c>
      <c r="C47" s="348">
        <v>-18</v>
      </c>
      <c r="D47" s="349"/>
      <c r="E47" s="350">
        <v>0</v>
      </c>
      <c r="F47" s="406">
        <v>2</v>
      </c>
      <c r="G47" s="385">
        <v>276</v>
      </c>
      <c r="H47" s="352">
        <f t="shared" si="2"/>
        <v>86</v>
      </c>
      <c r="I47" s="381"/>
      <c r="J47" s="406"/>
      <c r="K47" s="350"/>
      <c r="L47" s="349"/>
      <c r="M47" s="348"/>
      <c r="N47" s="376"/>
      <c r="O47">
        <f t="shared" si="3"/>
        <v>288.47000000000003</v>
      </c>
    </row>
    <row r="48" spans="1:15">
      <c r="A48">
        <f t="shared" si="0"/>
        <v>102.47</v>
      </c>
      <c r="B48" s="382">
        <v>0</v>
      </c>
      <c r="C48" s="348">
        <v>-18</v>
      </c>
      <c r="D48" s="349"/>
      <c r="E48" s="350">
        <v>0</v>
      </c>
      <c r="F48" s="406">
        <v>2</v>
      </c>
      <c r="G48" s="385">
        <v>276</v>
      </c>
      <c r="H48" s="352">
        <f t="shared" si="2"/>
        <v>88</v>
      </c>
      <c r="I48" s="381"/>
      <c r="J48" s="406"/>
      <c r="K48" s="350"/>
      <c r="L48" s="349"/>
      <c r="M48" s="348"/>
      <c r="N48" s="376"/>
      <c r="O48">
        <f t="shared" si="3"/>
        <v>286.47000000000003</v>
      </c>
    </row>
    <row r="49" spans="1:19" ht="15.75" thickBot="1">
      <c r="A49">
        <f t="shared" si="0"/>
        <v>104.47</v>
      </c>
      <c r="B49" s="382">
        <v>0</v>
      </c>
      <c r="C49" s="348">
        <v>-18</v>
      </c>
      <c r="D49" s="383"/>
      <c r="E49" s="384">
        <v>0</v>
      </c>
      <c r="F49" s="406">
        <v>2</v>
      </c>
      <c r="G49" s="385">
        <v>276</v>
      </c>
      <c r="H49" s="352">
        <f t="shared" si="2"/>
        <v>90</v>
      </c>
      <c r="I49" s="385"/>
      <c r="J49" s="406">
        <v>2</v>
      </c>
      <c r="K49" s="350"/>
      <c r="L49" s="387"/>
      <c r="M49" s="388"/>
      <c r="N49" s="389"/>
      <c r="O49">
        <f t="shared" si="3"/>
        <v>284.47000000000003</v>
      </c>
    </row>
    <row r="50" spans="1:19" ht="15.75" thickBot="1">
      <c r="B50" s="600"/>
      <c r="C50" s="601"/>
      <c r="D50" s="601"/>
      <c r="E50" s="601"/>
      <c r="F50" s="601"/>
      <c r="G50" s="602"/>
      <c r="H50" s="390"/>
      <c r="I50" s="600"/>
      <c r="J50" s="601"/>
      <c r="K50" s="601"/>
      <c r="L50" s="601"/>
      <c r="M50" s="601"/>
      <c r="N50" s="602"/>
    </row>
    <row r="51" spans="1:19">
      <c r="A51">
        <f>A49</f>
        <v>104.47</v>
      </c>
      <c r="B51" s="382">
        <v>0</v>
      </c>
      <c r="C51" s="348">
        <v>-18</v>
      </c>
      <c r="D51" s="383"/>
      <c r="E51" s="384"/>
      <c r="F51" s="378"/>
      <c r="G51" s="391"/>
      <c r="H51" s="352">
        <v>90</v>
      </c>
      <c r="I51" s="391"/>
      <c r="J51" s="392"/>
      <c r="K51" s="384"/>
      <c r="L51" s="383"/>
      <c r="M51" s="393"/>
      <c r="N51" s="382"/>
      <c r="O51">
        <f t="shared" ref="O51:O94" si="4">O52+2</f>
        <v>284.47000000000003</v>
      </c>
    </row>
    <row r="52" spans="1:19">
      <c r="A52">
        <f>A51+2</f>
        <v>106.47</v>
      </c>
      <c r="B52" s="382">
        <v>0</v>
      </c>
      <c r="C52" s="348">
        <v>-18</v>
      </c>
      <c r="D52" s="383"/>
      <c r="E52" s="350"/>
      <c r="F52" s="378"/>
      <c r="G52" s="338"/>
      <c r="H52" s="352">
        <f>H51-2</f>
        <v>88</v>
      </c>
      <c r="I52" s="363"/>
      <c r="J52" s="392"/>
      <c r="K52" s="350"/>
      <c r="L52" s="349"/>
      <c r="M52" s="393"/>
      <c r="N52" s="382"/>
      <c r="O52">
        <f t="shared" si="4"/>
        <v>282.47000000000003</v>
      </c>
      <c r="Q52">
        <v>381.42</v>
      </c>
      <c r="S52">
        <v>275.47000000000003</v>
      </c>
    </row>
    <row r="53" spans="1:19">
      <c r="A53">
        <f t="shared" ref="A53:A96" si="5">A52+2</f>
        <v>108.47</v>
      </c>
      <c r="B53" s="382">
        <v>0</v>
      </c>
      <c r="C53" s="348">
        <v>-18</v>
      </c>
      <c r="D53" s="383"/>
      <c r="E53" s="350"/>
      <c r="F53" s="378"/>
      <c r="G53" s="338"/>
      <c r="H53" s="352">
        <f t="shared" ref="H53:H95" si="6">H52-2</f>
        <v>86</v>
      </c>
      <c r="I53" s="363"/>
      <c r="J53" s="392"/>
      <c r="K53" s="350"/>
      <c r="L53" s="349"/>
      <c r="M53" s="393"/>
      <c r="N53" s="382"/>
      <c r="O53">
        <f t="shared" si="4"/>
        <v>280.47000000000003</v>
      </c>
      <c r="Q53">
        <v>-27.4</v>
      </c>
      <c r="S53">
        <f>Q53+R55</f>
        <v>-3.6999999999999993</v>
      </c>
    </row>
    <row r="54" spans="1:19">
      <c r="A54">
        <f t="shared" si="5"/>
        <v>110.47</v>
      </c>
      <c r="B54" s="382">
        <v>0</v>
      </c>
      <c r="C54" s="348">
        <v>-18</v>
      </c>
      <c r="D54" s="383"/>
      <c r="E54" s="350"/>
      <c r="F54" s="378"/>
      <c r="G54" s="338"/>
      <c r="H54" s="352">
        <f t="shared" si="6"/>
        <v>84</v>
      </c>
      <c r="I54" s="363"/>
      <c r="J54" s="392"/>
      <c r="K54" s="350"/>
      <c r="L54" s="349"/>
      <c r="M54" s="393"/>
      <c r="N54" s="382"/>
      <c r="O54">
        <f t="shared" si="4"/>
        <v>278.47000000000003</v>
      </c>
      <c r="R54">
        <v>182</v>
      </c>
    </row>
    <row r="55" spans="1:19">
      <c r="A55">
        <f t="shared" si="5"/>
        <v>112.47</v>
      </c>
      <c r="B55" s="382">
        <v>0</v>
      </c>
      <c r="C55" s="348">
        <v>-18</v>
      </c>
      <c r="D55" s="383"/>
      <c r="E55" s="350"/>
      <c r="F55" s="378"/>
      <c r="G55" s="338"/>
      <c r="H55" s="352">
        <f t="shared" si="6"/>
        <v>82</v>
      </c>
      <c r="I55" s="363"/>
      <c r="J55" s="392"/>
      <c r="K55" s="350"/>
      <c r="L55" s="349"/>
      <c r="M55" s="393"/>
      <c r="N55" s="382"/>
      <c r="O55">
        <f t="shared" si="4"/>
        <v>276.47000000000003</v>
      </c>
      <c r="R55">
        <v>23.7</v>
      </c>
    </row>
    <row r="56" spans="1:19">
      <c r="A56">
        <f t="shared" si="5"/>
        <v>114.47</v>
      </c>
      <c r="B56" s="382">
        <v>0</v>
      </c>
      <c r="C56" s="348">
        <v>-18</v>
      </c>
      <c r="D56" s="383"/>
      <c r="E56" s="350"/>
      <c r="F56" s="378"/>
      <c r="G56" s="338"/>
      <c r="H56" s="352">
        <f t="shared" si="6"/>
        <v>80</v>
      </c>
      <c r="I56" s="363"/>
      <c r="J56" s="392"/>
      <c r="K56" s="350"/>
      <c r="L56" s="349"/>
      <c r="M56" s="393"/>
      <c r="N56" s="382"/>
      <c r="O56">
        <f t="shared" si="4"/>
        <v>274.47000000000003</v>
      </c>
    </row>
    <row r="57" spans="1:19">
      <c r="A57">
        <f t="shared" si="5"/>
        <v>116.47</v>
      </c>
      <c r="B57" s="382">
        <v>0</v>
      </c>
      <c r="C57" s="348">
        <v>-18</v>
      </c>
      <c r="D57" s="383"/>
      <c r="E57" s="350"/>
      <c r="F57" s="378"/>
      <c r="G57" s="338"/>
      <c r="H57" s="352">
        <f t="shared" si="6"/>
        <v>78</v>
      </c>
      <c r="I57" s="363"/>
      <c r="J57" s="392"/>
      <c r="K57" s="350"/>
      <c r="L57" s="349"/>
      <c r="M57" s="393"/>
      <c r="N57" s="382"/>
      <c r="O57">
        <f t="shared" si="4"/>
        <v>272.47000000000003</v>
      </c>
    </row>
    <row r="58" spans="1:19">
      <c r="A58">
        <f t="shared" si="5"/>
        <v>118.47</v>
      </c>
      <c r="B58" s="382">
        <v>0</v>
      </c>
      <c r="C58" s="348">
        <v>-18</v>
      </c>
      <c r="D58" s="383"/>
      <c r="E58" s="350"/>
      <c r="F58" s="378"/>
      <c r="G58" s="338"/>
      <c r="H58" s="352">
        <f t="shared" si="6"/>
        <v>76</v>
      </c>
      <c r="I58" s="363"/>
      <c r="J58" s="392"/>
      <c r="K58" s="350"/>
      <c r="L58" s="349"/>
      <c r="M58" s="393"/>
      <c r="N58" s="382"/>
      <c r="O58">
        <f t="shared" si="4"/>
        <v>270.47000000000003</v>
      </c>
    </row>
    <row r="59" spans="1:19">
      <c r="A59">
        <f t="shared" si="5"/>
        <v>120.47</v>
      </c>
      <c r="B59" s="382">
        <v>0</v>
      </c>
      <c r="C59" s="348">
        <v>-18</v>
      </c>
      <c r="D59" s="383"/>
      <c r="E59" s="350"/>
      <c r="F59" s="378"/>
      <c r="G59" s="338"/>
      <c r="H59" s="352">
        <f t="shared" si="6"/>
        <v>74</v>
      </c>
      <c r="I59" s="363"/>
      <c r="J59" s="392"/>
      <c r="K59" s="350"/>
      <c r="L59" s="349"/>
      <c r="M59" s="393"/>
      <c r="N59" s="382"/>
      <c r="O59">
        <f t="shared" si="4"/>
        <v>268.47000000000003</v>
      </c>
    </row>
    <row r="60" spans="1:19">
      <c r="A60">
        <f t="shared" si="5"/>
        <v>122.47</v>
      </c>
      <c r="B60" s="382">
        <v>0</v>
      </c>
      <c r="C60" s="348">
        <v>-18</v>
      </c>
      <c r="D60" s="383"/>
      <c r="E60" s="350"/>
      <c r="F60" s="378"/>
      <c r="G60" s="338"/>
      <c r="H60" s="352">
        <f t="shared" si="6"/>
        <v>72</v>
      </c>
      <c r="I60" s="363"/>
      <c r="J60" s="392"/>
      <c r="K60" s="350"/>
      <c r="L60" s="349"/>
      <c r="M60" s="393"/>
      <c r="N60" s="382"/>
      <c r="O60">
        <f t="shared" si="4"/>
        <v>266.47000000000003</v>
      </c>
    </row>
    <row r="61" spans="1:19">
      <c r="A61">
        <f t="shared" si="5"/>
        <v>124.47</v>
      </c>
      <c r="B61" s="382">
        <v>0</v>
      </c>
      <c r="C61" s="348">
        <v>-18</v>
      </c>
      <c r="D61" s="383"/>
      <c r="E61" s="350"/>
      <c r="F61" s="378"/>
      <c r="G61" s="338"/>
      <c r="H61" s="352">
        <f t="shared" si="6"/>
        <v>70</v>
      </c>
      <c r="I61" s="363"/>
      <c r="J61" s="392"/>
      <c r="K61" s="350"/>
      <c r="L61" s="349"/>
      <c r="M61" s="348"/>
      <c r="N61" s="382"/>
      <c r="O61">
        <f t="shared" si="4"/>
        <v>264.47000000000003</v>
      </c>
    </row>
    <row r="62" spans="1:19">
      <c r="A62">
        <f t="shared" si="5"/>
        <v>126.47</v>
      </c>
      <c r="B62" s="382">
        <v>0</v>
      </c>
      <c r="C62" s="348">
        <v>-18</v>
      </c>
      <c r="D62" s="383"/>
      <c r="E62" s="350"/>
      <c r="F62" s="378"/>
      <c r="G62" s="338"/>
      <c r="H62" s="352">
        <f t="shared" si="6"/>
        <v>68</v>
      </c>
      <c r="I62" s="363"/>
      <c r="J62" s="392"/>
      <c r="K62" s="350"/>
      <c r="L62" s="349"/>
      <c r="M62" s="348"/>
      <c r="N62" s="382"/>
      <c r="O62">
        <f t="shared" si="4"/>
        <v>262.47000000000003</v>
      </c>
    </row>
    <row r="63" spans="1:19">
      <c r="A63">
        <f t="shared" si="5"/>
        <v>128.47</v>
      </c>
      <c r="B63" s="382">
        <v>0</v>
      </c>
      <c r="C63" s="348">
        <v>-18</v>
      </c>
      <c r="D63" s="383"/>
      <c r="E63" s="350"/>
      <c r="F63" s="378"/>
      <c r="G63" s="338"/>
      <c r="H63" s="352">
        <f t="shared" si="6"/>
        <v>66</v>
      </c>
      <c r="I63" s="363"/>
      <c r="J63" s="392"/>
      <c r="K63" s="350"/>
      <c r="L63" s="349"/>
      <c r="M63" s="348"/>
      <c r="N63" s="382"/>
      <c r="O63">
        <f t="shared" si="4"/>
        <v>260.47000000000003</v>
      </c>
    </row>
    <row r="64" spans="1:19">
      <c r="A64">
        <f t="shared" si="5"/>
        <v>130.47</v>
      </c>
      <c r="B64" s="382">
        <v>0</v>
      </c>
      <c r="C64" s="348">
        <v>-18</v>
      </c>
      <c r="D64" s="383"/>
      <c r="E64" s="350"/>
      <c r="F64" s="378"/>
      <c r="G64" s="338"/>
      <c r="H64" s="352">
        <f t="shared" si="6"/>
        <v>64</v>
      </c>
      <c r="I64" s="363"/>
      <c r="J64" s="392"/>
      <c r="K64" s="350"/>
      <c r="L64" s="349"/>
      <c r="M64" s="348"/>
      <c r="N64" s="382"/>
      <c r="O64">
        <f t="shared" si="4"/>
        <v>258.47000000000003</v>
      </c>
    </row>
    <row r="65" spans="1:15">
      <c r="A65">
        <f t="shared" si="5"/>
        <v>132.47</v>
      </c>
      <c r="B65" s="382">
        <v>0</v>
      </c>
      <c r="C65" s="348">
        <v>-18</v>
      </c>
      <c r="D65" s="383"/>
      <c r="E65" s="350"/>
      <c r="F65" s="378"/>
      <c r="G65" s="338"/>
      <c r="H65" s="352">
        <f t="shared" si="6"/>
        <v>62</v>
      </c>
      <c r="I65" s="363"/>
      <c r="J65" s="392"/>
      <c r="K65" s="350"/>
      <c r="L65" s="349"/>
      <c r="M65" s="348"/>
      <c r="N65" s="382"/>
      <c r="O65">
        <f t="shared" si="4"/>
        <v>256.47000000000003</v>
      </c>
    </row>
    <row r="66" spans="1:15">
      <c r="A66">
        <f t="shared" si="5"/>
        <v>134.47</v>
      </c>
      <c r="B66" s="382">
        <v>0</v>
      </c>
      <c r="C66" s="348">
        <v>-18</v>
      </c>
      <c r="D66" s="383"/>
      <c r="E66" s="350"/>
      <c r="F66" s="378"/>
      <c r="G66" s="338"/>
      <c r="H66" s="352">
        <f t="shared" si="6"/>
        <v>60</v>
      </c>
      <c r="I66" s="363"/>
      <c r="J66" s="392"/>
      <c r="K66" s="350"/>
      <c r="L66" s="349"/>
      <c r="M66" s="348"/>
      <c r="N66" s="382"/>
      <c r="O66">
        <f t="shared" si="4"/>
        <v>254.47</v>
      </c>
    </row>
    <row r="67" spans="1:15">
      <c r="A67">
        <f t="shared" si="5"/>
        <v>136.47</v>
      </c>
      <c r="B67" s="382">
        <v>0</v>
      </c>
      <c r="C67" s="348">
        <v>-18</v>
      </c>
      <c r="D67" s="383"/>
      <c r="E67" s="350"/>
      <c r="F67" s="378"/>
      <c r="G67" s="338"/>
      <c r="H67" s="352">
        <f t="shared" si="6"/>
        <v>58</v>
      </c>
      <c r="I67" s="363"/>
      <c r="J67" s="392"/>
      <c r="K67" s="350"/>
      <c r="L67" s="349"/>
      <c r="M67" s="348"/>
      <c r="N67" s="382"/>
      <c r="O67">
        <f t="shared" si="4"/>
        <v>252.47</v>
      </c>
    </row>
    <row r="68" spans="1:15">
      <c r="A68">
        <f t="shared" si="5"/>
        <v>138.47</v>
      </c>
      <c r="B68" s="382">
        <v>0</v>
      </c>
      <c r="C68" s="348">
        <v>-18</v>
      </c>
      <c r="D68" s="383"/>
      <c r="E68" s="350"/>
      <c r="F68" s="378"/>
      <c r="G68" s="338"/>
      <c r="H68" s="352">
        <f t="shared" si="6"/>
        <v>56</v>
      </c>
      <c r="I68" s="363"/>
      <c r="J68" s="392"/>
      <c r="K68" s="350"/>
      <c r="L68" s="349"/>
      <c r="M68" s="348"/>
      <c r="N68" s="382"/>
      <c r="O68">
        <f t="shared" si="4"/>
        <v>250.47</v>
      </c>
    </row>
    <row r="69" spans="1:15">
      <c r="A69">
        <f t="shared" si="5"/>
        <v>140.47</v>
      </c>
      <c r="B69" s="382">
        <v>0</v>
      </c>
      <c r="C69" s="348">
        <v>-18</v>
      </c>
      <c r="D69" s="383"/>
      <c r="E69" s="350"/>
      <c r="F69" s="378"/>
      <c r="G69" s="338"/>
      <c r="H69" s="352">
        <f t="shared" si="6"/>
        <v>54</v>
      </c>
      <c r="I69" s="363"/>
      <c r="J69" s="392"/>
      <c r="K69" s="350"/>
      <c r="L69" s="349"/>
      <c r="M69" s="348"/>
      <c r="N69" s="382"/>
      <c r="O69">
        <f t="shared" si="4"/>
        <v>248.47</v>
      </c>
    </row>
    <row r="70" spans="1:15">
      <c r="A70">
        <f t="shared" si="5"/>
        <v>142.47</v>
      </c>
      <c r="B70" s="382">
        <v>0</v>
      </c>
      <c r="C70" s="348">
        <v>-18</v>
      </c>
      <c r="D70" s="383"/>
      <c r="E70" s="350"/>
      <c r="F70" s="378"/>
      <c r="G70" s="338"/>
      <c r="H70" s="352">
        <f t="shared" si="6"/>
        <v>52</v>
      </c>
      <c r="I70" s="363"/>
      <c r="J70" s="392"/>
      <c r="K70" s="350"/>
      <c r="L70" s="349"/>
      <c r="M70" s="348"/>
      <c r="N70" s="382"/>
      <c r="O70">
        <f t="shared" si="4"/>
        <v>246.47</v>
      </c>
    </row>
    <row r="71" spans="1:15">
      <c r="A71">
        <f t="shared" si="5"/>
        <v>144.47</v>
      </c>
      <c r="B71" s="382">
        <v>0</v>
      </c>
      <c r="C71" s="348">
        <v>-18</v>
      </c>
      <c r="D71" s="383"/>
      <c r="E71" s="350"/>
      <c r="F71" s="378"/>
      <c r="G71" s="338"/>
      <c r="H71" s="352">
        <f t="shared" si="6"/>
        <v>50</v>
      </c>
      <c r="I71" s="363"/>
      <c r="J71" s="392"/>
      <c r="K71" s="350"/>
      <c r="L71" s="349"/>
      <c r="M71" s="348"/>
      <c r="N71" s="382"/>
      <c r="O71">
        <f t="shared" si="4"/>
        <v>244.47</v>
      </c>
    </row>
    <row r="72" spans="1:15">
      <c r="A72">
        <f t="shared" si="5"/>
        <v>146.47</v>
      </c>
      <c r="B72" s="382">
        <v>0</v>
      </c>
      <c r="C72" s="348">
        <v>-18</v>
      </c>
      <c r="D72" s="383"/>
      <c r="E72" s="350"/>
      <c r="F72" s="378"/>
      <c r="G72" s="338"/>
      <c r="H72" s="352">
        <f t="shared" si="6"/>
        <v>48</v>
      </c>
      <c r="I72" s="363"/>
      <c r="J72" s="392"/>
      <c r="K72" s="350"/>
      <c r="L72" s="349"/>
      <c r="M72" s="348"/>
      <c r="N72" s="382"/>
      <c r="O72">
        <f t="shared" si="4"/>
        <v>242.47</v>
      </c>
    </row>
    <row r="73" spans="1:15">
      <c r="A73">
        <f t="shared" si="5"/>
        <v>148.47</v>
      </c>
      <c r="B73" s="382">
        <v>0</v>
      </c>
      <c r="C73" s="348">
        <v>-18</v>
      </c>
      <c r="D73" s="383"/>
      <c r="E73" s="350"/>
      <c r="F73" s="378"/>
      <c r="G73" s="338"/>
      <c r="H73" s="352">
        <f t="shared" si="6"/>
        <v>46</v>
      </c>
      <c r="I73" s="363"/>
      <c r="J73" s="392"/>
      <c r="K73" s="350"/>
      <c r="L73" s="349"/>
      <c r="M73" s="348"/>
      <c r="N73" s="382"/>
      <c r="O73">
        <f t="shared" si="4"/>
        <v>240.47</v>
      </c>
    </row>
    <row r="74" spans="1:15">
      <c r="A74">
        <f t="shared" si="5"/>
        <v>150.47</v>
      </c>
      <c r="B74" s="382">
        <v>0</v>
      </c>
      <c r="C74" s="348">
        <v>-18</v>
      </c>
      <c r="D74" s="383"/>
      <c r="E74" s="350"/>
      <c r="F74" s="378"/>
      <c r="G74" s="338"/>
      <c r="H74" s="352">
        <f t="shared" si="6"/>
        <v>44</v>
      </c>
      <c r="I74" s="363"/>
      <c r="J74" s="392"/>
      <c r="K74" s="350"/>
      <c r="L74" s="349"/>
      <c r="M74" s="348"/>
      <c r="N74" s="382"/>
      <c r="O74">
        <f t="shared" si="4"/>
        <v>238.47</v>
      </c>
    </row>
    <row r="75" spans="1:15">
      <c r="A75">
        <f t="shared" si="5"/>
        <v>152.47</v>
      </c>
      <c r="B75" s="382">
        <v>0</v>
      </c>
      <c r="C75" s="348">
        <v>-18</v>
      </c>
      <c r="D75" s="383"/>
      <c r="E75" s="350"/>
      <c r="F75" s="378"/>
      <c r="G75" s="338"/>
      <c r="H75" s="352">
        <f t="shared" si="6"/>
        <v>42</v>
      </c>
      <c r="I75" s="363"/>
      <c r="J75" s="392"/>
      <c r="K75" s="350"/>
      <c r="L75" s="349"/>
      <c r="M75" s="348"/>
      <c r="N75" s="382"/>
      <c r="O75">
        <f t="shared" si="4"/>
        <v>236.47</v>
      </c>
    </row>
    <row r="76" spans="1:15">
      <c r="A76">
        <f t="shared" si="5"/>
        <v>154.47</v>
      </c>
      <c r="B76" s="382">
        <v>0</v>
      </c>
      <c r="C76" s="348">
        <v>-18</v>
      </c>
      <c r="D76" s="383"/>
      <c r="E76" s="350"/>
      <c r="F76" s="378"/>
      <c r="G76" s="338"/>
      <c r="H76" s="352">
        <f t="shared" si="6"/>
        <v>40</v>
      </c>
      <c r="I76" s="363"/>
      <c r="J76" s="392"/>
      <c r="K76" s="350"/>
      <c r="L76" s="349"/>
      <c r="M76" s="348"/>
      <c r="N76" s="382"/>
      <c r="O76">
        <f t="shared" si="4"/>
        <v>234.47</v>
      </c>
    </row>
    <row r="77" spans="1:15">
      <c r="A77">
        <f t="shared" si="5"/>
        <v>156.47</v>
      </c>
      <c r="B77" s="382">
        <v>0</v>
      </c>
      <c r="C77" s="348">
        <v>-18</v>
      </c>
      <c r="D77" s="383"/>
      <c r="E77" s="350"/>
      <c r="F77" s="378"/>
      <c r="G77" s="338"/>
      <c r="H77" s="352">
        <f t="shared" si="6"/>
        <v>38</v>
      </c>
      <c r="I77" s="363"/>
      <c r="J77" s="392"/>
      <c r="K77" s="350"/>
      <c r="L77" s="349"/>
      <c r="M77" s="348"/>
      <c r="N77" s="382"/>
      <c r="O77">
        <f t="shared" si="4"/>
        <v>232.47</v>
      </c>
    </row>
    <row r="78" spans="1:15">
      <c r="A78">
        <f t="shared" si="5"/>
        <v>158.47</v>
      </c>
      <c r="B78" s="382">
        <v>0</v>
      </c>
      <c r="C78" s="348">
        <v>-18</v>
      </c>
      <c r="D78" s="383"/>
      <c r="E78" s="350"/>
      <c r="F78" s="378"/>
      <c r="G78" s="338"/>
      <c r="H78" s="352">
        <f t="shared" si="6"/>
        <v>36</v>
      </c>
      <c r="I78" s="363"/>
      <c r="J78" s="392"/>
      <c r="K78" s="350"/>
      <c r="L78" s="349"/>
      <c r="M78" s="348"/>
      <c r="N78" s="382"/>
      <c r="O78">
        <f t="shared" si="4"/>
        <v>230.47</v>
      </c>
    </row>
    <row r="79" spans="1:15">
      <c r="A79">
        <f t="shared" si="5"/>
        <v>160.47</v>
      </c>
      <c r="B79" s="382">
        <v>0</v>
      </c>
      <c r="C79" s="348">
        <v>-18</v>
      </c>
      <c r="D79" s="383"/>
      <c r="E79" s="350"/>
      <c r="F79" s="378"/>
      <c r="G79" s="338"/>
      <c r="H79" s="352">
        <f t="shared" si="6"/>
        <v>34</v>
      </c>
      <c r="I79" s="363"/>
      <c r="J79" s="392"/>
      <c r="K79" s="350"/>
      <c r="L79" s="349"/>
      <c r="M79" s="348"/>
      <c r="N79" s="382"/>
      <c r="O79">
        <f t="shared" si="4"/>
        <v>228.47</v>
      </c>
    </row>
    <row r="80" spans="1:15">
      <c r="A80">
        <f t="shared" si="5"/>
        <v>162.47</v>
      </c>
      <c r="B80" s="382">
        <v>0</v>
      </c>
      <c r="C80" s="348">
        <v>-18</v>
      </c>
      <c r="D80" s="383"/>
      <c r="E80" s="350"/>
      <c r="F80" s="378"/>
      <c r="G80" s="338"/>
      <c r="H80" s="352">
        <f t="shared" si="6"/>
        <v>32</v>
      </c>
      <c r="I80" s="363"/>
      <c r="J80" s="392"/>
      <c r="K80" s="350"/>
      <c r="L80" s="349"/>
      <c r="M80" s="348"/>
      <c r="N80" s="382"/>
      <c r="O80">
        <f t="shared" si="4"/>
        <v>226.47</v>
      </c>
    </row>
    <row r="81" spans="1:15">
      <c r="A81">
        <f t="shared" si="5"/>
        <v>164.47</v>
      </c>
      <c r="B81" s="382">
        <v>0</v>
      </c>
      <c r="C81" s="348">
        <v>-18</v>
      </c>
      <c r="D81" s="383"/>
      <c r="E81" s="350"/>
      <c r="F81" s="378"/>
      <c r="G81" s="338"/>
      <c r="H81" s="352">
        <f t="shared" si="6"/>
        <v>30</v>
      </c>
      <c r="I81" s="338"/>
      <c r="J81" s="392"/>
      <c r="K81" s="350"/>
      <c r="L81" s="349"/>
      <c r="M81" s="348"/>
      <c r="N81" s="382"/>
      <c r="O81">
        <f t="shared" si="4"/>
        <v>224.47</v>
      </c>
    </row>
    <row r="82" spans="1:15">
      <c r="A82">
        <f t="shared" si="5"/>
        <v>166.47</v>
      </c>
      <c r="B82" s="382">
        <v>0</v>
      </c>
      <c r="C82" s="348">
        <v>-18</v>
      </c>
      <c r="D82" s="383"/>
      <c r="E82" s="350"/>
      <c r="F82" s="378"/>
      <c r="G82" s="338"/>
      <c r="H82" s="352">
        <f t="shared" si="6"/>
        <v>28</v>
      </c>
      <c r="I82" s="338"/>
      <c r="J82" s="392"/>
      <c r="K82" s="350"/>
      <c r="L82" s="349"/>
      <c r="M82" s="348"/>
      <c r="N82" s="382"/>
      <c r="O82">
        <f t="shared" si="4"/>
        <v>222.47</v>
      </c>
    </row>
    <row r="83" spans="1:15">
      <c r="A83">
        <f t="shared" si="5"/>
        <v>168.47</v>
      </c>
      <c r="B83" s="382">
        <v>0</v>
      </c>
      <c r="C83" s="348">
        <v>-18</v>
      </c>
      <c r="D83" s="383"/>
      <c r="E83" s="350"/>
      <c r="F83" s="378"/>
      <c r="G83" s="338"/>
      <c r="H83" s="352">
        <f t="shared" si="6"/>
        <v>26</v>
      </c>
      <c r="I83" s="338"/>
      <c r="J83" s="392"/>
      <c r="K83" s="350"/>
      <c r="L83" s="349"/>
      <c r="M83" s="348"/>
      <c r="N83" s="382"/>
      <c r="O83">
        <f t="shared" si="4"/>
        <v>220.47</v>
      </c>
    </row>
    <row r="84" spans="1:15">
      <c r="A84">
        <f t="shared" si="5"/>
        <v>170.47</v>
      </c>
      <c r="B84" s="382">
        <v>0</v>
      </c>
      <c r="C84" s="348">
        <v>-18</v>
      </c>
      <c r="D84" s="383"/>
      <c r="E84" s="350"/>
      <c r="F84" s="378"/>
      <c r="G84" s="338"/>
      <c r="H84" s="352">
        <f t="shared" si="6"/>
        <v>24</v>
      </c>
      <c r="I84" s="338"/>
      <c r="J84" s="392"/>
      <c r="K84" s="350"/>
      <c r="L84" s="349"/>
      <c r="M84" s="348"/>
      <c r="N84" s="382"/>
      <c r="O84">
        <f t="shared" si="4"/>
        <v>218.47</v>
      </c>
    </row>
    <row r="85" spans="1:15">
      <c r="A85">
        <f t="shared" si="5"/>
        <v>172.47</v>
      </c>
      <c r="B85" s="382">
        <v>0</v>
      </c>
      <c r="C85" s="348">
        <v>-18</v>
      </c>
      <c r="D85" s="383"/>
      <c r="E85" s="350"/>
      <c r="F85" s="378"/>
      <c r="G85" s="338"/>
      <c r="H85" s="352">
        <f t="shared" si="6"/>
        <v>22</v>
      </c>
      <c r="I85" s="338"/>
      <c r="J85" s="392"/>
      <c r="K85" s="350"/>
      <c r="L85" s="349"/>
      <c r="M85" s="348"/>
      <c r="N85" s="382"/>
      <c r="O85">
        <f t="shared" si="4"/>
        <v>216.47</v>
      </c>
    </row>
    <row r="86" spans="1:15">
      <c r="A86">
        <f t="shared" si="5"/>
        <v>174.47</v>
      </c>
      <c r="B86" s="382">
        <v>0</v>
      </c>
      <c r="C86" s="348">
        <v>-18</v>
      </c>
      <c r="D86" s="383"/>
      <c r="E86" s="350"/>
      <c r="F86" s="378"/>
      <c r="G86" s="338"/>
      <c r="H86" s="352">
        <f t="shared" si="6"/>
        <v>20</v>
      </c>
      <c r="I86" s="338"/>
      <c r="J86" s="392"/>
      <c r="K86" s="350"/>
      <c r="L86" s="349"/>
      <c r="M86" s="348"/>
      <c r="N86" s="382"/>
      <c r="O86">
        <f t="shared" si="4"/>
        <v>214.47</v>
      </c>
    </row>
    <row r="87" spans="1:15">
      <c r="A87">
        <f t="shared" si="5"/>
        <v>176.47</v>
      </c>
      <c r="B87" s="382">
        <v>0</v>
      </c>
      <c r="C87" s="348">
        <v>-18</v>
      </c>
      <c r="D87" s="383"/>
      <c r="E87" s="350"/>
      <c r="F87" s="378"/>
      <c r="G87" s="338"/>
      <c r="H87" s="352">
        <f t="shared" si="6"/>
        <v>18</v>
      </c>
      <c r="I87" s="338"/>
      <c r="J87" s="392"/>
      <c r="K87" s="350"/>
      <c r="L87" s="349"/>
      <c r="M87" s="348"/>
      <c r="N87" s="382"/>
      <c r="O87">
        <f t="shared" si="4"/>
        <v>212.47</v>
      </c>
    </row>
    <row r="88" spans="1:15">
      <c r="A88">
        <f t="shared" si="5"/>
        <v>178.47</v>
      </c>
      <c r="B88" s="382">
        <v>0</v>
      </c>
      <c r="C88" s="348">
        <v>-18</v>
      </c>
      <c r="D88" s="383"/>
      <c r="E88" s="350"/>
      <c r="F88" s="378"/>
      <c r="G88" s="338"/>
      <c r="H88" s="352">
        <f t="shared" si="6"/>
        <v>16</v>
      </c>
      <c r="I88" s="338"/>
      <c r="J88" s="392"/>
      <c r="K88" s="350"/>
      <c r="L88" s="349"/>
      <c r="M88" s="348"/>
      <c r="N88" s="382"/>
      <c r="O88">
        <f t="shared" si="4"/>
        <v>210.47</v>
      </c>
    </row>
    <row r="89" spans="1:15">
      <c r="A89">
        <f t="shared" si="5"/>
        <v>180.47</v>
      </c>
      <c r="B89" s="382">
        <v>0</v>
      </c>
      <c r="C89" s="348">
        <v>-18</v>
      </c>
      <c r="D89" s="383"/>
      <c r="E89" s="350"/>
      <c r="F89" s="378"/>
      <c r="G89" s="338"/>
      <c r="H89" s="352">
        <f t="shared" si="6"/>
        <v>14</v>
      </c>
      <c r="I89" s="338"/>
      <c r="J89" s="392"/>
      <c r="K89" s="350"/>
      <c r="L89" s="349"/>
      <c r="M89" s="348"/>
      <c r="N89" s="382"/>
      <c r="O89">
        <f t="shared" si="4"/>
        <v>208.47</v>
      </c>
    </row>
    <row r="90" spans="1:15">
      <c r="A90">
        <f t="shared" si="5"/>
        <v>182.47</v>
      </c>
      <c r="B90" s="382">
        <v>0</v>
      </c>
      <c r="C90" s="348">
        <v>-18</v>
      </c>
      <c r="D90" s="383"/>
      <c r="E90" s="350"/>
      <c r="F90" s="378"/>
      <c r="G90" s="338"/>
      <c r="H90" s="352">
        <f t="shared" si="6"/>
        <v>12</v>
      </c>
      <c r="I90" s="338"/>
      <c r="J90" s="392"/>
      <c r="K90" s="350"/>
      <c r="L90" s="349"/>
      <c r="M90" s="348"/>
      <c r="N90" s="382"/>
      <c r="O90">
        <f t="shared" si="4"/>
        <v>206.47</v>
      </c>
    </row>
    <row r="91" spans="1:15">
      <c r="A91">
        <f t="shared" si="5"/>
        <v>184.47</v>
      </c>
      <c r="B91" s="382">
        <v>0</v>
      </c>
      <c r="C91" s="348">
        <v>-18</v>
      </c>
      <c r="D91" s="383"/>
      <c r="E91" s="350"/>
      <c r="F91" s="378"/>
      <c r="G91" s="338"/>
      <c r="H91" s="352">
        <f t="shared" si="6"/>
        <v>10</v>
      </c>
      <c r="I91" s="338"/>
      <c r="J91" s="392"/>
      <c r="K91" s="350"/>
      <c r="L91" s="349"/>
      <c r="M91" s="348"/>
      <c r="N91" s="382"/>
      <c r="O91">
        <f t="shared" si="4"/>
        <v>204.47</v>
      </c>
    </row>
    <row r="92" spans="1:15">
      <c r="A92">
        <f t="shared" si="5"/>
        <v>186.47</v>
      </c>
      <c r="B92" s="382">
        <v>0</v>
      </c>
      <c r="C92" s="348">
        <v>-18</v>
      </c>
      <c r="D92" s="383"/>
      <c r="E92" s="350"/>
      <c r="F92" s="378"/>
      <c r="G92" s="338"/>
      <c r="H92" s="352">
        <f t="shared" si="6"/>
        <v>8</v>
      </c>
      <c r="I92" s="338"/>
      <c r="J92" s="392"/>
      <c r="K92" s="350"/>
      <c r="L92" s="349"/>
      <c r="M92" s="348"/>
      <c r="N92" s="382"/>
      <c r="O92">
        <f t="shared" si="4"/>
        <v>202.47</v>
      </c>
    </row>
    <row r="93" spans="1:15">
      <c r="A93">
        <f t="shared" si="5"/>
        <v>188.47</v>
      </c>
      <c r="B93" s="382">
        <v>0</v>
      </c>
      <c r="C93" s="348">
        <v>-18</v>
      </c>
      <c r="D93" s="383"/>
      <c r="E93" s="350"/>
      <c r="F93" s="378"/>
      <c r="G93" s="338"/>
      <c r="H93" s="352">
        <f t="shared" si="6"/>
        <v>6</v>
      </c>
      <c r="I93" s="338"/>
      <c r="J93" s="392"/>
      <c r="K93" s="350"/>
      <c r="L93" s="349"/>
      <c r="M93" s="348"/>
      <c r="N93" s="382"/>
      <c r="O93">
        <f t="shared" si="4"/>
        <v>200.47</v>
      </c>
    </row>
    <row r="94" spans="1:15">
      <c r="A94">
        <f t="shared" si="5"/>
        <v>190.47</v>
      </c>
      <c r="B94" s="382">
        <v>0</v>
      </c>
      <c r="C94" s="348">
        <v>-18</v>
      </c>
      <c r="D94" s="383"/>
      <c r="E94" s="350"/>
      <c r="F94" s="378"/>
      <c r="G94" s="338"/>
      <c r="H94" s="352">
        <f t="shared" si="6"/>
        <v>4</v>
      </c>
      <c r="I94" s="338"/>
      <c r="J94" s="392"/>
      <c r="K94" s="350"/>
      <c r="L94" s="349"/>
      <c r="M94" s="348"/>
      <c r="N94" s="382"/>
      <c r="O94">
        <f t="shared" si="4"/>
        <v>198.47</v>
      </c>
    </row>
    <row r="95" spans="1:15">
      <c r="A95">
        <f t="shared" si="5"/>
        <v>192.47</v>
      </c>
      <c r="B95" s="382">
        <v>0</v>
      </c>
      <c r="C95" s="348">
        <v>-18</v>
      </c>
      <c r="D95" s="383"/>
      <c r="E95" s="350"/>
      <c r="F95" s="378"/>
      <c r="G95" s="338"/>
      <c r="H95" s="352">
        <f t="shared" si="6"/>
        <v>2</v>
      </c>
      <c r="I95" s="338"/>
      <c r="J95" s="392"/>
      <c r="K95" s="350"/>
      <c r="L95" s="349"/>
      <c r="M95" s="348"/>
      <c r="N95" s="382"/>
      <c r="O95">
        <f>O96+2</f>
        <v>196.47</v>
      </c>
    </row>
    <row r="96" spans="1:15">
      <c r="A96">
        <f t="shared" si="5"/>
        <v>194.47</v>
      </c>
      <c r="B96" s="382">
        <v>0</v>
      </c>
      <c r="C96" s="348">
        <v>-18</v>
      </c>
      <c r="D96" s="349"/>
      <c r="E96" s="350"/>
      <c r="F96" s="378"/>
      <c r="G96" s="338"/>
      <c r="H96" s="352">
        <v>0</v>
      </c>
      <c r="I96" s="338"/>
      <c r="J96" s="392"/>
      <c r="K96" s="350"/>
      <c r="L96" s="349"/>
      <c r="M96" s="348"/>
      <c r="N96" s="382"/>
      <c r="O96">
        <v>194.47</v>
      </c>
    </row>
  </sheetData>
  <mergeCells count="7">
    <mergeCell ref="B50:G50"/>
    <mergeCell ref="I50:N50"/>
    <mergeCell ref="B1:C1"/>
    <mergeCell ref="F1:J1"/>
    <mergeCell ref="M1:N1"/>
    <mergeCell ref="B2:G2"/>
    <mergeCell ref="I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1819-4118-4508-BB02-AF843DBD437F}">
  <dimension ref="A1:Y50"/>
  <sheetViews>
    <sheetView workbookViewId="0">
      <selection sqref="A1:Y50"/>
    </sheetView>
  </sheetViews>
  <sheetFormatPr defaultRowHeight="15"/>
  <sheetData>
    <row r="1" spans="1:25">
      <c r="A1" s="336">
        <v>0.55555555555555503</v>
      </c>
      <c r="B1" s="615" t="s">
        <v>286</v>
      </c>
      <c r="C1" s="616"/>
      <c r="D1" s="616"/>
      <c r="E1" s="616"/>
      <c r="F1" s="616"/>
      <c r="G1" s="616"/>
      <c r="H1" s="616"/>
      <c r="I1" s="616"/>
      <c r="J1" s="616"/>
      <c r="K1" s="616"/>
      <c r="L1" s="617"/>
      <c r="N1" s="615" t="s">
        <v>286</v>
      </c>
      <c r="O1" s="616"/>
      <c r="P1" s="616"/>
      <c r="Q1" s="616"/>
      <c r="R1" s="616"/>
      <c r="S1" s="616"/>
      <c r="T1" s="616"/>
      <c r="U1" s="616"/>
      <c r="V1" s="616"/>
      <c r="W1" s="616"/>
      <c r="X1" s="618"/>
    </row>
    <row r="2" spans="1:25">
      <c r="A2" s="337">
        <v>2</v>
      </c>
      <c r="B2" s="619" t="s">
        <v>287</v>
      </c>
      <c r="C2" s="620"/>
      <c r="D2" s="620"/>
      <c r="E2" s="620"/>
      <c r="F2" s="620"/>
      <c r="G2" s="338" t="s">
        <v>288</v>
      </c>
      <c r="H2" s="621"/>
      <c r="I2" s="622"/>
      <c r="J2" s="622"/>
      <c r="K2" s="622"/>
      <c r="L2" s="623"/>
      <c r="M2" s="337"/>
      <c r="N2" s="624" t="s">
        <v>287</v>
      </c>
      <c r="O2" s="622"/>
      <c r="P2" s="622"/>
      <c r="Q2" s="622"/>
      <c r="R2" s="623"/>
      <c r="S2" s="338" t="s">
        <v>288</v>
      </c>
      <c r="T2" s="621"/>
      <c r="U2" s="622"/>
      <c r="V2" s="622"/>
      <c r="W2" s="622"/>
      <c r="X2" s="625"/>
    </row>
    <row r="3" spans="1:25">
      <c r="A3" s="337" t="s">
        <v>289</v>
      </c>
      <c r="B3" s="610" t="s">
        <v>290</v>
      </c>
      <c r="C3" s="611"/>
      <c r="D3" s="611"/>
      <c r="E3" s="611"/>
      <c r="F3" s="612"/>
      <c r="G3" s="339"/>
      <c r="H3" s="613" t="s">
        <v>291</v>
      </c>
      <c r="I3" s="611"/>
      <c r="J3" s="611"/>
      <c r="K3" s="611"/>
      <c r="L3" s="612"/>
      <c r="N3" s="610" t="s">
        <v>292</v>
      </c>
      <c r="O3" s="611"/>
      <c r="P3" s="611"/>
      <c r="Q3" s="611"/>
      <c r="R3" s="612"/>
      <c r="S3" s="339"/>
      <c r="T3" s="613" t="s">
        <v>293</v>
      </c>
      <c r="U3" s="611"/>
      <c r="V3" s="611"/>
      <c r="W3" s="611"/>
      <c r="X3" s="614"/>
      <c r="Y3" s="337" t="s">
        <v>289</v>
      </c>
    </row>
    <row r="4" spans="1:25">
      <c r="B4" s="340" t="s">
        <v>294</v>
      </c>
      <c r="C4" s="341" t="s">
        <v>113</v>
      </c>
      <c r="D4" s="342" t="s">
        <v>295</v>
      </c>
      <c r="E4" s="343" t="s">
        <v>83</v>
      </c>
      <c r="F4" s="344" t="s">
        <v>296</v>
      </c>
      <c r="G4" s="345" t="s">
        <v>297</v>
      </c>
      <c r="H4" s="344" t="s">
        <v>296</v>
      </c>
      <c r="I4" s="343" t="s">
        <v>83</v>
      </c>
      <c r="J4" s="342" t="s">
        <v>295</v>
      </c>
      <c r="K4" s="341" t="s">
        <v>113</v>
      </c>
      <c r="L4" s="346" t="s">
        <v>294</v>
      </c>
      <c r="M4" t="s">
        <v>298</v>
      </c>
      <c r="N4" s="340" t="s">
        <v>294</v>
      </c>
      <c r="O4" s="341" t="s">
        <v>113</v>
      </c>
      <c r="P4" s="342" t="s">
        <v>295</v>
      </c>
      <c r="Q4" s="343" t="s">
        <v>83</v>
      </c>
      <c r="R4" s="344" t="s">
        <v>296</v>
      </c>
      <c r="S4" s="345" t="s">
        <v>297</v>
      </c>
      <c r="T4" s="344" t="s">
        <v>296</v>
      </c>
      <c r="U4" s="343" t="s">
        <v>83</v>
      </c>
      <c r="V4" s="342" t="s">
        <v>295</v>
      </c>
      <c r="W4" s="341" t="s">
        <v>113</v>
      </c>
      <c r="X4" s="346" t="s">
        <v>294</v>
      </c>
      <c r="Y4" s="337"/>
    </row>
    <row r="5" spans="1:25" ht="15.75" thickBot="1">
      <c r="A5" s="337">
        <v>340.5</v>
      </c>
      <c r="B5" s="347">
        <v>3</v>
      </c>
      <c r="C5" s="348">
        <v>-29</v>
      </c>
      <c r="D5" s="349">
        <f t="shared" ref="D5:D13" si="0">E5/5.265</f>
        <v>1.9373219373219372</v>
      </c>
      <c r="E5" s="350">
        <v>10.199999999999999</v>
      </c>
      <c r="F5" s="351">
        <v>270.7</v>
      </c>
      <c r="G5" s="352">
        <v>0</v>
      </c>
      <c r="H5" s="351">
        <v>270.7</v>
      </c>
      <c r="I5" s="350">
        <v>9.9700000000000006</v>
      </c>
      <c r="J5" s="349">
        <f t="shared" ref="J5:J50" si="1">I5/5.265</f>
        <v>1.8936372269705606</v>
      </c>
      <c r="K5" s="348">
        <v>-29</v>
      </c>
      <c r="L5" s="353">
        <v>3</v>
      </c>
      <c r="M5">
        <v>70.5</v>
      </c>
      <c r="N5" s="354">
        <v>0</v>
      </c>
      <c r="O5" s="355">
        <v>-29.5</v>
      </c>
      <c r="P5" s="349">
        <f t="shared" ref="P5:P50" si="2">Q5/5.265</f>
        <v>2.7084520417853755</v>
      </c>
      <c r="Q5" s="356">
        <v>14.26</v>
      </c>
      <c r="R5" s="357">
        <v>273.8</v>
      </c>
      <c r="S5" s="352">
        <v>90</v>
      </c>
      <c r="T5" s="358">
        <v>273</v>
      </c>
      <c r="U5" s="356">
        <v>0.56000000000000005</v>
      </c>
      <c r="V5" s="349">
        <f t="shared" ref="V5:V50" si="3">U5/5.265</f>
        <v>0.10636277302943971</v>
      </c>
      <c r="W5" s="355">
        <v>-29</v>
      </c>
      <c r="X5" s="359">
        <v>2</v>
      </c>
      <c r="Y5" s="337">
        <v>250.5</v>
      </c>
    </row>
    <row r="6" spans="1:25" ht="15.75" thickBot="1">
      <c r="A6" s="337">
        <f>A5+2</f>
        <v>342.5</v>
      </c>
      <c r="B6" s="347">
        <v>3</v>
      </c>
      <c r="C6" s="348">
        <v>-29</v>
      </c>
      <c r="D6" s="349">
        <f t="shared" si="0"/>
        <v>2</v>
      </c>
      <c r="E6" s="350">
        <v>10.53</v>
      </c>
      <c r="F6" s="351">
        <v>270.7</v>
      </c>
      <c r="G6" s="352">
        <v>2</v>
      </c>
      <c r="H6" s="351">
        <v>270.7</v>
      </c>
      <c r="I6" s="350">
        <v>9.9</v>
      </c>
      <c r="J6" s="349">
        <f t="shared" si="1"/>
        <v>1.8803418803418805</v>
      </c>
      <c r="K6" s="348">
        <v>-29</v>
      </c>
      <c r="L6" s="353">
        <v>3</v>
      </c>
      <c r="M6">
        <f>M5+2</f>
        <v>72.5</v>
      </c>
      <c r="N6" s="354">
        <v>0</v>
      </c>
      <c r="O6" s="355">
        <v>-29.5</v>
      </c>
      <c r="P6" s="349">
        <f t="shared" si="2"/>
        <v>2.7084520417853755</v>
      </c>
      <c r="Q6" s="350">
        <v>14.26</v>
      </c>
      <c r="R6" s="357">
        <v>273.8</v>
      </c>
      <c r="S6" s="352">
        <f>S5-2</f>
        <v>88</v>
      </c>
      <c r="T6" s="351">
        <v>273</v>
      </c>
      <c r="U6" s="350">
        <v>0.44</v>
      </c>
      <c r="V6" s="349">
        <f t="shared" si="3"/>
        <v>8.3570750237416905E-2</v>
      </c>
      <c r="W6" s="355">
        <v>-29</v>
      </c>
      <c r="X6" s="359">
        <v>2</v>
      </c>
      <c r="Y6" s="337">
        <f>Y5-2</f>
        <v>248.5</v>
      </c>
    </row>
    <row r="7" spans="1:25" ht="15.75" thickBot="1">
      <c r="A7" s="337">
        <f t="shared" ref="A7:A14" si="4">A6+2</f>
        <v>344.5</v>
      </c>
      <c r="B7" s="347">
        <v>3</v>
      </c>
      <c r="C7" s="348">
        <v>-29</v>
      </c>
      <c r="D7" s="349">
        <f t="shared" si="0"/>
        <v>2.0607787274453941</v>
      </c>
      <c r="E7" s="350">
        <v>10.85</v>
      </c>
      <c r="F7" s="351">
        <v>270.7</v>
      </c>
      <c r="G7" s="352">
        <v>4</v>
      </c>
      <c r="H7" s="351">
        <v>270.7</v>
      </c>
      <c r="I7" s="350">
        <v>9.43</v>
      </c>
      <c r="J7" s="349">
        <f t="shared" si="1"/>
        <v>1.7910731244064577</v>
      </c>
      <c r="K7" s="348">
        <v>-29</v>
      </c>
      <c r="L7" s="353">
        <v>3</v>
      </c>
      <c r="M7">
        <f t="shared" ref="M7:M50" si="5">M6+2</f>
        <v>74.5</v>
      </c>
      <c r="N7" s="354">
        <v>0</v>
      </c>
      <c r="O7" s="355">
        <v>-29.5</v>
      </c>
      <c r="P7" s="349">
        <f t="shared" si="2"/>
        <v>2.6210826210826212</v>
      </c>
      <c r="Q7" s="350">
        <v>13.8</v>
      </c>
      <c r="R7" s="357">
        <v>273.8</v>
      </c>
      <c r="S7" s="352">
        <f t="shared" ref="S7:S50" si="6">S6-2</f>
        <v>86</v>
      </c>
      <c r="T7" s="351">
        <v>273</v>
      </c>
      <c r="U7" s="350">
        <v>0.32</v>
      </c>
      <c r="V7" s="349">
        <f t="shared" si="3"/>
        <v>6.0778727445394115E-2</v>
      </c>
      <c r="W7" s="355">
        <v>-29</v>
      </c>
      <c r="X7" s="359">
        <v>2</v>
      </c>
      <c r="Y7" s="337">
        <f t="shared" ref="Y7:Y50" si="7">Y6-2</f>
        <v>246.5</v>
      </c>
    </row>
    <row r="8" spans="1:25" ht="15.75" thickBot="1">
      <c r="A8" s="337">
        <f t="shared" si="4"/>
        <v>346.5</v>
      </c>
      <c r="B8" s="347">
        <v>3</v>
      </c>
      <c r="C8" s="348">
        <v>-29</v>
      </c>
      <c r="D8" s="349">
        <f t="shared" si="0"/>
        <v>2.1082621082621085</v>
      </c>
      <c r="E8" s="350">
        <v>11.1</v>
      </c>
      <c r="F8" s="351">
        <v>270.7</v>
      </c>
      <c r="G8" s="352">
        <v>6</v>
      </c>
      <c r="H8" s="351">
        <v>270.7</v>
      </c>
      <c r="I8" s="350">
        <v>9.15</v>
      </c>
      <c r="J8" s="349">
        <f t="shared" si="1"/>
        <v>1.737891737891738</v>
      </c>
      <c r="K8" s="348">
        <v>-29</v>
      </c>
      <c r="L8" s="353">
        <v>3</v>
      </c>
      <c r="M8">
        <f t="shared" si="5"/>
        <v>76.5</v>
      </c>
      <c r="N8" s="354">
        <v>0</v>
      </c>
      <c r="O8" s="355">
        <v>-29.5</v>
      </c>
      <c r="P8" s="349">
        <f t="shared" si="2"/>
        <v>2.6115859449192782</v>
      </c>
      <c r="Q8" s="350">
        <v>13.75</v>
      </c>
      <c r="R8" s="357">
        <v>273.8</v>
      </c>
      <c r="S8" s="352">
        <f t="shared" si="6"/>
        <v>84</v>
      </c>
      <c r="T8" s="351">
        <v>273</v>
      </c>
      <c r="U8" s="350">
        <v>0.31</v>
      </c>
      <c r="V8" s="349">
        <f t="shared" si="3"/>
        <v>5.8879392212725548E-2</v>
      </c>
      <c r="W8" s="355">
        <v>-29</v>
      </c>
      <c r="X8" s="359">
        <v>2</v>
      </c>
      <c r="Y8" s="337">
        <f t="shared" si="7"/>
        <v>244.5</v>
      </c>
    </row>
    <row r="9" spans="1:25" ht="15.75" thickBot="1">
      <c r="A9" s="337">
        <f t="shared" si="4"/>
        <v>348.5</v>
      </c>
      <c r="B9" s="347">
        <v>3</v>
      </c>
      <c r="C9" s="348">
        <v>-29</v>
      </c>
      <c r="D9" s="349">
        <f t="shared" si="0"/>
        <v>2.176638176638177</v>
      </c>
      <c r="E9" s="350">
        <v>11.46</v>
      </c>
      <c r="F9" s="351">
        <v>270.7</v>
      </c>
      <c r="G9" s="352">
        <v>8</v>
      </c>
      <c r="H9" s="351">
        <v>270.7</v>
      </c>
      <c r="I9" s="350">
        <v>9.08</v>
      </c>
      <c r="J9" s="349">
        <f t="shared" si="1"/>
        <v>1.724596391263058</v>
      </c>
      <c r="K9" s="348">
        <v>-29</v>
      </c>
      <c r="L9" s="353">
        <v>3</v>
      </c>
      <c r="M9">
        <f t="shared" si="5"/>
        <v>78.5</v>
      </c>
      <c r="N9" s="354">
        <v>0</v>
      </c>
      <c r="O9" s="355">
        <v>-29.5</v>
      </c>
      <c r="P9" s="349">
        <f t="shared" si="2"/>
        <v>2.6115859449192782</v>
      </c>
      <c r="Q9" s="350">
        <v>13.75</v>
      </c>
      <c r="R9" s="357">
        <v>273.8</v>
      </c>
      <c r="S9" s="352">
        <f t="shared" si="6"/>
        <v>82</v>
      </c>
      <c r="T9" s="351">
        <v>273.8</v>
      </c>
      <c r="U9" s="350">
        <v>0.78</v>
      </c>
      <c r="V9" s="349">
        <f t="shared" si="3"/>
        <v>0.14814814814814817</v>
      </c>
      <c r="W9" s="355">
        <v>-29</v>
      </c>
      <c r="X9" s="359">
        <v>2</v>
      </c>
      <c r="Y9" s="337">
        <f t="shared" si="7"/>
        <v>242.5</v>
      </c>
    </row>
    <row r="10" spans="1:25" ht="15.75" thickBot="1">
      <c r="A10" s="337">
        <f t="shared" si="4"/>
        <v>350.5</v>
      </c>
      <c r="B10" s="347">
        <v>3</v>
      </c>
      <c r="C10" s="348">
        <v>-29</v>
      </c>
      <c r="D10" s="349">
        <f t="shared" si="0"/>
        <v>2.2773029439696106</v>
      </c>
      <c r="E10" s="350">
        <v>11.99</v>
      </c>
      <c r="F10" s="351">
        <v>270.7</v>
      </c>
      <c r="G10" s="352">
        <v>10</v>
      </c>
      <c r="H10" s="351">
        <v>270.7</v>
      </c>
      <c r="I10" s="350">
        <v>8.74</v>
      </c>
      <c r="J10" s="349">
        <f t="shared" si="1"/>
        <v>1.6600189933523268</v>
      </c>
      <c r="K10" s="348">
        <v>-29</v>
      </c>
      <c r="L10" s="353">
        <v>3</v>
      </c>
      <c r="M10">
        <f t="shared" si="5"/>
        <v>80.5</v>
      </c>
      <c r="N10" s="354">
        <v>0</v>
      </c>
      <c r="O10" s="355">
        <v>-29.5</v>
      </c>
      <c r="P10" s="349">
        <f t="shared" si="2"/>
        <v>2.6286799620132957</v>
      </c>
      <c r="Q10" s="350">
        <v>13.84</v>
      </c>
      <c r="R10" s="357">
        <v>273.8</v>
      </c>
      <c r="S10" s="352">
        <f t="shared" si="6"/>
        <v>80</v>
      </c>
      <c r="T10" s="351">
        <v>273.8</v>
      </c>
      <c r="U10" s="350">
        <v>0.71</v>
      </c>
      <c r="V10" s="349">
        <f t="shared" si="3"/>
        <v>0.13485280151946819</v>
      </c>
      <c r="W10" s="355">
        <v>-29</v>
      </c>
      <c r="X10" s="359">
        <v>2</v>
      </c>
      <c r="Y10" s="337">
        <f t="shared" si="7"/>
        <v>240.5</v>
      </c>
    </row>
    <row r="11" spans="1:25" ht="15.75" thickBot="1">
      <c r="A11" s="337">
        <f t="shared" si="4"/>
        <v>352.5</v>
      </c>
      <c r="B11" s="347">
        <v>3</v>
      </c>
      <c r="C11" s="348">
        <v>-29</v>
      </c>
      <c r="D11" s="349">
        <f t="shared" si="0"/>
        <v>2.3266856600189936</v>
      </c>
      <c r="E11" s="350">
        <v>12.25</v>
      </c>
      <c r="F11" s="351">
        <v>270.7</v>
      </c>
      <c r="G11" s="352">
        <v>12</v>
      </c>
      <c r="H11" s="351">
        <v>270.7</v>
      </c>
      <c r="I11" s="350">
        <v>8.43</v>
      </c>
      <c r="J11" s="349">
        <f t="shared" si="1"/>
        <v>1.6011396011396011</v>
      </c>
      <c r="K11" s="348">
        <v>-29</v>
      </c>
      <c r="L11" s="353">
        <v>3</v>
      </c>
      <c r="M11">
        <f t="shared" si="5"/>
        <v>82.5</v>
      </c>
      <c r="N11" s="354">
        <v>0</v>
      </c>
      <c r="O11" s="355">
        <v>-29.5</v>
      </c>
      <c r="P11" s="349">
        <f t="shared" si="2"/>
        <v>2.5906932573599244</v>
      </c>
      <c r="Q11" s="350">
        <v>13.64</v>
      </c>
      <c r="R11" s="357">
        <v>273.8</v>
      </c>
      <c r="S11" s="352">
        <f t="shared" si="6"/>
        <v>78</v>
      </c>
      <c r="T11" s="351">
        <v>273.8</v>
      </c>
      <c r="U11" s="350">
        <v>0.78</v>
      </c>
      <c r="V11" s="349">
        <f t="shared" si="3"/>
        <v>0.14814814814814817</v>
      </c>
      <c r="W11" s="355">
        <v>-29</v>
      </c>
      <c r="X11" s="359">
        <v>2</v>
      </c>
      <c r="Y11" s="337">
        <f t="shared" si="7"/>
        <v>238.5</v>
      </c>
    </row>
    <row r="12" spans="1:25" ht="15.75" thickBot="1">
      <c r="A12" s="337">
        <f t="shared" si="4"/>
        <v>354.5</v>
      </c>
      <c r="B12" s="347">
        <v>3</v>
      </c>
      <c r="C12" s="348">
        <v>-29</v>
      </c>
      <c r="D12" s="349">
        <f t="shared" si="0"/>
        <v>2.3760683760683761</v>
      </c>
      <c r="E12" s="350">
        <v>12.51</v>
      </c>
      <c r="F12" s="351">
        <v>270.7</v>
      </c>
      <c r="G12" s="352">
        <v>14</v>
      </c>
      <c r="H12" s="351">
        <v>270.7</v>
      </c>
      <c r="I12" s="350">
        <v>8.14</v>
      </c>
      <c r="J12" s="349">
        <f t="shared" si="1"/>
        <v>1.546058879392213</v>
      </c>
      <c r="K12" s="348">
        <v>-29</v>
      </c>
      <c r="L12" s="353">
        <v>3</v>
      </c>
      <c r="M12">
        <f t="shared" si="5"/>
        <v>84.5</v>
      </c>
      <c r="N12" s="354">
        <v>0</v>
      </c>
      <c r="O12" s="355">
        <v>-29.5</v>
      </c>
      <c r="P12" s="349">
        <f t="shared" si="2"/>
        <v>2.5906932573599244</v>
      </c>
      <c r="Q12" s="350">
        <v>13.64</v>
      </c>
      <c r="R12" s="357">
        <v>273.8</v>
      </c>
      <c r="S12" s="352">
        <f t="shared" si="6"/>
        <v>76</v>
      </c>
      <c r="T12" s="351">
        <v>273.8</v>
      </c>
      <c r="U12" s="350">
        <v>0.8</v>
      </c>
      <c r="V12" s="349">
        <f t="shared" si="3"/>
        <v>0.1519468186134853</v>
      </c>
      <c r="W12" s="355">
        <v>-29</v>
      </c>
      <c r="X12" s="359">
        <v>2</v>
      </c>
      <c r="Y12" s="337">
        <f t="shared" si="7"/>
        <v>236.5</v>
      </c>
    </row>
    <row r="13" spans="1:25" ht="15.75" thickBot="1">
      <c r="A13" s="337">
        <f t="shared" si="4"/>
        <v>356.5</v>
      </c>
      <c r="B13" s="347">
        <v>3</v>
      </c>
      <c r="C13" s="348">
        <v>-29</v>
      </c>
      <c r="D13" s="349">
        <f t="shared" si="0"/>
        <v>2.4558404558404558</v>
      </c>
      <c r="E13" s="350">
        <v>12.93</v>
      </c>
      <c r="F13" s="351">
        <v>270.7</v>
      </c>
      <c r="G13" s="352">
        <v>16</v>
      </c>
      <c r="H13" s="351">
        <v>270.7</v>
      </c>
      <c r="I13" s="350">
        <v>7.94</v>
      </c>
      <c r="J13" s="349">
        <f t="shared" si="1"/>
        <v>1.5080721747388415</v>
      </c>
      <c r="K13" s="348">
        <v>-29</v>
      </c>
      <c r="L13" s="353">
        <v>3</v>
      </c>
      <c r="M13">
        <f t="shared" si="5"/>
        <v>86.5</v>
      </c>
      <c r="N13" s="354">
        <v>0</v>
      </c>
      <c r="O13" s="355">
        <v>-29.5</v>
      </c>
      <c r="P13" s="349">
        <f t="shared" si="2"/>
        <v>2.5963912630579298</v>
      </c>
      <c r="Q13" s="350">
        <v>13.67</v>
      </c>
      <c r="R13" s="357">
        <v>273.8</v>
      </c>
      <c r="S13" s="352">
        <f t="shared" si="6"/>
        <v>74</v>
      </c>
      <c r="T13" s="351">
        <v>274.60000000000002</v>
      </c>
      <c r="U13" s="350">
        <v>0.95</v>
      </c>
      <c r="V13" s="349">
        <f t="shared" si="3"/>
        <v>0.18043684710351376</v>
      </c>
      <c r="W13" s="348">
        <v>-29</v>
      </c>
      <c r="X13" s="359">
        <v>2</v>
      </c>
      <c r="Y13" s="337">
        <f t="shared" si="7"/>
        <v>234.5</v>
      </c>
    </row>
    <row r="14" spans="1:25" ht="15.75" thickBot="1">
      <c r="A14" s="337">
        <f t="shared" si="4"/>
        <v>358.5</v>
      </c>
      <c r="B14" s="347">
        <v>3</v>
      </c>
      <c r="C14" s="348">
        <v>-29</v>
      </c>
      <c r="D14" s="360">
        <v>2.5</v>
      </c>
      <c r="E14" s="350">
        <f t="shared" ref="E14:E22" si="8">D14*5.265</f>
        <v>13.1625</v>
      </c>
      <c r="F14" s="351">
        <v>270.7</v>
      </c>
      <c r="G14" s="352">
        <v>18</v>
      </c>
      <c r="H14" s="351">
        <v>270.7</v>
      </c>
      <c r="I14" s="350">
        <v>7.65</v>
      </c>
      <c r="J14" s="349">
        <f t="shared" si="1"/>
        <v>1.4529914529914532</v>
      </c>
      <c r="K14" s="348">
        <v>-29</v>
      </c>
      <c r="L14" s="353">
        <v>3</v>
      </c>
      <c r="M14">
        <f t="shared" si="5"/>
        <v>88.5</v>
      </c>
      <c r="N14" s="347">
        <v>0</v>
      </c>
      <c r="O14" s="355">
        <v>-29.5</v>
      </c>
      <c r="P14" s="349">
        <f t="shared" si="2"/>
        <v>2.592592592592593</v>
      </c>
      <c r="Q14" s="350">
        <v>13.65</v>
      </c>
      <c r="R14" s="357">
        <v>273.8</v>
      </c>
      <c r="S14" s="352">
        <f t="shared" si="6"/>
        <v>72</v>
      </c>
      <c r="T14" s="351">
        <v>274.60000000000002</v>
      </c>
      <c r="U14" s="350">
        <v>0.83</v>
      </c>
      <c r="V14" s="349">
        <f t="shared" si="3"/>
        <v>0.15764482431149099</v>
      </c>
      <c r="W14" s="348">
        <v>-29.5</v>
      </c>
      <c r="X14" s="359">
        <v>2</v>
      </c>
      <c r="Y14" s="337">
        <f t="shared" si="7"/>
        <v>232.5</v>
      </c>
    </row>
    <row r="15" spans="1:25" ht="15.75" thickBot="1">
      <c r="A15" s="337">
        <f>A14+2-360</f>
        <v>0.5</v>
      </c>
      <c r="B15" s="347">
        <v>3</v>
      </c>
      <c r="C15" s="348">
        <v>-29</v>
      </c>
      <c r="D15" s="361">
        <v>2.52</v>
      </c>
      <c r="E15" s="350">
        <f t="shared" si="8"/>
        <v>13.267799999999999</v>
      </c>
      <c r="F15" s="351">
        <v>270.7</v>
      </c>
      <c r="G15" s="352">
        <v>20</v>
      </c>
      <c r="H15" s="351">
        <v>270.7</v>
      </c>
      <c r="I15" s="350">
        <v>7.28</v>
      </c>
      <c r="J15" s="349">
        <f t="shared" si="1"/>
        <v>1.3827160493827162</v>
      </c>
      <c r="K15" s="348">
        <v>-29</v>
      </c>
      <c r="L15" s="353">
        <v>3</v>
      </c>
      <c r="M15">
        <f t="shared" si="5"/>
        <v>90.5</v>
      </c>
      <c r="N15" s="347">
        <v>-1</v>
      </c>
      <c r="O15" s="355">
        <v>-29.5</v>
      </c>
      <c r="P15" s="349">
        <f t="shared" si="2"/>
        <v>2.0018993352326686</v>
      </c>
      <c r="Q15" s="350">
        <v>10.54</v>
      </c>
      <c r="R15" s="351">
        <v>274.60000000000002</v>
      </c>
      <c r="S15" s="352">
        <f t="shared" si="6"/>
        <v>70</v>
      </c>
      <c r="T15" s="351">
        <v>274.60000000000002</v>
      </c>
      <c r="U15" s="350">
        <v>0.76</v>
      </c>
      <c r="V15" s="349">
        <f t="shared" si="3"/>
        <v>0.14434947768281103</v>
      </c>
      <c r="W15" s="348">
        <v>-29.5</v>
      </c>
      <c r="X15" s="359">
        <v>2</v>
      </c>
      <c r="Y15" s="337">
        <f t="shared" si="7"/>
        <v>230.5</v>
      </c>
    </row>
    <row r="16" spans="1:25" ht="15.75" thickBot="1">
      <c r="A16" s="337">
        <f>A15+2</f>
        <v>2.5</v>
      </c>
      <c r="B16" s="347">
        <v>3</v>
      </c>
      <c r="C16" s="348">
        <v>-29</v>
      </c>
      <c r="D16" s="360">
        <v>2.62</v>
      </c>
      <c r="E16" s="350">
        <f t="shared" si="8"/>
        <v>13.7943</v>
      </c>
      <c r="F16" s="351">
        <v>270.7</v>
      </c>
      <c r="G16" s="352">
        <v>22</v>
      </c>
      <c r="H16" s="351">
        <v>270.7</v>
      </c>
      <c r="I16" s="350">
        <v>7</v>
      </c>
      <c r="J16" s="349">
        <f t="shared" si="1"/>
        <v>1.3295346628679963</v>
      </c>
      <c r="K16" s="348">
        <v>-29</v>
      </c>
      <c r="L16" s="353">
        <v>3</v>
      </c>
      <c r="M16">
        <f t="shared" si="5"/>
        <v>92.5</v>
      </c>
      <c r="N16" s="347">
        <v>-1</v>
      </c>
      <c r="O16" s="355">
        <v>-29.5</v>
      </c>
      <c r="P16" s="349">
        <f t="shared" si="2"/>
        <v>2.0056980056980058</v>
      </c>
      <c r="Q16" s="350">
        <v>10.56</v>
      </c>
      <c r="R16" s="351">
        <v>274.60000000000002</v>
      </c>
      <c r="S16" s="352">
        <f t="shared" si="6"/>
        <v>68</v>
      </c>
      <c r="T16" s="351">
        <v>274.60000000000002</v>
      </c>
      <c r="U16" s="350">
        <v>0.79</v>
      </c>
      <c r="V16" s="349">
        <f t="shared" si="3"/>
        <v>0.15004748338081672</v>
      </c>
      <c r="W16" s="348">
        <v>-29.5</v>
      </c>
      <c r="X16" s="359">
        <v>2</v>
      </c>
      <c r="Y16" s="337">
        <f t="shared" si="7"/>
        <v>228.5</v>
      </c>
    </row>
    <row r="17" spans="1:25" ht="15.75" thickBot="1">
      <c r="A17" s="337">
        <f t="shared" ref="A17:A50" si="9">A16+2</f>
        <v>4.5</v>
      </c>
      <c r="B17" s="347">
        <v>3</v>
      </c>
      <c r="C17" s="348">
        <v>-29</v>
      </c>
      <c r="D17" s="349">
        <f>1.25*A1+A2</f>
        <v>2.6944444444444438</v>
      </c>
      <c r="E17" s="350">
        <f t="shared" si="8"/>
        <v>14.186249999999996</v>
      </c>
      <c r="F17" s="351">
        <v>270.7</v>
      </c>
      <c r="G17" s="352">
        <v>24</v>
      </c>
      <c r="H17" s="351">
        <v>270.7</v>
      </c>
      <c r="I17" s="350">
        <v>6.7</v>
      </c>
      <c r="J17" s="349">
        <f t="shared" si="1"/>
        <v>1.2725546058879393</v>
      </c>
      <c r="K17" s="348">
        <v>-29</v>
      </c>
      <c r="L17" s="353">
        <v>3</v>
      </c>
      <c r="M17">
        <f t="shared" si="5"/>
        <v>94.5</v>
      </c>
      <c r="N17" s="347">
        <v>-1</v>
      </c>
      <c r="O17" s="355">
        <v>-29.5</v>
      </c>
      <c r="P17" s="349">
        <f t="shared" si="2"/>
        <v>2.0246913580246915</v>
      </c>
      <c r="Q17" s="350">
        <v>10.66</v>
      </c>
      <c r="R17" s="351">
        <v>274.60000000000002</v>
      </c>
      <c r="S17" s="352">
        <f t="shared" si="6"/>
        <v>66</v>
      </c>
      <c r="T17" s="351">
        <v>273</v>
      </c>
      <c r="U17" s="350">
        <v>0.55000000000000004</v>
      </c>
      <c r="V17" s="349">
        <f t="shared" si="3"/>
        <v>0.10446343779677114</v>
      </c>
      <c r="W17" s="348">
        <v>-29.5</v>
      </c>
      <c r="X17" s="359">
        <v>2</v>
      </c>
      <c r="Y17" s="337">
        <f t="shared" si="7"/>
        <v>226.5</v>
      </c>
    </row>
    <row r="18" spans="1:25" ht="15.75" thickBot="1">
      <c r="A18" s="337">
        <f t="shared" si="9"/>
        <v>6.5</v>
      </c>
      <c r="B18" s="347">
        <v>3</v>
      </c>
      <c r="C18" s="348">
        <v>-29</v>
      </c>
      <c r="D18" s="349">
        <f>1.365*A1+A2</f>
        <v>2.7583333333333329</v>
      </c>
      <c r="E18" s="350">
        <f t="shared" si="8"/>
        <v>14.522624999999996</v>
      </c>
      <c r="F18" s="351">
        <v>270.7</v>
      </c>
      <c r="G18" s="352">
        <f t="shared" ref="G18:G49" si="10">G17+2</f>
        <v>26</v>
      </c>
      <c r="H18" s="351">
        <v>270.7</v>
      </c>
      <c r="I18" s="350">
        <v>6.36</v>
      </c>
      <c r="J18" s="349">
        <f t="shared" si="1"/>
        <v>1.2079772079772082</v>
      </c>
      <c r="K18" s="348">
        <v>-29</v>
      </c>
      <c r="L18" s="353">
        <v>3</v>
      </c>
      <c r="M18">
        <f t="shared" si="5"/>
        <v>96.5</v>
      </c>
      <c r="N18" s="347">
        <v>-1</v>
      </c>
      <c r="O18" s="355">
        <v>-29.5</v>
      </c>
      <c r="P18" s="349">
        <f t="shared" si="2"/>
        <v>2.017094017094017</v>
      </c>
      <c r="Q18" s="350">
        <v>10.62</v>
      </c>
      <c r="R18" s="351">
        <v>274.60000000000002</v>
      </c>
      <c r="S18" s="352">
        <f t="shared" si="6"/>
        <v>64</v>
      </c>
      <c r="T18" s="351">
        <v>273</v>
      </c>
      <c r="U18" s="350">
        <v>0.65</v>
      </c>
      <c r="V18" s="349">
        <f t="shared" si="3"/>
        <v>0.1234567901234568</v>
      </c>
      <c r="W18" s="348">
        <v>-29.5</v>
      </c>
      <c r="X18" s="359">
        <v>2</v>
      </c>
      <c r="Y18" s="337">
        <f t="shared" si="7"/>
        <v>224.5</v>
      </c>
    </row>
    <row r="19" spans="1:25" ht="15.75" thickBot="1">
      <c r="A19" s="337">
        <f t="shared" si="9"/>
        <v>8.5</v>
      </c>
      <c r="B19" s="347">
        <v>3</v>
      </c>
      <c r="C19" s="348">
        <v>-29</v>
      </c>
      <c r="D19" s="349">
        <f>1.5*A1+A2</f>
        <v>2.8333333333333326</v>
      </c>
      <c r="E19" s="350">
        <f t="shared" si="8"/>
        <v>14.917499999999995</v>
      </c>
      <c r="F19" s="351">
        <v>270.7</v>
      </c>
      <c r="G19" s="352">
        <f t="shared" si="10"/>
        <v>28</v>
      </c>
      <c r="H19" s="351">
        <v>270.7</v>
      </c>
      <c r="I19" s="350">
        <v>6.07</v>
      </c>
      <c r="J19" s="349">
        <f t="shared" si="1"/>
        <v>1.1528964862298197</v>
      </c>
      <c r="K19" s="348">
        <v>-29</v>
      </c>
      <c r="L19" s="353">
        <v>3</v>
      </c>
      <c r="M19">
        <f t="shared" si="5"/>
        <v>98.5</v>
      </c>
      <c r="N19" s="347">
        <v>-1</v>
      </c>
      <c r="O19" s="355">
        <v>-29.5</v>
      </c>
      <c r="P19" s="349">
        <f t="shared" si="2"/>
        <v>2.0512820512820515</v>
      </c>
      <c r="Q19" s="350">
        <v>10.8</v>
      </c>
      <c r="R19" s="351">
        <v>274.60000000000002</v>
      </c>
      <c r="S19" s="352">
        <f t="shared" si="6"/>
        <v>62</v>
      </c>
      <c r="T19" s="351">
        <v>273</v>
      </c>
      <c r="U19" s="350">
        <v>1.02</v>
      </c>
      <c r="V19" s="349">
        <f t="shared" si="3"/>
        <v>0.19373219373219375</v>
      </c>
      <c r="W19" s="348">
        <v>-29.5</v>
      </c>
      <c r="X19" s="359">
        <v>2</v>
      </c>
      <c r="Y19" s="337">
        <f t="shared" si="7"/>
        <v>222.5</v>
      </c>
    </row>
    <row r="20" spans="1:25" ht="15.75" thickBot="1">
      <c r="A20" s="337">
        <f t="shared" si="9"/>
        <v>10.5</v>
      </c>
      <c r="B20" s="347">
        <v>3</v>
      </c>
      <c r="C20" s="348">
        <v>-29</v>
      </c>
      <c r="D20" s="349">
        <f>1.56*A1+A2</f>
        <v>2.8666666666666658</v>
      </c>
      <c r="E20" s="350">
        <f t="shared" si="8"/>
        <v>15.092999999999995</v>
      </c>
      <c r="F20" s="351">
        <v>270.7</v>
      </c>
      <c r="G20" s="352">
        <f t="shared" si="10"/>
        <v>30</v>
      </c>
      <c r="H20" s="351">
        <v>270.7</v>
      </c>
      <c r="I20" s="350">
        <v>5.79</v>
      </c>
      <c r="J20" s="349">
        <f t="shared" si="1"/>
        <v>1.0997150997150997</v>
      </c>
      <c r="K20" s="348">
        <v>-29</v>
      </c>
      <c r="L20" s="353">
        <v>3</v>
      </c>
      <c r="M20">
        <f t="shared" si="5"/>
        <v>100.5</v>
      </c>
      <c r="N20" s="347">
        <v>-2</v>
      </c>
      <c r="O20" s="355">
        <v>-29.5</v>
      </c>
      <c r="P20" s="349">
        <f t="shared" si="2"/>
        <v>1.6714150047483383</v>
      </c>
      <c r="Q20" s="350">
        <v>8.8000000000000007</v>
      </c>
      <c r="R20" s="351">
        <v>274.60000000000002</v>
      </c>
      <c r="S20" s="352">
        <f t="shared" si="6"/>
        <v>60</v>
      </c>
      <c r="T20" s="351">
        <v>273</v>
      </c>
      <c r="U20" s="350">
        <v>1.25</v>
      </c>
      <c r="V20" s="349">
        <f t="shared" si="3"/>
        <v>0.23741690408357077</v>
      </c>
      <c r="W20" s="348">
        <v>-29.5</v>
      </c>
      <c r="X20" s="359">
        <v>2</v>
      </c>
      <c r="Y20" s="337">
        <f t="shared" si="7"/>
        <v>220.5</v>
      </c>
    </row>
    <row r="21" spans="1:25" ht="15.75" thickBot="1">
      <c r="A21" s="337">
        <f t="shared" si="9"/>
        <v>12.5</v>
      </c>
      <c r="B21" s="347">
        <v>3</v>
      </c>
      <c r="C21" s="348">
        <v>-29</v>
      </c>
      <c r="D21" s="349">
        <f>15/5.265</f>
        <v>2.8490028490028494</v>
      </c>
      <c r="E21" s="350">
        <f t="shared" si="8"/>
        <v>15.000000000000002</v>
      </c>
      <c r="F21" s="351">
        <v>270.7</v>
      </c>
      <c r="G21" s="352">
        <f t="shared" si="10"/>
        <v>32</v>
      </c>
      <c r="H21" s="351">
        <v>270.7</v>
      </c>
      <c r="I21" s="350">
        <v>5.45</v>
      </c>
      <c r="J21" s="349">
        <f t="shared" si="1"/>
        <v>1.0351377018043686</v>
      </c>
      <c r="K21" s="348">
        <v>-29</v>
      </c>
      <c r="L21" s="353">
        <v>3</v>
      </c>
      <c r="M21">
        <f t="shared" si="5"/>
        <v>102.5</v>
      </c>
      <c r="N21" s="347">
        <v>-2</v>
      </c>
      <c r="O21" s="355">
        <v>-29.5</v>
      </c>
      <c r="P21" s="349">
        <f t="shared" si="2"/>
        <v>1.6315289648622984</v>
      </c>
      <c r="Q21" s="350">
        <v>8.59</v>
      </c>
      <c r="R21" s="351">
        <v>274.60000000000002</v>
      </c>
      <c r="S21" s="352">
        <f t="shared" si="6"/>
        <v>58</v>
      </c>
      <c r="T21" s="351">
        <v>273</v>
      </c>
      <c r="U21" s="350">
        <v>1.43</v>
      </c>
      <c r="V21" s="349">
        <f t="shared" si="3"/>
        <v>0.27160493827160492</v>
      </c>
      <c r="W21" s="348">
        <v>-29.5</v>
      </c>
      <c r="X21" s="359">
        <v>2</v>
      </c>
      <c r="Y21" s="337">
        <f t="shared" si="7"/>
        <v>218.5</v>
      </c>
    </row>
    <row r="22" spans="1:25" ht="15.75" thickBot="1">
      <c r="A22" s="337">
        <f t="shared" si="9"/>
        <v>14.5</v>
      </c>
      <c r="B22" s="347">
        <v>3</v>
      </c>
      <c r="C22" s="348">
        <v>-29</v>
      </c>
      <c r="D22" s="349">
        <f>15.35/5.265</f>
        <v>2.9154795821462489</v>
      </c>
      <c r="E22" s="362">
        <f t="shared" si="8"/>
        <v>15.35</v>
      </c>
      <c r="F22" s="351">
        <v>270.7</v>
      </c>
      <c r="G22" s="352">
        <f t="shared" si="10"/>
        <v>34</v>
      </c>
      <c r="H22" s="351">
        <v>270.7</v>
      </c>
      <c r="I22" s="350">
        <v>5.13</v>
      </c>
      <c r="J22" s="349">
        <f t="shared" si="1"/>
        <v>0.97435897435897445</v>
      </c>
      <c r="K22" s="348">
        <v>-29</v>
      </c>
      <c r="L22" s="353">
        <v>3</v>
      </c>
      <c r="M22">
        <f t="shared" si="5"/>
        <v>104.5</v>
      </c>
      <c r="N22" s="347">
        <v>-2</v>
      </c>
      <c r="O22" s="355">
        <v>-29.5</v>
      </c>
      <c r="P22" s="349">
        <f t="shared" si="2"/>
        <v>1.5992402659069327</v>
      </c>
      <c r="Q22" s="362">
        <v>8.42</v>
      </c>
      <c r="R22" s="351">
        <v>274.60000000000002</v>
      </c>
      <c r="S22" s="352">
        <f t="shared" si="6"/>
        <v>56</v>
      </c>
      <c r="T22" s="351">
        <v>273</v>
      </c>
      <c r="U22" s="350">
        <v>1.67</v>
      </c>
      <c r="V22" s="349">
        <f t="shared" si="3"/>
        <v>0.31718898385565053</v>
      </c>
      <c r="W22" s="348">
        <v>-29.5</v>
      </c>
      <c r="X22" s="359">
        <v>2</v>
      </c>
      <c r="Y22" s="337">
        <f t="shared" si="7"/>
        <v>216.5</v>
      </c>
    </row>
    <row r="23" spans="1:25" ht="15.75" thickBot="1">
      <c r="A23" s="337">
        <f t="shared" si="9"/>
        <v>16.5</v>
      </c>
      <c r="B23" s="347">
        <v>3</v>
      </c>
      <c r="C23" s="348">
        <v>-29</v>
      </c>
      <c r="D23" s="349">
        <f t="shared" ref="D23:D50" si="11">E23/5.265</f>
        <v>2.9876543209876547</v>
      </c>
      <c r="E23" s="350">
        <v>15.73</v>
      </c>
      <c r="F23" s="351">
        <v>270.7</v>
      </c>
      <c r="G23" s="352">
        <f t="shared" si="10"/>
        <v>36</v>
      </c>
      <c r="H23" s="351">
        <v>270.7</v>
      </c>
      <c r="I23" s="350">
        <v>4.8499999999999996</v>
      </c>
      <c r="J23" s="349">
        <f t="shared" si="1"/>
        <v>0.92117758784425452</v>
      </c>
      <c r="K23" s="348">
        <v>-29</v>
      </c>
      <c r="L23" s="353">
        <v>3</v>
      </c>
      <c r="M23">
        <f t="shared" si="5"/>
        <v>106.5</v>
      </c>
      <c r="N23" s="347">
        <v>-2</v>
      </c>
      <c r="O23" s="355">
        <v>-29.5</v>
      </c>
      <c r="P23" s="349">
        <f t="shared" si="2"/>
        <v>1.5574548907882242</v>
      </c>
      <c r="Q23" s="350">
        <v>8.1999999999999993</v>
      </c>
      <c r="R23" s="351">
        <v>274.60000000000002</v>
      </c>
      <c r="S23" s="352">
        <f t="shared" si="6"/>
        <v>54</v>
      </c>
      <c r="T23" s="351">
        <v>274.60000000000002</v>
      </c>
      <c r="U23" s="350">
        <v>4.4800000000000004</v>
      </c>
      <c r="V23" s="349">
        <f t="shared" si="3"/>
        <v>0.85090218423551767</v>
      </c>
      <c r="W23" s="348">
        <v>-29.5</v>
      </c>
      <c r="X23" s="353">
        <v>3</v>
      </c>
      <c r="Y23" s="337">
        <f t="shared" si="7"/>
        <v>214.5</v>
      </c>
    </row>
    <row r="24" spans="1:25" ht="15.75" thickBot="1">
      <c r="A24" s="337">
        <f t="shared" si="9"/>
        <v>18.5</v>
      </c>
      <c r="B24" s="347">
        <v>3</v>
      </c>
      <c r="C24" s="348">
        <v>-29</v>
      </c>
      <c r="D24" s="349">
        <f t="shared" si="11"/>
        <v>3.0199430199430202</v>
      </c>
      <c r="E24" s="350">
        <v>15.9</v>
      </c>
      <c r="F24" s="351">
        <v>270.7</v>
      </c>
      <c r="G24" s="352">
        <f t="shared" si="10"/>
        <v>38</v>
      </c>
      <c r="H24" s="351">
        <v>270.7</v>
      </c>
      <c r="I24" s="350">
        <v>4.49</v>
      </c>
      <c r="J24" s="349">
        <f t="shared" si="1"/>
        <v>0.85280151946818628</v>
      </c>
      <c r="K24" s="348">
        <v>-29</v>
      </c>
      <c r="L24" s="353">
        <v>3</v>
      </c>
      <c r="M24">
        <f t="shared" si="5"/>
        <v>108.5</v>
      </c>
      <c r="N24" s="347">
        <v>-2</v>
      </c>
      <c r="O24" s="355">
        <v>-29.5</v>
      </c>
      <c r="P24" s="349">
        <f t="shared" si="2"/>
        <v>1.5194681861348529</v>
      </c>
      <c r="Q24" s="350">
        <v>8</v>
      </c>
      <c r="R24" s="351">
        <v>274.60000000000002</v>
      </c>
      <c r="S24" s="352">
        <f t="shared" si="6"/>
        <v>52</v>
      </c>
      <c r="T24" s="351">
        <v>274.60000000000002</v>
      </c>
      <c r="U24" s="350">
        <v>4.83</v>
      </c>
      <c r="V24" s="349">
        <f t="shared" si="3"/>
        <v>0.91737891737891741</v>
      </c>
      <c r="W24" s="348">
        <v>-29.5</v>
      </c>
      <c r="X24" s="353">
        <v>3</v>
      </c>
      <c r="Y24" s="337">
        <f t="shared" si="7"/>
        <v>212.5</v>
      </c>
    </row>
    <row r="25" spans="1:25" ht="15.75" thickBot="1">
      <c r="A25" s="337">
        <f t="shared" si="9"/>
        <v>20.5</v>
      </c>
      <c r="B25" s="347">
        <v>3</v>
      </c>
      <c r="C25" s="348">
        <v>-29</v>
      </c>
      <c r="D25" s="349">
        <f t="shared" si="11"/>
        <v>3.0693257359924027</v>
      </c>
      <c r="E25" s="350">
        <v>16.16</v>
      </c>
      <c r="F25" s="351">
        <v>270.7</v>
      </c>
      <c r="G25" s="352">
        <f t="shared" si="10"/>
        <v>40</v>
      </c>
      <c r="H25" s="351">
        <v>270.7</v>
      </c>
      <c r="I25" s="350">
        <v>4.13</v>
      </c>
      <c r="J25" s="349">
        <f t="shared" si="1"/>
        <v>0.78442545109211781</v>
      </c>
      <c r="K25" s="348">
        <v>-29</v>
      </c>
      <c r="L25" s="353">
        <v>3</v>
      </c>
      <c r="M25">
        <f t="shared" si="5"/>
        <v>110.5</v>
      </c>
      <c r="N25" s="347">
        <v>-2</v>
      </c>
      <c r="O25" s="355">
        <v>-29.5</v>
      </c>
      <c r="P25" s="349">
        <f t="shared" si="2"/>
        <v>1.4871794871794872</v>
      </c>
      <c r="Q25" s="350">
        <v>7.83</v>
      </c>
      <c r="R25" s="351">
        <v>274.60000000000002</v>
      </c>
      <c r="S25" s="352">
        <f t="shared" si="6"/>
        <v>50</v>
      </c>
      <c r="T25" s="351">
        <v>274.60000000000002</v>
      </c>
      <c r="U25" s="350">
        <v>5.04</v>
      </c>
      <c r="V25" s="349">
        <f t="shared" si="3"/>
        <v>0.95726495726495731</v>
      </c>
      <c r="W25" s="348">
        <v>-29.5</v>
      </c>
      <c r="X25" s="353">
        <v>3</v>
      </c>
      <c r="Y25" s="337">
        <f t="shared" si="7"/>
        <v>210.5</v>
      </c>
    </row>
    <row r="26" spans="1:25" ht="15.75" thickBot="1">
      <c r="A26" s="337">
        <f t="shared" si="9"/>
        <v>22.5</v>
      </c>
      <c r="B26" s="347">
        <v>2</v>
      </c>
      <c r="C26" s="348">
        <v>-29</v>
      </c>
      <c r="D26" s="349">
        <f t="shared" si="11"/>
        <v>2.841405508072175</v>
      </c>
      <c r="E26" s="350">
        <v>14.96</v>
      </c>
      <c r="F26" s="351">
        <v>271.39999999999998</v>
      </c>
      <c r="G26" s="352">
        <f t="shared" si="10"/>
        <v>42</v>
      </c>
      <c r="H26" s="351">
        <v>270.7</v>
      </c>
      <c r="I26" s="350">
        <v>3.84</v>
      </c>
      <c r="J26" s="349">
        <f t="shared" si="1"/>
        <v>0.72934472934472938</v>
      </c>
      <c r="K26" s="348">
        <v>-29</v>
      </c>
      <c r="L26" s="353">
        <v>3</v>
      </c>
      <c r="M26">
        <f t="shared" si="5"/>
        <v>112.5</v>
      </c>
      <c r="N26" s="347">
        <v>-2</v>
      </c>
      <c r="O26" s="355">
        <v>-29.5</v>
      </c>
      <c r="P26" s="349">
        <f t="shared" si="2"/>
        <v>1.4491927825261159</v>
      </c>
      <c r="Q26" s="350">
        <v>7.63</v>
      </c>
      <c r="R26" s="351">
        <v>274.60000000000002</v>
      </c>
      <c r="S26" s="352">
        <f t="shared" si="6"/>
        <v>48</v>
      </c>
      <c r="T26" s="351">
        <v>274.60000000000002</v>
      </c>
      <c r="U26" s="350">
        <v>5.07</v>
      </c>
      <c r="V26" s="349">
        <f t="shared" si="3"/>
        <v>0.96296296296296302</v>
      </c>
      <c r="W26" s="348">
        <v>-29.5</v>
      </c>
      <c r="X26" s="353">
        <v>3</v>
      </c>
      <c r="Y26" s="337">
        <f t="shared" si="7"/>
        <v>208.5</v>
      </c>
    </row>
    <row r="27" spans="1:25" ht="15.75" thickBot="1">
      <c r="A27" s="337">
        <f t="shared" si="9"/>
        <v>24.5</v>
      </c>
      <c r="B27" s="347">
        <v>2</v>
      </c>
      <c r="C27" s="348">
        <v>-29</v>
      </c>
      <c r="D27" s="349">
        <f t="shared" si="11"/>
        <v>2.8641975308641978</v>
      </c>
      <c r="E27" s="350">
        <v>15.08</v>
      </c>
      <c r="F27" s="351">
        <v>271.39999999999998</v>
      </c>
      <c r="G27" s="352">
        <f t="shared" si="10"/>
        <v>44</v>
      </c>
      <c r="H27" s="351">
        <v>270.7</v>
      </c>
      <c r="I27" s="350">
        <v>3.59</v>
      </c>
      <c r="J27" s="349">
        <f t="shared" si="1"/>
        <v>0.68186134852801517</v>
      </c>
      <c r="K27" s="348">
        <v>-29</v>
      </c>
      <c r="L27" s="353">
        <v>3</v>
      </c>
      <c r="M27">
        <f t="shared" si="5"/>
        <v>114.5</v>
      </c>
      <c r="N27" s="347">
        <v>-2</v>
      </c>
      <c r="O27" s="355">
        <v>-29.5</v>
      </c>
      <c r="P27" s="349">
        <f t="shared" si="2"/>
        <v>1.4491927825261159</v>
      </c>
      <c r="Q27" s="350">
        <v>7.63</v>
      </c>
      <c r="R27" s="351">
        <v>274.60000000000002</v>
      </c>
      <c r="S27" s="352">
        <f t="shared" si="6"/>
        <v>46</v>
      </c>
      <c r="T27" s="351">
        <v>274.60000000000002</v>
      </c>
      <c r="U27" s="350">
        <v>5.16</v>
      </c>
      <c r="V27" s="349">
        <f t="shared" si="3"/>
        <v>0.98005698005698016</v>
      </c>
      <c r="W27" s="348">
        <v>-29.5</v>
      </c>
      <c r="X27" s="353">
        <v>3</v>
      </c>
      <c r="Y27" s="337">
        <f t="shared" si="7"/>
        <v>206.5</v>
      </c>
    </row>
    <row r="28" spans="1:25" ht="15.75" thickBot="1">
      <c r="A28" s="337">
        <f t="shared" si="9"/>
        <v>26.5</v>
      </c>
      <c r="B28" s="347">
        <v>2</v>
      </c>
      <c r="C28" s="348">
        <v>-29</v>
      </c>
      <c r="D28" s="349">
        <f t="shared" si="11"/>
        <v>2.8888888888888893</v>
      </c>
      <c r="E28" s="350">
        <v>15.21</v>
      </c>
      <c r="F28" s="351">
        <v>271.39999999999998</v>
      </c>
      <c r="G28" s="352">
        <f t="shared" si="10"/>
        <v>46</v>
      </c>
      <c r="H28" s="351">
        <v>270.7</v>
      </c>
      <c r="I28" s="350">
        <v>3.36</v>
      </c>
      <c r="J28" s="349">
        <f t="shared" si="1"/>
        <v>0.63817663817663817</v>
      </c>
      <c r="K28" s="348">
        <v>-29</v>
      </c>
      <c r="L28" s="353">
        <v>3</v>
      </c>
      <c r="M28">
        <f t="shared" si="5"/>
        <v>116.5</v>
      </c>
      <c r="N28" s="347">
        <v>-2</v>
      </c>
      <c r="O28" s="355">
        <v>-29.5</v>
      </c>
      <c r="P28" s="349">
        <f t="shared" si="2"/>
        <v>1.4320987654320989</v>
      </c>
      <c r="Q28" s="350">
        <v>7.54</v>
      </c>
      <c r="R28" s="351">
        <v>274.60000000000002</v>
      </c>
      <c r="S28" s="352">
        <f t="shared" si="6"/>
        <v>44</v>
      </c>
      <c r="T28" s="351">
        <v>274.60000000000002</v>
      </c>
      <c r="U28" s="350">
        <v>5.37</v>
      </c>
      <c r="V28" s="349">
        <f t="shared" si="3"/>
        <v>1.0199430199430199</v>
      </c>
      <c r="W28" s="348">
        <v>-29.5</v>
      </c>
      <c r="X28" s="353">
        <v>3</v>
      </c>
      <c r="Y28" s="337">
        <f t="shared" si="7"/>
        <v>204.5</v>
      </c>
    </row>
    <row r="29" spans="1:25" ht="15.75" thickBot="1">
      <c r="A29" s="337">
        <f t="shared" si="9"/>
        <v>28.5</v>
      </c>
      <c r="B29" s="347">
        <v>2</v>
      </c>
      <c r="C29" s="348">
        <v>-29</v>
      </c>
      <c r="D29" s="349">
        <f t="shared" si="11"/>
        <v>2.9534662867996206</v>
      </c>
      <c r="E29" s="350">
        <v>15.55</v>
      </c>
      <c r="F29" s="351">
        <v>271.39999999999998</v>
      </c>
      <c r="G29" s="352">
        <f t="shared" si="10"/>
        <v>48</v>
      </c>
      <c r="H29" s="351">
        <v>271.39999999999998</v>
      </c>
      <c r="I29" s="350">
        <v>1.91</v>
      </c>
      <c r="J29" s="349">
        <f t="shared" si="1"/>
        <v>0.36277302943969614</v>
      </c>
      <c r="K29" s="348">
        <v>-29</v>
      </c>
      <c r="L29" s="353">
        <v>2</v>
      </c>
      <c r="M29">
        <f t="shared" si="5"/>
        <v>118.5</v>
      </c>
      <c r="N29" s="347">
        <v>-2</v>
      </c>
      <c r="O29" s="355">
        <v>-29.5</v>
      </c>
      <c r="P29" s="349">
        <f t="shared" si="2"/>
        <v>1.4169040835707503</v>
      </c>
      <c r="Q29" s="350">
        <v>7.46</v>
      </c>
      <c r="R29" s="351">
        <v>274.60000000000002</v>
      </c>
      <c r="S29" s="352">
        <f t="shared" si="6"/>
        <v>42</v>
      </c>
      <c r="T29" s="351">
        <v>274.60000000000002</v>
      </c>
      <c r="U29" s="350">
        <v>5.66</v>
      </c>
      <c r="V29" s="349">
        <f t="shared" si="3"/>
        <v>1.0750237416904085</v>
      </c>
      <c r="W29" s="348">
        <v>-29.5</v>
      </c>
      <c r="X29" s="353">
        <v>3</v>
      </c>
      <c r="Y29" s="337">
        <f t="shared" si="7"/>
        <v>202.5</v>
      </c>
    </row>
    <row r="30" spans="1:25" ht="15.75" thickBot="1">
      <c r="A30" s="337">
        <f t="shared" si="9"/>
        <v>30.5</v>
      </c>
      <c r="B30" s="347">
        <v>2</v>
      </c>
      <c r="C30" s="348">
        <v>-29</v>
      </c>
      <c r="D30" s="349">
        <f t="shared" si="11"/>
        <v>2.9971509971509973</v>
      </c>
      <c r="E30" s="350">
        <v>15.78</v>
      </c>
      <c r="F30" s="351">
        <v>271.39999999999998</v>
      </c>
      <c r="G30" s="352">
        <f t="shared" si="10"/>
        <v>50</v>
      </c>
      <c r="H30" s="351">
        <v>271.39999999999998</v>
      </c>
      <c r="I30" s="350">
        <v>1.58</v>
      </c>
      <c r="J30" s="349">
        <f t="shared" si="1"/>
        <v>0.30009496676163344</v>
      </c>
      <c r="K30" s="348">
        <v>-29</v>
      </c>
      <c r="L30" s="353">
        <v>2</v>
      </c>
      <c r="M30">
        <f t="shared" si="5"/>
        <v>120.5</v>
      </c>
      <c r="N30" s="347">
        <v>-2</v>
      </c>
      <c r="O30" s="355">
        <v>-29.5</v>
      </c>
      <c r="P30" s="349">
        <f t="shared" si="2"/>
        <v>1.4017094017094018</v>
      </c>
      <c r="Q30" s="350">
        <v>7.38</v>
      </c>
      <c r="R30" s="351">
        <v>274.60000000000002</v>
      </c>
      <c r="S30" s="352">
        <f t="shared" si="6"/>
        <v>40</v>
      </c>
      <c r="T30" s="351">
        <v>274.60000000000002</v>
      </c>
      <c r="U30" s="350">
        <v>5.98</v>
      </c>
      <c r="V30" s="349">
        <f t="shared" si="3"/>
        <v>1.1358024691358026</v>
      </c>
      <c r="W30" s="348">
        <v>-29.5</v>
      </c>
      <c r="X30" s="353">
        <v>3</v>
      </c>
      <c r="Y30" s="337">
        <f t="shared" si="7"/>
        <v>200.5</v>
      </c>
    </row>
    <row r="31" spans="1:25" ht="15.75" thickBot="1">
      <c r="A31" s="337">
        <f t="shared" si="9"/>
        <v>32.5</v>
      </c>
      <c r="B31" s="347">
        <v>2</v>
      </c>
      <c r="C31" s="348">
        <v>-29</v>
      </c>
      <c r="D31" s="349">
        <f t="shared" si="11"/>
        <v>3.0389363722697058</v>
      </c>
      <c r="E31" s="350">
        <v>16</v>
      </c>
      <c r="F31" s="351">
        <v>271.39999999999998</v>
      </c>
      <c r="G31" s="352">
        <f t="shared" si="10"/>
        <v>52</v>
      </c>
      <c r="H31" s="351">
        <v>271.39999999999998</v>
      </c>
      <c r="I31" s="350">
        <v>1.35</v>
      </c>
      <c r="J31" s="349">
        <f t="shared" si="1"/>
        <v>0.25641025641025644</v>
      </c>
      <c r="K31" s="348">
        <v>-29</v>
      </c>
      <c r="L31" s="353">
        <v>2</v>
      </c>
      <c r="M31">
        <f t="shared" si="5"/>
        <v>122.5</v>
      </c>
      <c r="N31" s="347">
        <v>-2</v>
      </c>
      <c r="O31" s="355">
        <v>-29.5</v>
      </c>
      <c r="P31" s="349">
        <f t="shared" si="2"/>
        <v>1.3637226970560303</v>
      </c>
      <c r="Q31" s="350">
        <v>7.18</v>
      </c>
      <c r="R31" s="351">
        <v>274.60000000000002</v>
      </c>
      <c r="S31" s="352">
        <f t="shared" si="6"/>
        <v>38</v>
      </c>
      <c r="T31" s="351">
        <v>274.60000000000002</v>
      </c>
      <c r="U31" s="350">
        <v>6.2</v>
      </c>
      <c r="V31" s="349">
        <f t="shared" si="3"/>
        <v>1.1775878442545111</v>
      </c>
      <c r="W31" s="348">
        <v>-29.5</v>
      </c>
      <c r="X31" s="353">
        <v>3</v>
      </c>
      <c r="Y31" s="337">
        <f t="shared" si="7"/>
        <v>198.5</v>
      </c>
    </row>
    <row r="32" spans="1:25" ht="15.75" thickBot="1">
      <c r="A32" s="337">
        <f t="shared" si="9"/>
        <v>34.5</v>
      </c>
      <c r="B32" s="347">
        <v>2</v>
      </c>
      <c r="C32" s="348">
        <v>-29</v>
      </c>
      <c r="D32" s="349">
        <f t="shared" si="11"/>
        <v>3.0674264007597341</v>
      </c>
      <c r="E32" s="350">
        <v>16.149999999999999</v>
      </c>
      <c r="F32" s="351">
        <v>271.39999999999998</v>
      </c>
      <c r="G32" s="352">
        <f t="shared" si="10"/>
        <v>54</v>
      </c>
      <c r="H32" s="351">
        <v>271.39999999999998</v>
      </c>
      <c r="I32" s="350">
        <v>1.1599999999999999</v>
      </c>
      <c r="J32" s="349">
        <f t="shared" si="1"/>
        <v>0.22032288698955366</v>
      </c>
      <c r="K32" s="348">
        <v>-29</v>
      </c>
      <c r="L32" s="353">
        <v>2</v>
      </c>
      <c r="M32">
        <f t="shared" si="5"/>
        <v>124.5</v>
      </c>
      <c r="N32" s="347">
        <v>-2</v>
      </c>
      <c r="O32" s="355">
        <v>-29.5</v>
      </c>
      <c r="P32" s="349">
        <f t="shared" si="2"/>
        <v>1.3390313390313391</v>
      </c>
      <c r="Q32" s="350">
        <v>7.05</v>
      </c>
      <c r="R32" s="351">
        <v>274.60000000000002</v>
      </c>
      <c r="S32" s="352">
        <f t="shared" si="6"/>
        <v>36</v>
      </c>
      <c r="T32" s="351">
        <v>274.60000000000002</v>
      </c>
      <c r="U32" s="350">
        <v>6.43</v>
      </c>
      <c r="V32" s="349">
        <f t="shared" si="3"/>
        <v>1.221272554605888</v>
      </c>
      <c r="W32" s="348">
        <v>-29.5</v>
      </c>
      <c r="X32" s="353">
        <v>3</v>
      </c>
      <c r="Y32" s="337">
        <f t="shared" si="7"/>
        <v>196.5</v>
      </c>
    </row>
    <row r="33" spans="1:25" ht="15.75" thickBot="1">
      <c r="A33" s="337">
        <f t="shared" si="9"/>
        <v>36.5</v>
      </c>
      <c r="B33" s="347">
        <v>1</v>
      </c>
      <c r="C33" s="348">
        <v>-29</v>
      </c>
      <c r="D33" s="349">
        <f t="shared" si="11"/>
        <v>2.7730294396961064</v>
      </c>
      <c r="E33" s="350">
        <v>14.6</v>
      </c>
      <c r="F33" s="351">
        <v>272.2</v>
      </c>
      <c r="G33" s="352">
        <f t="shared" si="10"/>
        <v>56</v>
      </c>
      <c r="H33" s="351">
        <v>271.39999999999998</v>
      </c>
      <c r="I33" s="350">
        <v>0.89</v>
      </c>
      <c r="J33" s="349">
        <f t="shared" si="1"/>
        <v>0.16904083570750239</v>
      </c>
      <c r="K33" s="348">
        <v>-29.5</v>
      </c>
      <c r="L33" s="353">
        <v>2</v>
      </c>
      <c r="M33">
        <f t="shared" si="5"/>
        <v>126.5</v>
      </c>
      <c r="N33" s="347">
        <v>-2</v>
      </c>
      <c r="O33" s="355">
        <v>-29.5</v>
      </c>
      <c r="P33" s="349">
        <f t="shared" si="2"/>
        <v>1.3029439696106364</v>
      </c>
      <c r="Q33" s="350">
        <v>6.86</v>
      </c>
      <c r="R33" s="351">
        <v>274.60000000000002</v>
      </c>
      <c r="S33" s="352">
        <f t="shared" si="6"/>
        <v>34</v>
      </c>
      <c r="T33" s="351">
        <v>274.60000000000002</v>
      </c>
      <c r="U33" s="350">
        <v>6.76</v>
      </c>
      <c r="V33" s="349">
        <f t="shared" si="3"/>
        <v>1.2839506172839505</v>
      </c>
      <c r="W33" s="348">
        <v>-29.5</v>
      </c>
      <c r="X33" s="353">
        <v>3</v>
      </c>
      <c r="Y33" s="337">
        <f t="shared" si="7"/>
        <v>194.5</v>
      </c>
    </row>
    <row r="34" spans="1:25" ht="15.75" thickBot="1">
      <c r="A34" s="337">
        <f t="shared" si="9"/>
        <v>38.5</v>
      </c>
      <c r="B34" s="347">
        <v>2</v>
      </c>
      <c r="C34" s="348">
        <v>-29</v>
      </c>
      <c r="D34" s="349">
        <f t="shared" si="11"/>
        <v>3.1604938271604941</v>
      </c>
      <c r="E34" s="350">
        <v>16.64</v>
      </c>
      <c r="F34" s="351">
        <v>271.39999999999998</v>
      </c>
      <c r="G34" s="352">
        <f t="shared" si="10"/>
        <v>58</v>
      </c>
      <c r="H34" s="351">
        <v>271.39999999999998</v>
      </c>
      <c r="I34" s="350">
        <v>0.72</v>
      </c>
      <c r="J34" s="349">
        <f t="shared" si="1"/>
        <v>0.13675213675213677</v>
      </c>
      <c r="K34" s="348">
        <v>-29.5</v>
      </c>
      <c r="L34" s="353">
        <v>2</v>
      </c>
      <c r="M34">
        <f t="shared" si="5"/>
        <v>128.5</v>
      </c>
      <c r="N34" s="347">
        <v>-2</v>
      </c>
      <c r="O34" s="355">
        <v>-29.5</v>
      </c>
      <c r="P34" s="349">
        <f t="shared" si="2"/>
        <v>1.2497625830959165</v>
      </c>
      <c r="Q34" s="350">
        <v>6.58</v>
      </c>
      <c r="R34" s="351">
        <v>274.60000000000002</v>
      </c>
      <c r="S34" s="352">
        <f t="shared" si="6"/>
        <v>32</v>
      </c>
      <c r="T34" s="351">
        <v>274.60000000000002</v>
      </c>
      <c r="U34" s="350">
        <v>7.03</v>
      </c>
      <c r="V34" s="349">
        <f t="shared" si="3"/>
        <v>1.3352326685660021</v>
      </c>
      <c r="W34" s="348">
        <v>-29.5</v>
      </c>
      <c r="X34" s="353">
        <v>3</v>
      </c>
      <c r="Y34" s="337">
        <f t="shared" si="7"/>
        <v>192.5</v>
      </c>
    </row>
    <row r="35" spans="1:25" ht="15.75" thickBot="1">
      <c r="A35" s="337">
        <f t="shared" si="9"/>
        <v>40.5</v>
      </c>
      <c r="B35" s="347">
        <v>2</v>
      </c>
      <c r="C35" s="348">
        <v>-29</v>
      </c>
      <c r="D35" s="349">
        <f t="shared" si="11"/>
        <v>3.2174738841405515</v>
      </c>
      <c r="E35" s="350">
        <v>16.940000000000001</v>
      </c>
      <c r="F35" s="351">
        <v>271.39999999999998</v>
      </c>
      <c r="G35" s="352">
        <f t="shared" si="10"/>
        <v>60</v>
      </c>
      <c r="H35" s="351">
        <v>271.39999999999998</v>
      </c>
      <c r="I35" s="350">
        <v>1.05</v>
      </c>
      <c r="J35" s="349">
        <f t="shared" si="1"/>
        <v>0.19943019943019946</v>
      </c>
      <c r="K35" s="348">
        <v>-29</v>
      </c>
      <c r="L35" s="353">
        <v>2</v>
      </c>
      <c r="M35">
        <f t="shared" si="5"/>
        <v>130.5</v>
      </c>
      <c r="N35" s="347">
        <v>-2</v>
      </c>
      <c r="O35" s="355">
        <v>-29.5</v>
      </c>
      <c r="P35" s="349">
        <f t="shared" si="2"/>
        <v>1.204178537511871</v>
      </c>
      <c r="Q35" s="350">
        <v>6.34</v>
      </c>
      <c r="R35" s="351">
        <v>274.60000000000002</v>
      </c>
      <c r="S35" s="352">
        <f t="shared" si="6"/>
        <v>30</v>
      </c>
      <c r="T35" s="351">
        <v>274.60000000000002</v>
      </c>
      <c r="U35" s="350">
        <v>7.29</v>
      </c>
      <c r="V35" s="349">
        <f t="shared" si="3"/>
        <v>1.3846153846153848</v>
      </c>
      <c r="W35" s="348">
        <v>-29.5</v>
      </c>
      <c r="X35" s="353">
        <v>3</v>
      </c>
      <c r="Y35" s="337">
        <f t="shared" si="7"/>
        <v>190.5</v>
      </c>
    </row>
    <row r="36" spans="1:25" ht="15.75" thickBot="1">
      <c r="A36" s="337">
        <f t="shared" si="9"/>
        <v>42.5</v>
      </c>
      <c r="B36" s="347">
        <v>2</v>
      </c>
      <c r="C36" s="348">
        <v>-29</v>
      </c>
      <c r="D36" s="349">
        <f t="shared" si="11"/>
        <v>3.2611585944919281</v>
      </c>
      <c r="E36" s="350">
        <v>17.170000000000002</v>
      </c>
      <c r="F36" s="351">
        <v>271.39999999999998</v>
      </c>
      <c r="G36" s="352">
        <f t="shared" si="10"/>
        <v>62</v>
      </c>
      <c r="H36" s="351">
        <v>271.39999999999998</v>
      </c>
      <c r="I36" s="350">
        <v>0.83</v>
      </c>
      <c r="J36" s="349">
        <f t="shared" si="1"/>
        <v>0.15764482431149099</v>
      </c>
      <c r="K36" s="348">
        <v>-29</v>
      </c>
      <c r="L36" s="353">
        <v>2</v>
      </c>
      <c r="M36">
        <f t="shared" si="5"/>
        <v>132.5</v>
      </c>
      <c r="N36" s="347">
        <v>-2</v>
      </c>
      <c r="O36" s="355">
        <v>-29.5</v>
      </c>
      <c r="P36" s="349">
        <f t="shared" si="2"/>
        <v>1.1870845204178537</v>
      </c>
      <c r="Q36" s="350">
        <v>6.25</v>
      </c>
      <c r="R36" s="351">
        <v>274.60000000000002</v>
      </c>
      <c r="S36" s="352">
        <f t="shared" si="6"/>
        <v>28</v>
      </c>
      <c r="T36" s="351">
        <v>274.60000000000002</v>
      </c>
      <c r="U36" s="350">
        <v>7.5</v>
      </c>
      <c r="V36" s="349">
        <f t="shared" si="3"/>
        <v>1.4245014245014247</v>
      </c>
      <c r="W36" s="348">
        <v>-29.5</v>
      </c>
      <c r="X36" s="353">
        <v>3</v>
      </c>
      <c r="Y36" s="337">
        <f t="shared" si="7"/>
        <v>188.5</v>
      </c>
    </row>
    <row r="37" spans="1:25" ht="15.75" thickBot="1">
      <c r="A37" s="337">
        <f t="shared" si="9"/>
        <v>44.5</v>
      </c>
      <c r="B37" s="347">
        <v>2</v>
      </c>
      <c r="C37" s="348">
        <v>-29</v>
      </c>
      <c r="D37" s="349">
        <f t="shared" si="11"/>
        <v>3.2991452991452994</v>
      </c>
      <c r="E37" s="350">
        <v>17.37</v>
      </c>
      <c r="F37" s="351">
        <v>271.39999999999998</v>
      </c>
      <c r="G37" s="352">
        <f t="shared" si="10"/>
        <v>64</v>
      </c>
      <c r="H37" s="351">
        <v>271.39999999999998</v>
      </c>
      <c r="I37" s="350">
        <v>0.7</v>
      </c>
      <c r="J37" s="349">
        <f t="shared" si="1"/>
        <v>0.13295346628679963</v>
      </c>
      <c r="K37" s="348">
        <v>-29</v>
      </c>
      <c r="L37" s="353">
        <v>2</v>
      </c>
      <c r="M37">
        <f t="shared" si="5"/>
        <v>134.5</v>
      </c>
      <c r="N37" s="347">
        <v>-2</v>
      </c>
      <c r="O37" s="355">
        <v>-29.5</v>
      </c>
      <c r="P37" s="349">
        <f t="shared" si="2"/>
        <v>0.90218423551756888</v>
      </c>
      <c r="Q37" s="350">
        <v>4.75</v>
      </c>
      <c r="R37" s="363">
        <v>275.3</v>
      </c>
      <c r="S37" s="352">
        <f t="shared" si="6"/>
        <v>26</v>
      </c>
      <c r="T37" s="351">
        <v>274.60000000000002</v>
      </c>
      <c r="U37" s="350">
        <v>7.75</v>
      </c>
      <c r="V37" s="349">
        <f t="shared" si="3"/>
        <v>1.4719848053181388</v>
      </c>
      <c r="W37" s="348">
        <v>-29.5</v>
      </c>
      <c r="X37" s="353">
        <v>3</v>
      </c>
      <c r="Y37" s="337">
        <f t="shared" si="7"/>
        <v>186.5</v>
      </c>
    </row>
    <row r="38" spans="1:25" ht="15.75" thickBot="1">
      <c r="A38" s="337">
        <f t="shared" si="9"/>
        <v>46.5</v>
      </c>
      <c r="B38" s="347">
        <v>0</v>
      </c>
      <c r="C38" s="348">
        <v>-30</v>
      </c>
      <c r="D38" s="349">
        <f t="shared" si="11"/>
        <v>2.2981956315289649</v>
      </c>
      <c r="E38" s="350">
        <v>12.1</v>
      </c>
      <c r="F38" s="351">
        <v>273</v>
      </c>
      <c r="G38" s="352">
        <f t="shared" si="10"/>
        <v>66</v>
      </c>
      <c r="H38" s="351">
        <v>271.39999999999998</v>
      </c>
      <c r="I38" s="350">
        <v>0.6</v>
      </c>
      <c r="J38" s="349">
        <f t="shared" si="1"/>
        <v>0.11396011396011396</v>
      </c>
      <c r="K38" s="348">
        <v>-29</v>
      </c>
      <c r="L38" s="353">
        <v>2</v>
      </c>
      <c r="M38">
        <f t="shared" si="5"/>
        <v>136.5</v>
      </c>
      <c r="N38" s="347">
        <v>-2</v>
      </c>
      <c r="O38" s="355">
        <v>-29.5</v>
      </c>
      <c r="P38" s="349">
        <f t="shared" si="2"/>
        <v>0.8736942070275403</v>
      </c>
      <c r="Q38" s="350">
        <v>4.5999999999999996</v>
      </c>
      <c r="R38" s="363">
        <v>275.3</v>
      </c>
      <c r="S38" s="352">
        <f t="shared" si="6"/>
        <v>24</v>
      </c>
      <c r="T38" s="351">
        <v>274.60000000000002</v>
      </c>
      <c r="U38" s="350">
        <v>8.0500000000000007</v>
      </c>
      <c r="V38" s="349">
        <f t="shared" si="3"/>
        <v>1.5289648622981959</v>
      </c>
      <c r="W38" s="348">
        <v>-29.5</v>
      </c>
      <c r="X38" s="353">
        <v>3</v>
      </c>
      <c r="Y38" s="337">
        <f t="shared" si="7"/>
        <v>184.5</v>
      </c>
    </row>
    <row r="39" spans="1:25" ht="15.75" thickBot="1">
      <c r="A39" s="337">
        <f t="shared" si="9"/>
        <v>48.5</v>
      </c>
      <c r="B39" s="347">
        <v>0</v>
      </c>
      <c r="C39" s="348">
        <v>-30</v>
      </c>
      <c r="D39" s="349">
        <f t="shared" si="11"/>
        <v>2.3741690408357075</v>
      </c>
      <c r="E39" s="350">
        <v>12.5</v>
      </c>
      <c r="F39" s="351">
        <v>273</v>
      </c>
      <c r="G39" s="352">
        <f t="shared" si="10"/>
        <v>68</v>
      </c>
      <c r="H39" s="351">
        <v>271.39999999999998</v>
      </c>
      <c r="I39" s="350">
        <v>0.4</v>
      </c>
      <c r="J39" s="349">
        <f t="shared" si="1"/>
        <v>7.5973409306742651E-2</v>
      </c>
      <c r="K39" s="348">
        <v>-29</v>
      </c>
      <c r="L39" s="353">
        <v>2</v>
      </c>
      <c r="M39">
        <f t="shared" si="5"/>
        <v>138.5</v>
      </c>
      <c r="N39" s="347">
        <v>-2</v>
      </c>
      <c r="O39" s="355">
        <v>-29.5</v>
      </c>
      <c r="P39" s="349">
        <f t="shared" si="2"/>
        <v>0.86419753086419759</v>
      </c>
      <c r="Q39" s="350">
        <v>4.55</v>
      </c>
      <c r="R39" s="363">
        <v>275.3</v>
      </c>
      <c r="S39" s="352">
        <f t="shared" si="6"/>
        <v>22</v>
      </c>
      <c r="T39" s="351">
        <v>274.60000000000002</v>
      </c>
      <c r="U39" s="350">
        <v>8.4499999999999993</v>
      </c>
      <c r="V39" s="349">
        <f t="shared" si="3"/>
        <v>1.6049382716049383</v>
      </c>
      <c r="W39" s="348">
        <v>-29.5</v>
      </c>
      <c r="X39" s="353">
        <v>3</v>
      </c>
      <c r="Y39" s="337">
        <f t="shared" si="7"/>
        <v>182.5</v>
      </c>
    </row>
    <row r="40" spans="1:25" ht="15.75" thickBot="1">
      <c r="A40" s="337">
        <f t="shared" si="9"/>
        <v>50.5</v>
      </c>
      <c r="B40" s="347">
        <v>0</v>
      </c>
      <c r="C40" s="348">
        <v>-30</v>
      </c>
      <c r="D40" s="349">
        <f t="shared" si="11"/>
        <v>2.4159544159544164</v>
      </c>
      <c r="E40" s="350">
        <v>12.72</v>
      </c>
      <c r="F40" s="351">
        <v>273</v>
      </c>
      <c r="G40" s="352">
        <f t="shared" si="10"/>
        <v>70</v>
      </c>
      <c r="H40" s="351">
        <v>271.39999999999998</v>
      </c>
      <c r="I40" s="350">
        <v>0.35</v>
      </c>
      <c r="J40" s="349">
        <f t="shared" si="1"/>
        <v>6.6476733143399816E-2</v>
      </c>
      <c r="K40" s="348">
        <v>-29</v>
      </c>
      <c r="L40" s="353">
        <v>2</v>
      </c>
      <c r="M40">
        <f t="shared" si="5"/>
        <v>140.5</v>
      </c>
      <c r="N40" s="347">
        <v>-2</v>
      </c>
      <c r="O40" s="355">
        <v>-29.5</v>
      </c>
      <c r="P40" s="349">
        <f t="shared" si="2"/>
        <v>0.8262108262108262</v>
      </c>
      <c r="Q40" s="350">
        <v>4.3499999999999996</v>
      </c>
      <c r="R40" s="363">
        <v>275.3</v>
      </c>
      <c r="S40" s="352">
        <f t="shared" si="6"/>
        <v>20</v>
      </c>
      <c r="T40" s="351">
        <v>274.60000000000002</v>
      </c>
      <c r="U40" s="350">
        <v>8.83</v>
      </c>
      <c r="V40" s="349">
        <f t="shared" si="3"/>
        <v>1.6771130104463439</v>
      </c>
      <c r="W40" s="348">
        <v>-29.5</v>
      </c>
      <c r="X40" s="353">
        <v>3</v>
      </c>
      <c r="Y40" s="337">
        <f t="shared" si="7"/>
        <v>180.5</v>
      </c>
    </row>
    <row r="41" spans="1:25" ht="15.75" thickBot="1">
      <c r="A41" s="337">
        <f t="shared" si="9"/>
        <v>52.5</v>
      </c>
      <c r="B41" s="347">
        <v>0</v>
      </c>
      <c r="C41" s="348">
        <v>-30</v>
      </c>
      <c r="D41" s="349">
        <f t="shared" si="11"/>
        <v>2.4368471035137702</v>
      </c>
      <c r="E41" s="350">
        <v>12.83</v>
      </c>
      <c r="F41" s="351">
        <v>273</v>
      </c>
      <c r="G41" s="352">
        <f t="shared" si="10"/>
        <v>72</v>
      </c>
      <c r="H41" s="351">
        <v>272.2</v>
      </c>
      <c r="I41" s="350">
        <v>0.92</v>
      </c>
      <c r="J41" s="349">
        <f t="shared" si="1"/>
        <v>0.17473884140550808</v>
      </c>
      <c r="K41" s="348">
        <v>-29</v>
      </c>
      <c r="L41" s="353">
        <v>2</v>
      </c>
      <c r="M41">
        <f t="shared" si="5"/>
        <v>142.5</v>
      </c>
      <c r="N41" s="347">
        <v>-2</v>
      </c>
      <c r="O41" s="355">
        <v>-29.5</v>
      </c>
      <c r="P41" s="349">
        <f t="shared" si="2"/>
        <v>0.7806267806267807</v>
      </c>
      <c r="Q41" s="350">
        <v>4.1100000000000003</v>
      </c>
      <c r="R41" s="363">
        <v>275.3</v>
      </c>
      <c r="S41" s="352">
        <f t="shared" si="6"/>
        <v>18</v>
      </c>
      <c r="T41" s="351">
        <v>274.60000000000002</v>
      </c>
      <c r="U41" s="350">
        <v>9.15</v>
      </c>
      <c r="V41" s="349">
        <f t="shared" si="3"/>
        <v>1.737891737891738</v>
      </c>
      <c r="W41" s="348">
        <v>-29.5</v>
      </c>
      <c r="X41" s="353">
        <v>3</v>
      </c>
      <c r="Y41" s="337">
        <f t="shared" si="7"/>
        <v>178.5</v>
      </c>
    </row>
    <row r="42" spans="1:25" ht="15.75" thickBot="1">
      <c r="A42" s="337">
        <f t="shared" si="9"/>
        <v>54.5</v>
      </c>
      <c r="B42" s="347">
        <v>0</v>
      </c>
      <c r="C42" s="348">
        <v>-30</v>
      </c>
      <c r="D42" s="349">
        <f t="shared" si="11"/>
        <v>2.4596391263057931</v>
      </c>
      <c r="E42" s="350">
        <v>12.95</v>
      </c>
      <c r="F42" s="351">
        <v>273</v>
      </c>
      <c r="G42" s="352">
        <f t="shared" si="10"/>
        <v>74</v>
      </c>
      <c r="H42" s="351">
        <v>272.2</v>
      </c>
      <c r="I42" s="350">
        <v>0.67</v>
      </c>
      <c r="J42" s="349">
        <f t="shared" si="1"/>
        <v>0.12725546058879394</v>
      </c>
      <c r="K42" s="348">
        <v>-29</v>
      </c>
      <c r="L42" s="353">
        <v>2</v>
      </c>
      <c r="M42">
        <f t="shared" si="5"/>
        <v>144.5</v>
      </c>
      <c r="N42" s="347">
        <v>-2</v>
      </c>
      <c r="O42" s="355">
        <v>-29.5</v>
      </c>
      <c r="P42" s="349">
        <f t="shared" si="2"/>
        <v>0.74643874643874653</v>
      </c>
      <c r="Q42" s="350">
        <v>3.93</v>
      </c>
      <c r="R42" s="363">
        <v>275.3</v>
      </c>
      <c r="S42" s="352">
        <f t="shared" si="6"/>
        <v>16</v>
      </c>
      <c r="T42" s="351">
        <v>274.60000000000002</v>
      </c>
      <c r="U42" s="350">
        <v>9.33</v>
      </c>
      <c r="V42" s="349">
        <f t="shared" si="3"/>
        <v>1.7720797720797723</v>
      </c>
      <c r="W42" s="348">
        <v>-29.5</v>
      </c>
      <c r="X42" s="353">
        <v>3</v>
      </c>
      <c r="Y42" s="337">
        <f t="shared" si="7"/>
        <v>176.5</v>
      </c>
    </row>
    <row r="43" spans="1:25" ht="15.75" thickBot="1">
      <c r="A43" s="337">
        <f t="shared" si="9"/>
        <v>56.5</v>
      </c>
      <c r="B43" s="347">
        <v>0</v>
      </c>
      <c r="C43" s="348">
        <v>-30</v>
      </c>
      <c r="D43" s="349">
        <f t="shared" si="11"/>
        <v>2.4691358024691361</v>
      </c>
      <c r="E43" s="350">
        <v>13</v>
      </c>
      <c r="F43" s="351">
        <v>273</v>
      </c>
      <c r="G43" s="352">
        <f t="shared" si="10"/>
        <v>76</v>
      </c>
      <c r="H43" s="351">
        <v>272.2</v>
      </c>
      <c r="I43" s="350">
        <v>0.59</v>
      </c>
      <c r="J43" s="349">
        <f t="shared" si="1"/>
        <v>0.1120607787274454</v>
      </c>
      <c r="K43" s="348">
        <v>-29.2</v>
      </c>
      <c r="L43" s="353">
        <v>2</v>
      </c>
      <c r="M43">
        <f t="shared" si="5"/>
        <v>146.5</v>
      </c>
      <c r="N43" s="347">
        <v>-2</v>
      </c>
      <c r="O43" s="355">
        <v>-29.5</v>
      </c>
      <c r="P43" s="349">
        <f t="shared" si="2"/>
        <v>0.68566001899335238</v>
      </c>
      <c r="Q43" s="350">
        <v>3.61</v>
      </c>
      <c r="R43" s="363">
        <v>275.3</v>
      </c>
      <c r="S43" s="352">
        <f t="shared" si="6"/>
        <v>14</v>
      </c>
      <c r="T43" s="351">
        <v>274.60000000000002</v>
      </c>
      <c r="U43" s="350">
        <v>9.61</v>
      </c>
      <c r="V43" s="349">
        <f t="shared" si="3"/>
        <v>1.825261158594492</v>
      </c>
      <c r="W43" s="348">
        <v>-29.5</v>
      </c>
      <c r="X43" s="353">
        <v>3</v>
      </c>
      <c r="Y43" s="337">
        <f t="shared" si="7"/>
        <v>174.5</v>
      </c>
    </row>
    <row r="44" spans="1:25" ht="15.75" thickBot="1">
      <c r="A44" s="337">
        <f t="shared" si="9"/>
        <v>58.5</v>
      </c>
      <c r="B44" s="347">
        <v>0</v>
      </c>
      <c r="C44" s="348">
        <v>-30</v>
      </c>
      <c r="D44" s="349">
        <f t="shared" si="11"/>
        <v>2.4900284900284899</v>
      </c>
      <c r="E44" s="350">
        <v>13.11</v>
      </c>
      <c r="F44" s="351">
        <v>273</v>
      </c>
      <c r="G44" s="352">
        <f t="shared" si="10"/>
        <v>78</v>
      </c>
      <c r="H44" s="351">
        <v>272.2</v>
      </c>
      <c r="I44" s="350">
        <v>-0.03</v>
      </c>
      <c r="J44" s="349">
        <f t="shared" si="1"/>
        <v>-5.6980056980056983E-3</v>
      </c>
      <c r="K44" s="348">
        <v>-29.5</v>
      </c>
      <c r="L44" s="353">
        <v>2</v>
      </c>
      <c r="M44">
        <f t="shared" si="5"/>
        <v>148.5</v>
      </c>
      <c r="N44" s="347">
        <v>-2</v>
      </c>
      <c r="O44" s="355">
        <v>-29.5</v>
      </c>
      <c r="P44" s="349">
        <f t="shared" si="2"/>
        <v>0.63627730294396967</v>
      </c>
      <c r="Q44" s="350">
        <v>3.35</v>
      </c>
      <c r="R44" s="363">
        <v>275.3</v>
      </c>
      <c r="S44" s="352">
        <f t="shared" si="6"/>
        <v>12</v>
      </c>
      <c r="T44" s="351">
        <v>274.60000000000002</v>
      </c>
      <c r="U44" s="350">
        <v>9.83</v>
      </c>
      <c r="V44" s="349">
        <f t="shared" si="3"/>
        <v>1.8670465337132005</v>
      </c>
      <c r="W44" s="348">
        <v>-29.5</v>
      </c>
      <c r="X44" s="353">
        <v>3</v>
      </c>
      <c r="Y44" s="337">
        <f t="shared" si="7"/>
        <v>172.5</v>
      </c>
    </row>
    <row r="45" spans="1:25" ht="15.75" thickBot="1">
      <c r="A45" s="337">
        <f t="shared" si="9"/>
        <v>60.5</v>
      </c>
      <c r="B45" s="347">
        <v>0</v>
      </c>
      <c r="C45" s="348">
        <v>-30</v>
      </c>
      <c r="D45" s="349">
        <f t="shared" si="11"/>
        <v>2.4843304843304845</v>
      </c>
      <c r="E45" s="350">
        <v>13.08</v>
      </c>
      <c r="F45" s="351">
        <v>273</v>
      </c>
      <c r="G45" s="352">
        <f t="shared" si="10"/>
        <v>80</v>
      </c>
      <c r="H45" s="351">
        <v>272.2</v>
      </c>
      <c r="I45" s="350">
        <v>-0.3</v>
      </c>
      <c r="J45" s="349">
        <f t="shared" si="1"/>
        <v>-5.6980056980056981E-2</v>
      </c>
      <c r="K45" s="348">
        <v>-29.5</v>
      </c>
      <c r="L45" s="353">
        <v>2</v>
      </c>
      <c r="M45">
        <f t="shared" si="5"/>
        <v>150.5</v>
      </c>
      <c r="N45" s="347">
        <v>-2</v>
      </c>
      <c r="O45" s="355">
        <v>-29.5</v>
      </c>
      <c r="P45" s="349">
        <f t="shared" si="2"/>
        <v>0.57929724596391263</v>
      </c>
      <c r="Q45" s="350">
        <v>3.05</v>
      </c>
      <c r="R45" s="363">
        <v>275.3</v>
      </c>
      <c r="S45" s="352">
        <f t="shared" si="6"/>
        <v>10</v>
      </c>
      <c r="T45" s="351">
        <v>274.60000000000002</v>
      </c>
      <c r="U45" s="350">
        <v>9.9499999999999993</v>
      </c>
      <c r="V45" s="349">
        <f t="shared" si="3"/>
        <v>1.8898385565052231</v>
      </c>
      <c r="W45" s="348">
        <v>-29.5</v>
      </c>
      <c r="X45" s="353">
        <v>3</v>
      </c>
      <c r="Y45" s="337">
        <f t="shared" si="7"/>
        <v>170.5</v>
      </c>
    </row>
    <row r="46" spans="1:25" ht="15.75" thickBot="1">
      <c r="A46" s="337">
        <f t="shared" si="9"/>
        <v>62.5</v>
      </c>
      <c r="B46" s="347">
        <v>0</v>
      </c>
      <c r="C46" s="348">
        <v>-29.5</v>
      </c>
      <c r="D46" s="349">
        <f t="shared" si="11"/>
        <v>2.5811965811965814</v>
      </c>
      <c r="E46" s="350">
        <v>13.59</v>
      </c>
      <c r="F46" s="351">
        <v>273</v>
      </c>
      <c r="G46" s="352">
        <f t="shared" si="10"/>
        <v>82</v>
      </c>
      <c r="H46" s="351">
        <v>273</v>
      </c>
      <c r="I46" s="350">
        <v>0</v>
      </c>
      <c r="J46" s="349">
        <f t="shared" si="1"/>
        <v>0</v>
      </c>
      <c r="K46" s="348">
        <v>-29</v>
      </c>
      <c r="L46" s="353">
        <v>2</v>
      </c>
      <c r="M46">
        <f t="shared" si="5"/>
        <v>152.5</v>
      </c>
      <c r="N46" s="347">
        <v>-2</v>
      </c>
      <c r="O46" s="355">
        <v>-29.5</v>
      </c>
      <c r="P46" s="349">
        <f t="shared" si="2"/>
        <v>0.50712250712250717</v>
      </c>
      <c r="Q46" s="350">
        <v>2.67</v>
      </c>
      <c r="R46" s="363">
        <v>275.3</v>
      </c>
      <c r="S46" s="352">
        <f t="shared" si="6"/>
        <v>8</v>
      </c>
      <c r="T46" s="351">
        <v>274.60000000000002</v>
      </c>
      <c r="U46" s="350">
        <v>10.43</v>
      </c>
      <c r="V46" s="349">
        <f t="shared" si="3"/>
        <v>1.9810066476733144</v>
      </c>
      <c r="W46" s="348">
        <v>-29.5</v>
      </c>
      <c r="X46" s="353">
        <v>3</v>
      </c>
      <c r="Y46" s="337">
        <f t="shared" si="7"/>
        <v>168.5</v>
      </c>
    </row>
    <row r="47" spans="1:25" ht="15.75" thickBot="1">
      <c r="A47" s="337">
        <f t="shared" si="9"/>
        <v>64.5</v>
      </c>
      <c r="B47" s="347">
        <v>0</v>
      </c>
      <c r="C47" s="348">
        <v>-29.5</v>
      </c>
      <c r="D47" s="349">
        <f t="shared" si="11"/>
        <v>2.6210826210826212</v>
      </c>
      <c r="E47" s="350">
        <v>13.8</v>
      </c>
      <c r="F47" s="351">
        <v>273</v>
      </c>
      <c r="G47" s="352">
        <f t="shared" si="10"/>
        <v>84</v>
      </c>
      <c r="H47" s="351">
        <v>273</v>
      </c>
      <c r="I47" s="350">
        <v>0.08</v>
      </c>
      <c r="J47" s="349">
        <f t="shared" si="1"/>
        <v>1.5194681861348529E-2</v>
      </c>
      <c r="K47" s="348">
        <v>-29</v>
      </c>
      <c r="L47" s="353">
        <v>2</v>
      </c>
      <c r="M47">
        <f t="shared" si="5"/>
        <v>154.5</v>
      </c>
      <c r="N47" s="347">
        <v>-2</v>
      </c>
      <c r="O47" s="355">
        <v>-29.5</v>
      </c>
      <c r="P47" s="349">
        <f t="shared" si="2"/>
        <v>0.46533713200379873</v>
      </c>
      <c r="Q47" s="350">
        <v>2.4500000000000002</v>
      </c>
      <c r="R47" s="363">
        <v>275.3</v>
      </c>
      <c r="S47" s="352">
        <f t="shared" si="6"/>
        <v>6</v>
      </c>
      <c r="T47" s="351">
        <v>274.60000000000002</v>
      </c>
      <c r="U47" s="350">
        <v>10.75</v>
      </c>
      <c r="V47" s="349">
        <f t="shared" si="3"/>
        <v>2.0417853751187085</v>
      </c>
      <c r="W47" s="348">
        <v>-29.5</v>
      </c>
      <c r="X47" s="353">
        <v>3</v>
      </c>
      <c r="Y47" s="337">
        <f t="shared" si="7"/>
        <v>166.5</v>
      </c>
    </row>
    <row r="48" spans="1:25" ht="15.75" thickBot="1">
      <c r="A48" s="337">
        <f t="shared" si="9"/>
        <v>66.5</v>
      </c>
      <c r="B48" s="347">
        <v>0</v>
      </c>
      <c r="C48" s="348">
        <v>-29.5</v>
      </c>
      <c r="D48" s="349">
        <f t="shared" si="11"/>
        <v>2.5679012345679011</v>
      </c>
      <c r="E48" s="350">
        <v>13.52</v>
      </c>
      <c r="F48" s="351">
        <v>273.8</v>
      </c>
      <c r="G48" s="352">
        <f t="shared" si="10"/>
        <v>86</v>
      </c>
      <c r="H48" s="351">
        <v>273</v>
      </c>
      <c r="I48" s="350">
        <v>0.38</v>
      </c>
      <c r="J48" s="349">
        <f t="shared" si="1"/>
        <v>7.2174738841405517E-2</v>
      </c>
      <c r="K48" s="348">
        <v>-29</v>
      </c>
      <c r="L48" s="353">
        <v>2</v>
      </c>
      <c r="M48">
        <f t="shared" si="5"/>
        <v>156.5</v>
      </c>
      <c r="N48" s="347">
        <v>-2</v>
      </c>
      <c r="O48" s="355">
        <v>-29.5</v>
      </c>
      <c r="P48" s="349">
        <f t="shared" si="2"/>
        <v>0.38936372269705605</v>
      </c>
      <c r="Q48" s="350">
        <v>2.0499999999999998</v>
      </c>
      <c r="R48" s="363">
        <v>275.3</v>
      </c>
      <c r="S48" s="352">
        <f t="shared" si="6"/>
        <v>4</v>
      </c>
      <c r="T48" s="351">
        <v>274.60000000000002</v>
      </c>
      <c r="U48" s="350">
        <v>11.22</v>
      </c>
      <c r="V48" s="349">
        <f t="shared" si="3"/>
        <v>2.1310541310541313</v>
      </c>
      <c r="W48" s="348">
        <v>-29.5</v>
      </c>
      <c r="X48" s="353">
        <v>3</v>
      </c>
      <c r="Y48" s="337">
        <f t="shared" si="7"/>
        <v>164.5</v>
      </c>
    </row>
    <row r="49" spans="1:25" ht="15.75" thickBot="1">
      <c r="A49" s="337">
        <f t="shared" si="9"/>
        <v>68.5</v>
      </c>
      <c r="B49" s="347">
        <v>0</v>
      </c>
      <c r="C49" s="348">
        <v>-29.5</v>
      </c>
      <c r="D49" s="349">
        <f t="shared" si="11"/>
        <v>2.6324786324786325</v>
      </c>
      <c r="E49" s="350">
        <v>13.86</v>
      </c>
      <c r="F49" s="351">
        <v>273.8</v>
      </c>
      <c r="G49" s="352">
        <f t="shared" si="10"/>
        <v>88</v>
      </c>
      <c r="H49" s="351">
        <v>273.8</v>
      </c>
      <c r="I49" s="350">
        <v>0.8</v>
      </c>
      <c r="J49" s="349">
        <f t="shared" si="1"/>
        <v>0.1519468186134853</v>
      </c>
      <c r="K49" s="348">
        <v>-29</v>
      </c>
      <c r="L49" s="353">
        <v>2</v>
      </c>
      <c r="M49">
        <f t="shared" si="5"/>
        <v>158.5</v>
      </c>
      <c r="N49" s="347">
        <v>-2</v>
      </c>
      <c r="O49" s="355">
        <v>-29.5</v>
      </c>
      <c r="P49" s="349">
        <f t="shared" si="2"/>
        <v>0.25641025641025644</v>
      </c>
      <c r="Q49" s="350">
        <v>1.35</v>
      </c>
      <c r="R49" s="363">
        <v>275.3</v>
      </c>
      <c r="S49" s="352">
        <f t="shared" si="6"/>
        <v>2</v>
      </c>
      <c r="T49" s="351">
        <v>274.60000000000002</v>
      </c>
      <c r="U49" s="350">
        <v>11.59</v>
      </c>
      <c r="V49" s="349">
        <f t="shared" si="3"/>
        <v>2.2013295346628681</v>
      </c>
      <c r="W49" s="348">
        <v>-29.5</v>
      </c>
      <c r="X49" s="353">
        <v>3</v>
      </c>
      <c r="Y49" s="337">
        <f t="shared" si="7"/>
        <v>162.5</v>
      </c>
    </row>
    <row r="50" spans="1:25" ht="15.75" thickBot="1">
      <c r="A50" s="337">
        <f t="shared" si="9"/>
        <v>70.5</v>
      </c>
      <c r="B50" s="354">
        <v>0</v>
      </c>
      <c r="C50" s="355">
        <v>-29.5</v>
      </c>
      <c r="D50" s="349">
        <f t="shared" si="11"/>
        <v>2.7084520417853755</v>
      </c>
      <c r="E50" s="356">
        <v>14.26</v>
      </c>
      <c r="F50" s="358">
        <v>273.8</v>
      </c>
      <c r="G50" s="364">
        <v>90</v>
      </c>
      <c r="H50" s="358">
        <v>273</v>
      </c>
      <c r="I50" s="356">
        <v>0.56000000000000005</v>
      </c>
      <c r="J50" s="349">
        <f t="shared" si="1"/>
        <v>0.10636277302943971</v>
      </c>
      <c r="K50" s="355">
        <v>-29</v>
      </c>
      <c r="L50" s="359">
        <v>2</v>
      </c>
      <c r="M50">
        <f t="shared" si="5"/>
        <v>160.5</v>
      </c>
      <c r="N50" s="347">
        <v>-2</v>
      </c>
      <c r="O50" s="355">
        <v>-29.5</v>
      </c>
      <c r="P50" s="349">
        <f t="shared" si="2"/>
        <v>0.16524216524216526</v>
      </c>
      <c r="Q50" s="356">
        <v>0.87</v>
      </c>
      <c r="R50" s="363">
        <v>275.3</v>
      </c>
      <c r="S50" s="352">
        <f t="shared" si="6"/>
        <v>0</v>
      </c>
      <c r="T50" s="351">
        <v>274.60000000000002</v>
      </c>
      <c r="U50" s="356">
        <v>11.71</v>
      </c>
      <c r="V50" s="349">
        <f t="shared" si="3"/>
        <v>2.2241215574548909</v>
      </c>
      <c r="W50" s="348">
        <v>-29.5</v>
      </c>
      <c r="X50" s="353">
        <v>3</v>
      </c>
      <c r="Y50" s="337">
        <f t="shared" si="7"/>
        <v>160.5</v>
      </c>
    </row>
  </sheetData>
  <mergeCells count="10">
    <mergeCell ref="B3:F3"/>
    <mergeCell ref="H3:L3"/>
    <mergeCell ref="N3:R3"/>
    <mergeCell ref="T3:X3"/>
    <mergeCell ref="B1:L1"/>
    <mergeCell ref="N1:X1"/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0AD97-8C17-471D-9870-5DF8CED2B0B6}">
  <dimension ref="A1:AM126"/>
  <sheetViews>
    <sheetView workbookViewId="0">
      <selection sqref="A1:XFD1048576"/>
    </sheetView>
  </sheetViews>
  <sheetFormatPr defaultRowHeight="15"/>
  <cols>
    <col min="17" max="17" width="10.5703125" bestFit="1" customWidth="1"/>
    <col min="18" max="18" width="9.5703125" bestFit="1" customWidth="1"/>
    <col min="22" max="22" width="10.5703125" bestFit="1" customWidth="1"/>
  </cols>
  <sheetData>
    <row r="1" spans="2:39" ht="15.75" thickBot="1">
      <c r="B1" s="603" t="s">
        <v>299</v>
      </c>
      <c r="C1" s="604"/>
      <c r="D1" s="365" t="s">
        <v>300</v>
      </c>
      <c r="E1" s="366" t="s">
        <v>301</v>
      </c>
      <c r="F1" s="605" t="s">
        <v>302</v>
      </c>
      <c r="G1" s="606"/>
      <c r="H1" s="606"/>
      <c r="I1" s="606"/>
      <c r="J1" s="607"/>
      <c r="K1" s="367" t="s">
        <v>301</v>
      </c>
      <c r="L1" s="368" t="s">
        <v>299</v>
      </c>
      <c r="M1" s="608" t="s">
        <v>300</v>
      </c>
      <c r="N1" s="609"/>
      <c r="R1" s="564" t="s">
        <v>307</v>
      </c>
      <c r="S1" s="564"/>
      <c r="T1" s="564"/>
      <c r="U1" s="564"/>
      <c r="V1" s="564"/>
      <c r="W1" s="564"/>
      <c r="X1" s="564"/>
      <c r="Y1" s="564"/>
      <c r="Z1" s="564"/>
      <c r="AA1" s="564" t="s">
        <v>308</v>
      </c>
      <c r="AB1" s="564"/>
      <c r="AC1" s="564"/>
      <c r="AD1" s="337" t="s">
        <v>309</v>
      </c>
      <c r="AE1" t="s">
        <v>310</v>
      </c>
      <c r="AF1" s="394"/>
      <c r="AG1" s="394"/>
      <c r="AH1" s="394"/>
      <c r="AI1" s="394"/>
      <c r="AJ1" s="394"/>
      <c r="AK1" s="394"/>
      <c r="AL1" s="395"/>
    </row>
    <row r="2" spans="2:39" ht="15.75" thickBot="1">
      <c r="B2" s="600" t="s">
        <v>303</v>
      </c>
      <c r="C2" s="601"/>
      <c r="D2" s="601"/>
      <c r="E2" s="601"/>
      <c r="F2" s="601"/>
      <c r="G2" s="602"/>
      <c r="H2" s="369"/>
      <c r="I2" s="600" t="s">
        <v>304</v>
      </c>
      <c r="J2" s="601"/>
      <c r="K2" s="601"/>
      <c r="L2" s="601"/>
      <c r="M2" s="601"/>
      <c r="N2" s="602"/>
      <c r="O2" s="337" t="s">
        <v>289</v>
      </c>
      <c r="R2" s="564" t="s">
        <v>311</v>
      </c>
      <c r="S2" s="564"/>
      <c r="T2" s="564"/>
      <c r="U2" s="564"/>
      <c r="V2" s="564"/>
      <c r="W2" s="564"/>
      <c r="X2" s="564"/>
      <c r="Y2" s="564"/>
      <c r="Z2" s="564"/>
      <c r="AA2" s="564" t="s">
        <v>312</v>
      </c>
      <c r="AB2" s="564"/>
      <c r="AC2" s="337">
        <v>1</v>
      </c>
      <c r="AD2">
        <v>16.8</v>
      </c>
      <c r="AE2">
        <v>16.8</v>
      </c>
      <c r="AF2" s="394"/>
      <c r="AG2" s="394"/>
      <c r="AH2" s="394"/>
      <c r="AI2" s="394"/>
      <c r="AJ2" s="394"/>
      <c r="AK2" s="394"/>
      <c r="AL2" s="395">
        <v>16.05</v>
      </c>
    </row>
    <row r="3" spans="2:39">
      <c r="B3" s="370" t="s">
        <v>305</v>
      </c>
      <c r="C3" s="371" t="s">
        <v>113</v>
      </c>
      <c r="D3" s="372" t="s">
        <v>295</v>
      </c>
      <c r="E3" s="373" t="s">
        <v>83</v>
      </c>
      <c r="F3" s="374" t="s">
        <v>306</v>
      </c>
      <c r="G3" s="375" t="s">
        <v>296</v>
      </c>
      <c r="H3" s="345" t="s">
        <v>297</v>
      </c>
      <c r="I3" s="375" t="s">
        <v>296</v>
      </c>
      <c r="J3" s="374" t="s">
        <v>306</v>
      </c>
      <c r="K3" s="373" t="s">
        <v>83</v>
      </c>
      <c r="L3" s="372" t="s">
        <v>295</v>
      </c>
      <c r="M3" s="371" t="s">
        <v>113</v>
      </c>
      <c r="N3" s="370" t="s">
        <v>305</v>
      </c>
      <c r="R3" s="564" t="s">
        <v>313</v>
      </c>
      <c r="S3" s="564"/>
      <c r="T3" s="564"/>
      <c r="U3" s="564"/>
      <c r="V3" s="564"/>
      <c r="W3" s="564">
        <v>21.75</v>
      </c>
      <c r="X3" s="564"/>
      <c r="Y3" s="564"/>
      <c r="Z3" s="564"/>
      <c r="AB3" s="395"/>
      <c r="AC3" s="396">
        <f>AC2</f>
        <v>1</v>
      </c>
      <c r="AD3" s="395">
        <v>15.65</v>
      </c>
      <c r="AE3" s="395">
        <v>16.58475</v>
      </c>
      <c r="AF3" s="395"/>
      <c r="AG3" s="395"/>
      <c r="AH3" s="395"/>
      <c r="AI3" s="395"/>
      <c r="AJ3" s="395"/>
      <c r="AK3" s="395"/>
      <c r="AL3" s="395">
        <v>16.05</v>
      </c>
      <c r="AM3" s="395"/>
    </row>
    <row r="4" spans="2:39">
      <c r="B4" s="376">
        <v>4</v>
      </c>
      <c r="C4" s="348">
        <v>-29</v>
      </c>
      <c r="D4" s="360">
        <v>3.2</v>
      </c>
      <c r="E4" s="350">
        <f t="shared" ref="E4:E48" si="0">AC2*AE2</f>
        <v>16.8</v>
      </c>
      <c r="F4" s="377">
        <f t="shared" ref="F4:F28" si="1">E4-AL2</f>
        <v>0.75</v>
      </c>
      <c r="G4" s="351">
        <v>271.39999999999998</v>
      </c>
      <c r="H4" s="352">
        <v>0</v>
      </c>
      <c r="I4" s="351">
        <v>271.39999999999998</v>
      </c>
      <c r="J4" s="378">
        <f t="shared" ref="J4:J49" si="2">K4-AL2</f>
        <v>0.75</v>
      </c>
      <c r="K4" s="350">
        <f t="shared" ref="K4:K49" si="3">AD2*AC2</f>
        <v>16.8</v>
      </c>
      <c r="L4" s="349">
        <f t="shared" ref="L4:L49" si="4">K4/5.265</f>
        <v>3.1908831908831914</v>
      </c>
      <c r="M4" s="348">
        <v>-29</v>
      </c>
      <c r="N4" s="376">
        <v>4</v>
      </c>
      <c r="O4" s="337">
        <v>341.9</v>
      </c>
      <c r="AB4" s="395"/>
      <c r="AC4" s="396">
        <f t="shared" ref="AC4:AC67" si="5">AC3</f>
        <v>1</v>
      </c>
      <c r="AD4" s="395">
        <v>15.38</v>
      </c>
      <c r="AE4" s="395">
        <v>17.111249999999998</v>
      </c>
      <c r="AF4" s="395"/>
      <c r="AG4" s="395"/>
      <c r="AH4" s="395"/>
      <c r="AI4" s="395"/>
      <c r="AJ4" s="395"/>
      <c r="AK4" s="395"/>
      <c r="AL4" s="395">
        <v>16.05</v>
      </c>
      <c r="AM4" s="395"/>
    </row>
    <row r="5" spans="2:39">
      <c r="B5" s="376">
        <v>4</v>
      </c>
      <c r="C5" s="348">
        <v>-29</v>
      </c>
      <c r="D5" s="360">
        <v>3.15</v>
      </c>
      <c r="E5" s="350">
        <f t="shared" si="0"/>
        <v>16.58475</v>
      </c>
      <c r="F5" s="377">
        <f t="shared" si="1"/>
        <v>0.53474999999999895</v>
      </c>
      <c r="G5" s="351">
        <v>271.39999999999998</v>
      </c>
      <c r="H5" s="352">
        <v>2</v>
      </c>
      <c r="I5" s="351">
        <v>271.39999999999998</v>
      </c>
      <c r="J5" s="378">
        <f t="shared" si="2"/>
        <v>-0.40000000000000036</v>
      </c>
      <c r="K5" s="350">
        <f t="shared" si="3"/>
        <v>15.65</v>
      </c>
      <c r="L5" s="349">
        <f t="shared" si="4"/>
        <v>2.9724596391263058</v>
      </c>
      <c r="M5" s="348">
        <v>-29</v>
      </c>
      <c r="N5" s="376">
        <v>4</v>
      </c>
      <c r="O5" s="337">
        <f>O4-2</f>
        <v>339.9</v>
      </c>
      <c r="AB5" s="395"/>
      <c r="AC5" s="396">
        <f t="shared" si="5"/>
        <v>1</v>
      </c>
      <c r="AD5" s="395">
        <v>15.15</v>
      </c>
      <c r="AE5" s="395">
        <v>17.532450000000001</v>
      </c>
      <c r="AF5" s="395"/>
      <c r="AG5" s="395"/>
      <c r="AH5" s="395"/>
      <c r="AI5" s="395"/>
      <c r="AJ5" s="395"/>
      <c r="AK5" s="395"/>
      <c r="AL5" s="395">
        <v>16.05</v>
      </c>
      <c r="AM5" s="395"/>
    </row>
    <row r="6" spans="2:39">
      <c r="B6" s="376">
        <v>4</v>
      </c>
      <c r="C6" s="348">
        <v>-29</v>
      </c>
      <c r="D6" s="360">
        <v>3.25</v>
      </c>
      <c r="E6" s="350">
        <f t="shared" si="0"/>
        <v>17.111249999999998</v>
      </c>
      <c r="F6" s="377">
        <f t="shared" si="1"/>
        <v>1.0612499999999976</v>
      </c>
      <c r="G6" s="351">
        <v>271.39999999999998</v>
      </c>
      <c r="H6" s="352">
        <v>4</v>
      </c>
      <c r="I6" s="351">
        <v>271.39999999999998</v>
      </c>
      <c r="J6" s="378">
        <f t="shared" si="2"/>
        <v>-0.66999999999999993</v>
      </c>
      <c r="K6" s="350">
        <f t="shared" si="3"/>
        <v>15.38</v>
      </c>
      <c r="L6" s="349">
        <f t="shared" si="4"/>
        <v>2.9211775878442547</v>
      </c>
      <c r="M6" s="348">
        <v>-29</v>
      </c>
      <c r="N6" s="376">
        <v>4</v>
      </c>
      <c r="O6" s="337">
        <f t="shared" ref="O6:O48" si="6">O5-2</f>
        <v>337.9</v>
      </c>
      <c r="AB6" s="395"/>
      <c r="AC6" s="396">
        <f t="shared" si="5"/>
        <v>1</v>
      </c>
      <c r="AD6" s="395">
        <v>14.95</v>
      </c>
      <c r="AE6" s="395">
        <v>18.164249999999999</v>
      </c>
      <c r="AF6" s="395"/>
      <c r="AG6" s="395"/>
      <c r="AH6" s="395"/>
      <c r="AI6" s="395"/>
      <c r="AJ6" s="395"/>
      <c r="AK6" s="395"/>
      <c r="AL6" s="395">
        <v>16.05</v>
      </c>
      <c r="AM6" s="395"/>
    </row>
    <row r="7" spans="2:39">
      <c r="B7" s="376">
        <v>4</v>
      </c>
      <c r="C7" s="348">
        <v>-29</v>
      </c>
      <c r="D7" s="360">
        <v>3.33</v>
      </c>
      <c r="E7" s="350">
        <f t="shared" si="0"/>
        <v>17.532450000000001</v>
      </c>
      <c r="F7" s="377">
        <f t="shared" si="1"/>
        <v>1.48245</v>
      </c>
      <c r="G7" s="351">
        <v>271.39999999999998</v>
      </c>
      <c r="H7" s="352">
        <v>6</v>
      </c>
      <c r="I7" s="351">
        <v>271.39999999999998</v>
      </c>
      <c r="J7" s="378">
        <f t="shared" si="2"/>
        <v>-0.90000000000000036</v>
      </c>
      <c r="K7" s="350">
        <f t="shared" si="3"/>
        <v>15.15</v>
      </c>
      <c r="L7" s="349">
        <f t="shared" si="4"/>
        <v>2.8774928774928776</v>
      </c>
      <c r="M7" s="348">
        <v>-29</v>
      </c>
      <c r="N7" s="376">
        <v>4</v>
      </c>
      <c r="O7" s="337">
        <f t="shared" si="6"/>
        <v>335.9</v>
      </c>
      <c r="AB7" s="395"/>
      <c r="AC7" s="396">
        <f t="shared" si="5"/>
        <v>1</v>
      </c>
      <c r="AD7" s="395">
        <v>14.75</v>
      </c>
      <c r="AE7" s="395">
        <v>18.427499999999998</v>
      </c>
      <c r="AF7" s="395"/>
      <c r="AG7" s="395"/>
      <c r="AH7" s="395"/>
      <c r="AI7" s="395"/>
      <c r="AJ7" s="395"/>
      <c r="AK7" s="395"/>
      <c r="AL7" s="395">
        <v>16.05</v>
      </c>
      <c r="AM7" s="395"/>
    </row>
    <row r="8" spans="2:39">
      <c r="B8" s="376">
        <v>4</v>
      </c>
      <c r="C8" s="348">
        <v>-29</v>
      </c>
      <c r="D8" s="360">
        <v>3.45</v>
      </c>
      <c r="E8" s="350">
        <f t="shared" si="0"/>
        <v>18.164249999999999</v>
      </c>
      <c r="F8" s="377">
        <f t="shared" si="1"/>
        <v>2.1142499999999984</v>
      </c>
      <c r="G8" s="351">
        <v>271.39999999999998</v>
      </c>
      <c r="H8" s="352">
        <v>8</v>
      </c>
      <c r="I8" s="351">
        <v>271.39999999999998</v>
      </c>
      <c r="J8" s="378">
        <f t="shared" si="2"/>
        <v>-1.1000000000000014</v>
      </c>
      <c r="K8" s="350">
        <f t="shared" si="3"/>
        <v>14.95</v>
      </c>
      <c r="L8" s="349">
        <f t="shared" si="4"/>
        <v>2.8395061728395063</v>
      </c>
      <c r="M8" s="348">
        <v>-29</v>
      </c>
      <c r="N8" s="376">
        <v>4</v>
      </c>
      <c r="O8" s="337">
        <f t="shared" si="6"/>
        <v>333.9</v>
      </c>
      <c r="AB8" s="395"/>
      <c r="AC8" s="396">
        <f t="shared" si="5"/>
        <v>1</v>
      </c>
      <c r="AD8" s="395">
        <v>14.54</v>
      </c>
      <c r="AE8" s="395">
        <v>18.690749999999998</v>
      </c>
      <c r="AF8" s="395"/>
      <c r="AG8" s="395"/>
      <c r="AH8" s="395"/>
      <c r="AI8" s="395"/>
      <c r="AJ8" s="395"/>
      <c r="AK8" s="395"/>
      <c r="AL8" s="395">
        <v>16.05</v>
      </c>
      <c r="AM8" s="395"/>
    </row>
    <row r="9" spans="2:39">
      <c r="B9" s="376">
        <v>4</v>
      </c>
      <c r="C9" s="348">
        <v>-29</v>
      </c>
      <c r="D9" s="360">
        <v>3.5</v>
      </c>
      <c r="E9" s="350">
        <f t="shared" si="0"/>
        <v>18.427499999999998</v>
      </c>
      <c r="F9" s="377">
        <f t="shared" si="1"/>
        <v>2.3774999999999977</v>
      </c>
      <c r="G9" s="351">
        <v>271.39999999999998</v>
      </c>
      <c r="H9" s="352">
        <v>10</v>
      </c>
      <c r="I9" s="351">
        <v>271.39999999999998</v>
      </c>
      <c r="J9" s="378">
        <f t="shared" si="2"/>
        <v>-1.3000000000000007</v>
      </c>
      <c r="K9" s="350">
        <f t="shared" si="3"/>
        <v>14.75</v>
      </c>
      <c r="L9" s="349">
        <f t="shared" si="4"/>
        <v>2.8015194681861351</v>
      </c>
      <c r="M9" s="348">
        <v>-29</v>
      </c>
      <c r="N9" s="376">
        <v>4</v>
      </c>
      <c r="O9" s="337">
        <f t="shared" si="6"/>
        <v>331.9</v>
      </c>
      <c r="AB9" s="395"/>
      <c r="AC9" s="396">
        <f t="shared" si="5"/>
        <v>1</v>
      </c>
      <c r="AD9" s="395">
        <v>14.36</v>
      </c>
      <c r="AE9" s="395">
        <v>18.954000000000001</v>
      </c>
      <c r="AF9" s="395"/>
      <c r="AG9" s="395"/>
      <c r="AH9" s="395"/>
      <c r="AI9" s="395"/>
      <c r="AJ9" s="395"/>
      <c r="AK9" s="395"/>
      <c r="AL9" s="395">
        <v>16.05</v>
      </c>
      <c r="AM9" s="395"/>
    </row>
    <row r="10" spans="2:39">
      <c r="B10" s="376">
        <v>4</v>
      </c>
      <c r="C10" s="348">
        <v>-29</v>
      </c>
      <c r="D10" s="360">
        <v>3.55</v>
      </c>
      <c r="E10" s="350">
        <f t="shared" si="0"/>
        <v>18.690749999999998</v>
      </c>
      <c r="F10" s="377">
        <f t="shared" si="1"/>
        <v>2.640749999999997</v>
      </c>
      <c r="G10" s="351">
        <v>271.39999999999998</v>
      </c>
      <c r="H10" s="352">
        <v>12</v>
      </c>
      <c r="I10" s="351">
        <v>271.39999999999998</v>
      </c>
      <c r="J10" s="378">
        <f t="shared" si="2"/>
        <v>-1.5100000000000016</v>
      </c>
      <c r="K10" s="350">
        <f t="shared" si="3"/>
        <v>14.54</v>
      </c>
      <c r="L10" s="349">
        <f t="shared" si="4"/>
        <v>2.7616334283000952</v>
      </c>
      <c r="M10" s="348">
        <v>-29</v>
      </c>
      <c r="N10" s="376">
        <v>4</v>
      </c>
      <c r="O10" s="337">
        <f t="shared" si="6"/>
        <v>329.9</v>
      </c>
      <c r="AB10" s="395"/>
      <c r="AC10" s="396">
        <f t="shared" si="5"/>
        <v>1</v>
      </c>
      <c r="AD10" s="395">
        <v>14.09</v>
      </c>
      <c r="AE10" s="395">
        <v>19.21725</v>
      </c>
      <c r="AF10" s="395"/>
      <c r="AG10" s="395"/>
      <c r="AH10" s="395"/>
      <c r="AI10" s="395"/>
      <c r="AJ10" s="395"/>
      <c r="AK10" s="395"/>
      <c r="AL10" s="395">
        <v>16.05</v>
      </c>
      <c r="AM10" s="395"/>
    </row>
    <row r="11" spans="2:39">
      <c r="B11" s="376">
        <v>4</v>
      </c>
      <c r="C11" s="348">
        <v>-29</v>
      </c>
      <c r="D11" s="360">
        <v>3.6</v>
      </c>
      <c r="E11" s="350">
        <f t="shared" si="0"/>
        <v>18.954000000000001</v>
      </c>
      <c r="F11" s="377">
        <f t="shared" si="1"/>
        <v>2.9039999999999999</v>
      </c>
      <c r="G11" s="351">
        <v>271.39999999999998</v>
      </c>
      <c r="H11" s="352">
        <v>14</v>
      </c>
      <c r="I11" s="351">
        <v>271.39999999999998</v>
      </c>
      <c r="J11" s="378">
        <f t="shared" si="2"/>
        <v>-1.6900000000000013</v>
      </c>
      <c r="K11" s="350">
        <f t="shared" si="3"/>
        <v>14.36</v>
      </c>
      <c r="L11" s="349">
        <f t="shared" si="4"/>
        <v>2.7274453941120607</v>
      </c>
      <c r="M11" s="348">
        <v>-29</v>
      </c>
      <c r="N11" s="376">
        <v>4</v>
      </c>
      <c r="O11" s="337">
        <f t="shared" si="6"/>
        <v>327.9</v>
      </c>
      <c r="AB11" s="395"/>
      <c r="AC11" s="396">
        <f t="shared" si="5"/>
        <v>1</v>
      </c>
      <c r="AD11" s="395">
        <v>13.83</v>
      </c>
      <c r="AE11" s="395">
        <v>19.3752</v>
      </c>
      <c r="AF11" s="395"/>
      <c r="AG11" s="395"/>
      <c r="AH11" s="395"/>
      <c r="AI11" s="395"/>
      <c r="AJ11" s="395"/>
      <c r="AK11" s="395"/>
      <c r="AL11" s="395">
        <v>16.05</v>
      </c>
      <c r="AM11" s="395"/>
    </row>
    <row r="12" spans="2:39">
      <c r="B12" s="376">
        <v>4</v>
      </c>
      <c r="C12" s="348">
        <v>-29</v>
      </c>
      <c r="D12" s="360">
        <v>3.65</v>
      </c>
      <c r="E12" s="350">
        <f t="shared" si="0"/>
        <v>19.21725</v>
      </c>
      <c r="F12" s="377">
        <f t="shared" si="1"/>
        <v>3.1672499999999992</v>
      </c>
      <c r="G12" s="351">
        <v>271.39999999999998</v>
      </c>
      <c r="H12" s="352">
        <v>16</v>
      </c>
      <c r="I12" s="379">
        <v>271.39999999999998</v>
      </c>
      <c r="J12" s="378">
        <f t="shared" si="2"/>
        <v>-1.9600000000000009</v>
      </c>
      <c r="K12" s="350">
        <f t="shared" si="3"/>
        <v>14.09</v>
      </c>
      <c r="L12" s="349">
        <f t="shared" si="4"/>
        <v>2.6761633428300096</v>
      </c>
      <c r="M12" s="348">
        <v>-29</v>
      </c>
      <c r="N12" s="376">
        <v>4</v>
      </c>
      <c r="O12" s="337">
        <f t="shared" si="6"/>
        <v>325.89999999999998</v>
      </c>
      <c r="AB12" s="395"/>
      <c r="AC12" s="396">
        <f t="shared" si="5"/>
        <v>1</v>
      </c>
      <c r="AD12" s="395">
        <v>13.52</v>
      </c>
      <c r="AE12" s="395">
        <v>19.743749999999999</v>
      </c>
      <c r="AF12" s="395"/>
      <c r="AG12" s="395"/>
      <c r="AH12" s="395"/>
      <c r="AI12" s="395"/>
      <c r="AJ12" s="395"/>
      <c r="AK12" s="395"/>
      <c r="AL12" s="395">
        <v>16.05</v>
      </c>
      <c r="AM12" s="395"/>
    </row>
    <row r="13" spans="2:39">
      <c r="B13" s="376">
        <v>4</v>
      </c>
      <c r="C13" s="348">
        <v>-29</v>
      </c>
      <c r="D13" s="360">
        <v>3.68</v>
      </c>
      <c r="E13" s="350">
        <f t="shared" si="0"/>
        <v>19.3752</v>
      </c>
      <c r="F13" s="377">
        <f t="shared" si="1"/>
        <v>3.3251999999999988</v>
      </c>
      <c r="G13" s="351">
        <v>271.39999999999998</v>
      </c>
      <c r="H13" s="352">
        <v>18</v>
      </c>
      <c r="I13" s="351">
        <v>271.39999999999998</v>
      </c>
      <c r="J13" s="378">
        <f t="shared" si="2"/>
        <v>-2.2200000000000006</v>
      </c>
      <c r="K13" s="350">
        <f t="shared" si="3"/>
        <v>13.83</v>
      </c>
      <c r="L13" s="349">
        <f t="shared" si="4"/>
        <v>2.6267806267806271</v>
      </c>
      <c r="M13" s="348">
        <v>-29</v>
      </c>
      <c r="N13" s="376">
        <v>4</v>
      </c>
      <c r="O13" s="337">
        <f t="shared" si="6"/>
        <v>323.89999999999998</v>
      </c>
      <c r="AB13" s="395"/>
      <c r="AC13" s="396">
        <f t="shared" si="5"/>
        <v>1</v>
      </c>
      <c r="AD13" s="395">
        <v>12.92</v>
      </c>
      <c r="AE13" s="395">
        <v>20.006999999999998</v>
      </c>
      <c r="AF13" s="395"/>
      <c r="AG13" s="395"/>
      <c r="AH13" s="395"/>
      <c r="AI13" s="395"/>
      <c r="AJ13" s="395"/>
      <c r="AK13" s="395"/>
      <c r="AL13" s="395">
        <v>16.05</v>
      </c>
      <c r="AM13" s="395"/>
    </row>
    <row r="14" spans="2:39">
      <c r="B14" s="376">
        <v>4</v>
      </c>
      <c r="C14" s="348">
        <v>-29</v>
      </c>
      <c r="D14" s="360">
        <v>3.75</v>
      </c>
      <c r="E14" s="350">
        <f t="shared" si="0"/>
        <v>19.743749999999999</v>
      </c>
      <c r="F14" s="377">
        <f t="shared" si="1"/>
        <v>3.6937499999999979</v>
      </c>
      <c r="G14" s="351">
        <v>271.39999999999998</v>
      </c>
      <c r="H14" s="352">
        <v>20</v>
      </c>
      <c r="I14" s="351">
        <v>271.39999999999998</v>
      </c>
      <c r="J14" s="378">
        <f t="shared" si="2"/>
        <v>-2.5300000000000011</v>
      </c>
      <c r="K14" s="350">
        <f t="shared" si="3"/>
        <v>13.52</v>
      </c>
      <c r="L14" s="349">
        <f t="shared" si="4"/>
        <v>2.5679012345679011</v>
      </c>
      <c r="M14" s="348">
        <v>-29</v>
      </c>
      <c r="N14" s="376">
        <v>4</v>
      </c>
      <c r="O14" s="337">
        <f t="shared" si="6"/>
        <v>321.89999999999998</v>
      </c>
      <c r="AB14" s="395"/>
      <c r="AC14" s="396">
        <f t="shared" si="5"/>
        <v>1</v>
      </c>
      <c r="AD14" s="395">
        <v>12.55</v>
      </c>
      <c r="AE14" s="395">
        <v>20.164949999999997</v>
      </c>
      <c r="AF14" s="395"/>
      <c r="AG14" s="395"/>
      <c r="AH14" s="395"/>
      <c r="AI14" s="395"/>
      <c r="AJ14" s="395"/>
      <c r="AK14" s="395"/>
      <c r="AL14" s="395">
        <v>16.05</v>
      </c>
      <c r="AM14" s="395"/>
    </row>
    <row r="15" spans="2:39">
      <c r="B15" s="376">
        <v>4</v>
      </c>
      <c r="C15" s="348">
        <v>-29</v>
      </c>
      <c r="D15" s="360">
        <v>3.8</v>
      </c>
      <c r="E15" s="350">
        <f t="shared" si="0"/>
        <v>20.006999999999998</v>
      </c>
      <c r="F15" s="377">
        <f t="shared" si="1"/>
        <v>3.9569999999999972</v>
      </c>
      <c r="G15" s="351">
        <v>271.39999999999998</v>
      </c>
      <c r="H15" s="352">
        <v>22</v>
      </c>
      <c r="I15" s="351">
        <v>272.2</v>
      </c>
      <c r="J15" s="378">
        <f t="shared" si="2"/>
        <v>-3.1300000000000008</v>
      </c>
      <c r="K15" s="350">
        <f t="shared" si="3"/>
        <v>12.92</v>
      </c>
      <c r="L15" s="349">
        <f t="shared" si="4"/>
        <v>2.4539411206077872</v>
      </c>
      <c r="M15" s="348">
        <v>-29</v>
      </c>
      <c r="N15" s="376">
        <v>3</v>
      </c>
      <c r="O15" s="337">
        <f t="shared" si="6"/>
        <v>319.89999999999998</v>
      </c>
      <c r="AB15" s="395"/>
      <c r="AC15" s="396">
        <f t="shared" si="5"/>
        <v>1</v>
      </c>
      <c r="AD15" s="395">
        <v>11.86</v>
      </c>
      <c r="AE15" s="395">
        <v>20.217599999999997</v>
      </c>
      <c r="AF15" s="395"/>
      <c r="AG15" s="395"/>
      <c r="AH15" s="395"/>
      <c r="AI15" s="395"/>
      <c r="AJ15" s="395"/>
      <c r="AK15" s="395"/>
      <c r="AL15" s="395">
        <v>16.05</v>
      </c>
      <c r="AM15" s="395"/>
    </row>
    <row r="16" spans="2:39">
      <c r="B16" s="376">
        <v>4</v>
      </c>
      <c r="C16" s="348">
        <v>-29</v>
      </c>
      <c r="D16" s="361">
        <v>3.83</v>
      </c>
      <c r="E16" s="350">
        <f t="shared" si="0"/>
        <v>20.164949999999997</v>
      </c>
      <c r="F16" s="377">
        <f t="shared" si="1"/>
        <v>4.1149499999999968</v>
      </c>
      <c r="G16" s="351">
        <v>271.39999999999998</v>
      </c>
      <c r="H16" s="352">
        <v>24</v>
      </c>
      <c r="I16" s="351">
        <v>272.2</v>
      </c>
      <c r="J16" s="378">
        <f t="shared" si="2"/>
        <v>-3.5</v>
      </c>
      <c r="K16" s="350">
        <f t="shared" si="3"/>
        <v>12.55</v>
      </c>
      <c r="L16" s="349">
        <f t="shared" si="4"/>
        <v>2.3836657169990505</v>
      </c>
      <c r="M16" s="348">
        <v>-29</v>
      </c>
      <c r="N16" s="376">
        <v>3</v>
      </c>
      <c r="O16" s="337">
        <f t="shared" si="6"/>
        <v>317.89999999999998</v>
      </c>
      <c r="AB16" s="395"/>
      <c r="AC16" s="396">
        <f t="shared" si="5"/>
        <v>1</v>
      </c>
      <c r="AD16" s="395">
        <v>11.54</v>
      </c>
      <c r="AE16" s="395">
        <v>20.6388</v>
      </c>
      <c r="AF16" s="395"/>
      <c r="AG16" s="395"/>
      <c r="AH16" s="395"/>
      <c r="AI16" s="395"/>
      <c r="AJ16" s="395"/>
      <c r="AK16" s="395"/>
      <c r="AL16" s="395">
        <v>16.05</v>
      </c>
      <c r="AM16" s="395"/>
    </row>
    <row r="17" spans="2:39">
      <c r="B17" s="376">
        <v>4</v>
      </c>
      <c r="C17" s="348">
        <v>-29</v>
      </c>
      <c r="D17" s="360">
        <v>3.84</v>
      </c>
      <c r="E17" s="350">
        <f t="shared" si="0"/>
        <v>20.217599999999997</v>
      </c>
      <c r="F17" s="377">
        <f t="shared" si="1"/>
        <v>4.1675999999999966</v>
      </c>
      <c r="G17" s="351">
        <v>271.39999999999998</v>
      </c>
      <c r="H17" s="352">
        <v>26</v>
      </c>
      <c r="I17" s="351">
        <v>272.2</v>
      </c>
      <c r="J17" s="378">
        <f t="shared" si="2"/>
        <v>-4.1900000000000013</v>
      </c>
      <c r="K17" s="350">
        <f t="shared" si="3"/>
        <v>11.86</v>
      </c>
      <c r="L17" s="349">
        <f t="shared" si="4"/>
        <v>2.2526115859449192</v>
      </c>
      <c r="M17" s="348">
        <v>-29</v>
      </c>
      <c r="N17" s="376">
        <v>3</v>
      </c>
      <c r="O17" s="337">
        <f t="shared" si="6"/>
        <v>315.89999999999998</v>
      </c>
      <c r="AB17" s="395"/>
      <c r="AC17" s="396">
        <f t="shared" si="5"/>
        <v>1</v>
      </c>
      <c r="AD17" s="395">
        <v>11.29</v>
      </c>
      <c r="AE17" s="395">
        <v>21.323249999999998</v>
      </c>
      <c r="AF17" s="395"/>
      <c r="AG17" s="395"/>
      <c r="AH17" s="395"/>
      <c r="AI17" s="395"/>
      <c r="AJ17" s="395"/>
      <c r="AK17" s="395"/>
      <c r="AL17" s="395">
        <v>16.05</v>
      </c>
      <c r="AM17" s="395"/>
    </row>
    <row r="18" spans="2:39">
      <c r="B18" s="376">
        <v>4</v>
      </c>
      <c r="C18" s="348">
        <v>-29</v>
      </c>
      <c r="D18" s="349">
        <v>3.92</v>
      </c>
      <c r="E18" s="350">
        <f t="shared" si="0"/>
        <v>20.6388</v>
      </c>
      <c r="F18" s="377">
        <f t="shared" si="1"/>
        <v>4.5887999999999991</v>
      </c>
      <c r="G18" s="351">
        <v>271.39999999999998</v>
      </c>
      <c r="H18" s="352">
        <v>28</v>
      </c>
      <c r="I18" s="351">
        <v>272.2</v>
      </c>
      <c r="J18" s="378">
        <f t="shared" si="2"/>
        <v>-4.5100000000000016</v>
      </c>
      <c r="K18" s="350">
        <f t="shared" si="3"/>
        <v>11.54</v>
      </c>
      <c r="L18" s="349">
        <f t="shared" si="4"/>
        <v>2.191832858499525</v>
      </c>
      <c r="M18" s="348">
        <v>-29</v>
      </c>
      <c r="N18" s="376">
        <v>3</v>
      </c>
      <c r="O18" s="337">
        <f t="shared" si="6"/>
        <v>313.89999999999998</v>
      </c>
      <c r="AB18" s="395"/>
      <c r="AC18" s="396">
        <f t="shared" si="5"/>
        <v>1</v>
      </c>
      <c r="AD18" s="395">
        <v>11.08</v>
      </c>
      <c r="AE18" s="395">
        <v>21.586499999999997</v>
      </c>
      <c r="AF18" s="395"/>
      <c r="AG18" s="395"/>
      <c r="AH18" s="395"/>
      <c r="AI18" s="395"/>
      <c r="AJ18" s="395"/>
      <c r="AK18" s="395"/>
      <c r="AL18" s="395">
        <v>16.05</v>
      </c>
      <c r="AM18" s="395"/>
    </row>
    <row r="19" spans="2:39">
      <c r="B19" s="376">
        <v>4</v>
      </c>
      <c r="C19" s="348">
        <v>-29</v>
      </c>
      <c r="D19" s="349">
        <v>4.05</v>
      </c>
      <c r="E19" s="350">
        <f t="shared" si="0"/>
        <v>21.323249999999998</v>
      </c>
      <c r="F19" s="377">
        <f t="shared" si="1"/>
        <v>5.2732499999999973</v>
      </c>
      <c r="G19" s="351">
        <v>271.39999999999998</v>
      </c>
      <c r="H19" s="352">
        <v>30</v>
      </c>
      <c r="I19" s="351">
        <v>272.2</v>
      </c>
      <c r="J19" s="378">
        <f t="shared" si="2"/>
        <v>-4.7600000000000016</v>
      </c>
      <c r="K19" s="350">
        <f t="shared" si="3"/>
        <v>11.29</v>
      </c>
      <c r="L19" s="349">
        <f t="shared" si="4"/>
        <v>2.1443494776828111</v>
      </c>
      <c r="M19" s="348">
        <v>-29</v>
      </c>
      <c r="N19" s="376">
        <v>3</v>
      </c>
      <c r="O19" s="337">
        <f t="shared" si="6"/>
        <v>311.89999999999998</v>
      </c>
      <c r="AB19" s="395"/>
      <c r="AC19" s="396">
        <f t="shared" si="5"/>
        <v>1</v>
      </c>
      <c r="AD19" s="395">
        <v>10.78</v>
      </c>
      <c r="AE19" s="395">
        <v>21.744449999999997</v>
      </c>
      <c r="AF19" s="395"/>
      <c r="AG19" s="395"/>
      <c r="AH19" s="395"/>
      <c r="AI19" s="395"/>
      <c r="AJ19" s="395"/>
      <c r="AK19" s="395"/>
      <c r="AL19" s="395">
        <v>16.05</v>
      </c>
      <c r="AM19" s="395"/>
    </row>
    <row r="20" spans="2:39">
      <c r="B20" s="376">
        <v>4</v>
      </c>
      <c r="C20" s="348">
        <v>-29</v>
      </c>
      <c r="D20" s="349">
        <v>4.0999999999999996</v>
      </c>
      <c r="E20" s="350">
        <f t="shared" si="0"/>
        <v>21.586499999999997</v>
      </c>
      <c r="F20" s="377">
        <f t="shared" si="1"/>
        <v>5.5364999999999966</v>
      </c>
      <c r="G20" s="351">
        <v>271.39999999999998</v>
      </c>
      <c r="H20" s="352">
        <v>32</v>
      </c>
      <c r="I20" s="351">
        <v>272.2</v>
      </c>
      <c r="J20" s="378">
        <f t="shared" si="2"/>
        <v>-4.9700000000000006</v>
      </c>
      <c r="K20" s="350">
        <f t="shared" si="3"/>
        <v>11.08</v>
      </c>
      <c r="L20" s="349">
        <f t="shared" si="4"/>
        <v>2.1044634377967713</v>
      </c>
      <c r="M20" s="348">
        <v>-29</v>
      </c>
      <c r="N20" s="376">
        <v>3</v>
      </c>
      <c r="O20" s="337">
        <f t="shared" si="6"/>
        <v>309.89999999999998</v>
      </c>
      <c r="R20" s="564" t="s">
        <v>299</v>
      </c>
      <c r="S20" s="564"/>
      <c r="T20" s="564"/>
      <c r="U20" s="564"/>
      <c r="V20" s="564"/>
      <c r="W20" s="564"/>
      <c r="X20" s="564"/>
      <c r="Y20" s="564"/>
      <c r="Z20" s="564"/>
      <c r="AB20" s="395"/>
      <c r="AC20" s="396">
        <f t="shared" si="5"/>
        <v>1</v>
      </c>
      <c r="AD20" s="395">
        <v>10.52</v>
      </c>
      <c r="AE20" s="395">
        <v>21.95505</v>
      </c>
      <c r="AF20" s="395"/>
      <c r="AG20" s="395"/>
      <c r="AH20" s="395"/>
      <c r="AI20" s="395"/>
      <c r="AJ20" s="395"/>
      <c r="AK20" s="395"/>
      <c r="AL20" s="395">
        <v>16.05</v>
      </c>
      <c r="AM20" s="395"/>
    </row>
    <row r="21" spans="2:39">
      <c r="B21" s="376">
        <v>4</v>
      </c>
      <c r="C21" s="348">
        <v>-29</v>
      </c>
      <c r="D21" s="349">
        <v>4.13</v>
      </c>
      <c r="E21" s="350">
        <f t="shared" si="0"/>
        <v>21.744449999999997</v>
      </c>
      <c r="F21" s="377">
        <f t="shared" si="1"/>
        <v>5.6944499999999962</v>
      </c>
      <c r="G21" s="351">
        <v>271.39999999999998</v>
      </c>
      <c r="H21" s="352">
        <v>34</v>
      </c>
      <c r="I21" s="351">
        <v>272.2</v>
      </c>
      <c r="J21" s="378">
        <f t="shared" si="2"/>
        <v>-5.2700000000000014</v>
      </c>
      <c r="K21" s="350">
        <f t="shared" si="3"/>
        <v>10.78</v>
      </c>
      <c r="L21" s="349">
        <f t="shared" si="4"/>
        <v>2.0474833808167143</v>
      </c>
      <c r="M21" s="348">
        <v>-29</v>
      </c>
      <c r="N21" s="376">
        <v>3</v>
      </c>
      <c r="O21" s="337">
        <f t="shared" si="6"/>
        <v>307.89999999999998</v>
      </c>
      <c r="AA21" s="395">
        <v>21.75</v>
      </c>
      <c r="AB21" s="395"/>
      <c r="AC21" s="396">
        <f t="shared" si="5"/>
        <v>1</v>
      </c>
      <c r="AD21" s="395">
        <v>10.27</v>
      </c>
      <c r="AE21" s="395">
        <v>22.218299999999996</v>
      </c>
      <c r="AF21" s="395"/>
      <c r="AG21" s="395"/>
      <c r="AH21" s="395"/>
      <c r="AI21" s="395"/>
      <c r="AJ21" s="395"/>
      <c r="AK21" s="395"/>
      <c r="AL21" s="395">
        <v>16.05</v>
      </c>
      <c r="AM21" s="395"/>
    </row>
    <row r="22" spans="2:39">
      <c r="B22" s="376">
        <v>4</v>
      </c>
      <c r="C22" s="348">
        <v>-29</v>
      </c>
      <c r="D22" s="349">
        <v>4.17</v>
      </c>
      <c r="E22" s="350">
        <f t="shared" si="0"/>
        <v>21.95505</v>
      </c>
      <c r="F22" s="377">
        <f t="shared" si="1"/>
        <v>5.9050499999999992</v>
      </c>
      <c r="G22" s="351">
        <v>271.39999999999998</v>
      </c>
      <c r="H22" s="352">
        <v>36</v>
      </c>
      <c r="I22" s="351">
        <v>272.2</v>
      </c>
      <c r="J22" s="378">
        <f t="shared" si="2"/>
        <v>-5.5300000000000011</v>
      </c>
      <c r="K22" s="350">
        <f t="shared" si="3"/>
        <v>10.52</v>
      </c>
      <c r="L22" s="349">
        <f t="shared" si="4"/>
        <v>1.9981006647673314</v>
      </c>
      <c r="M22" s="348">
        <v>-29</v>
      </c>
      <c r="N22" s="376">
        <v>3</v>
      </c>
      <c r="O22" s="337">
        <f t="shared" si="6"/>
        <v>305.89999999999998</v>
      </c>
      <c r="AA22" s="395">
        <v>21.75</v>
      </c>
      <c r="AB22" s="395"/>
      <c r="AC22" s="396">
        <f t="shared" si="5"/>
        <v>1</v>
      </c>
      <c r="AD22" s="395">
        <v>10.1</v>
      </c>
      <c r="AE22" s="395">
        <v>21.06</v>
      </c>
      <c r="AF22" s="395"/>
      <c r="AG22" s="395"/>
      <c r="AH22" s="395"/>
      <c r="AI22" s="395"/>
      <c r="AJ22" s="395"/>
      <c r="AK22" s="395"/>
      <c r="AL22" s="395">
        <v>16.05</v>
      </c>
      <c r="AM22" s="395"/>
    </row>
    <row r="23" spans="2:39">
      <c r="B23" s="376">
        <v>4</v>
      </c>
      <c r="C23" s="348">
        <v>-29</v>
      </c>
      <c r="D23" s="349">
        <v>4.22</v>
      </c>
      <c r="E23" s="350">
        <f t="shared" si="0"/>
        <v>22.218299999999996</v>
      </c>
      <c r="F23" s="377">
        <f t="shared" si="1"/>
        <v>6.168299999999995</v>
      </c>
      <c r="G23" s="351">
        <v>271.39999999999998</v>
      </c>
      <c r="H23" s="352">
        <v>38</v>
      </c>
      <c r="I23" s="351">
        <v>272.2</v>
      </c>
      <c r="J23" s="378">
        <f t="shared" si="2"/>
        <v>-5.7800000000000011</v>
      </c>
      <c r="K23" s="350">
        <f t="shared" si="3"/>
        <v>10.27</v>
      </c>
      <c r="L23" s="349">
        <f t="shared" si="4"/>
        <v>1.9506172839506173</v>
      </c>
      <c r="M23" s="348">
        <v>-29</v>
      </c>
      <c r="N23" s="376">
        <v>3</v>
      </c>
      <c r="O23" s="337">
        <f t="shared" si="6"/>
        <v>303.89999999999998</v>
      </c>
      <c r="AA23" s="395">
        <v>21.75</v>
      </c>
      <c r="AB23" s="395"/>
      <c r="AC23" s="396">
        <f t="shared" si="5"/>
        <v>1</v>
      </c>
      <c r="AD23" s="395">
        <v>9.82</v>
      </c>
      <c r="AE23" s="395">
        <v>21.586499999999997</v>
      </c>
      <c r="AF23" s="395"/>
      <c r="AG23" s="395"/>
      <c r="AH23" s="395"/>
      <c r="AI23" s="395"/>
      <c r="AJ23" s="395"/>
      <c r="AK23" s="395"/>
      <c r="AL23" s="395">
        <v>16.05</v>
      </c>
      <c r="AM23" s="395"/>
    </row>
    <row r="24" spans="2:39">
      <c r="B24" s="344">
        <v>2.2999999999999998</v>
      </c>
      <c r="C24" s="348">
        <v>-29</v>
      </c>
      <c r="D24" s="349">
        <v>4</v>
      </c>
      <c r="E24" s="350">
        <f t="shared" si="0"/>
        <v>21.06</v>
      </c>
      <c r="F24" s="377">
        <f t="shared" si="1"/>
        <v>5.009999999999998</v>
      </c>
      <c r="G24" s="338">
        <v>272.2</v>
      </c>
      <c r="H24" s="352">
        <v>40</v>
      </c>
      <c r="I24" s="338">
        <v>272.2</v>
      </c>
      <c r="J24" s="378">
        <f t="shared" si="2"/>
        <v>-5.9500000000000011</v>
      </c>
      <c r="K24" s="350">
        <f t="shared" si="3"/>
        <v>10.1</v>
      </c>
      <c r="L24" s="349">
        <f t="shared" si="4"/>
        <v>1.9183285849952516</v>
      </c>
      <c r="M24" s="348">
        <v>-29</v>
      </c>
      <c r="N24" s="376">
        <v>3</v>
      </c>
      <c r="O24" s="337">
        <f t="shared" si="6"/>
        <v>301.89999999999998</v>
      </c>
      <c r="AA24" s="395">
        <v>21.75</v>
      </c>
      <c r="AB24" s="395"/>
      <c r="AC24" s="396">
        <f t="shared" si="5"/>
        <v>1</v>
      </c>
      <c r="AD24" s="395">
        <v>9.66</v>
      </c>
      <c r="AE24" s="395">
        <v>22.113</v>
      </c>
      <c r="AF24" s="395"/>
      <c r="AG24" s="395"/>
      <c r="AH24" s="395"/>
      <c r="AI24" s="395"/>
      <c r="AJ24" s="395"/>
      <c r="AK24" s="395"/>
      <c r="AL24" s="395">
        <v>16.05</v>
      </c>
      <c r="AM24" s="395"/>
    </row>
    <row r="25" spans="2:39">
      <c r="B25" s="380">
        <v>2</v>
      </c>
      <c r="C25" s="348">
        <v>-29</v>
      </c>
      <c r="D25" s="349">
        <v>4.0999999999999996</v>
      </c>
      <c r="E25" s="350">
        <f t="shared" si="0"/>
        <v>21.586499999999997</v>
      </c>
      <c r="F25" s="377">
        <f t="shared" si="1"/>
        <v>5.5364999999999966</v>
      </c>
      <c r="G25" s="338">
        <v>272.2</v>
      </c>
      <c r="H25" s="352">
        <v>42</v>
      </c>
      <c r="I25" s="338">
        <v>272.2</v>
      </c>
      <c r="J25" s="378">
        <f t="shared" si="2"/>
        <v>-6.23</v>
      </c>
      <c r="K25" s="350">
        <f t="shared" si="3"/>
        <v>9.82</v>
      </c>
      <c r="L25" s="349">
        <f t="shared" si="4"/>
        <v>1.8651471984805319</v>
      </c>
      <c r="M25" s="348">
        <v>-29</v>
      </c>
      <c r="N25" s="376">
        <v>3</v>
      </c>
      <c r="O25" s="337">
        <f t="shared" si="6"/>
        <v>299.89999999999998</v>
      </c>
      <c r="AA25" s="395">
        <v>21.75</v>
      </c>
      <c r="AB25" s="395"/>
      <c r="AC25" s="396">
        <f t="shared" si="5"/>
        <v>1</v>
      </c>
      <c r="AD25" s="395">
        <v>9.5500000000000007</v>
      </c>
      <c r="AE25" s="395">
        <v>22.639499999999998</v>
      </c>
      <c r="AF25" s="395"/>
      <c r="AG25" s="395"/>
      <c r="AH25" s="395"/>
      <c r="AI25" s="395"/>
      <c r="AJ25" s="395"/>
      <c r="AK25" s="395"/>
      <c r="AL25" s="395">
        <v>16.05</v>
      </c>
      <c r="AM25" s="395"/>
    </row>
    <row r="26" spans="2:39">
      <c r="B26" s="380">
        <v>2</v>
      </c>
      <c r="C26" s="348">
        <v>-29</v>
      </c>
      <c r="D26" s="349">
        <v>4.2</v>
      </c>
      <c r="E26" s="350">
        <f t="shared" si="0"/>
        <v>22.113</v>
      </c>
      <c r="F26" s="377">
        <f t="shared" si="1"/>
        <v>6.0629999999999988</v>
      </c>
      <c r="G26" s="338">
        <v>272.2</v>
      </c>
      <c r="H26" s="352">
        <v>44</v>
      </c>
      <c r="I26" s="338">
        <v>272.2</v>
      </c>
      <c r="J26" s="378">
        <f t="shared" si="2"/>
        <v>-6.3900000000000006</v>
      </c>
      <c r="K26" s="350">
        <f t="shared" si="3"/>
        <v>9.66</v>
      </c>
      <c r="L26" s="349">
        <f t="shared" si="4"/>
        <v>1.8347578347578348</v>
      </c>
      <c r="M26" s="348">
        <v>-29</v>
      </c>
      <c r="N26" s="376">
        <v>3</v>
      </c>
      <c r="O26" s="337">
        <f t="shared" si="6"/>
        <v>297.89999999999998</v>
      </c>
      <c r="AA26" s="395">
        <v>21.75</v>
      </c>
      <c r="AB26" s="395"/>
      <c r="AC26" s="396">
        <f t="shared" si="5"/>
        <v>1</v>
      </c>
      <c r="AD26" s="395">
        <v>9.4</v>
      </c>
      <c r="AE26" s="395">
        <v>22.270949999999999</v>
      </c>
      <c r="AF26" s="395"/>
      <c r="AG26" s="395"/>
      <c r="AH26" s="395"/>
      <c r="AI26" s="395"/>
      <c r="AJ26" s="395"/>
      <c r="AK26" s="395"/>
      <c r="AL26" s="395">
        <v>16.05</v>
      </c>
      <c r="AM26" s="395"/>
    </row>
    <row r="27" spans="2:39">
      <c r="B27" s="380">
        <v>2</v>
      </c>
      <c r="C27" s="348">
        <v>-29</v>
      </c>
      <c r="D27" s="349">
        <v>4.3</v>
      </c>
      <c r="E27" s="350">
        <f t="shared" si="0"/>
        <v>22.639499999999998</v>
      </c>
      <c r="F27" s="377">
        <f t="shared" si="1"/>
        <v>6.5894999999999975</v>
      </c>
      <c r="G27" s="338">
        <v>272.2</v>
      </c>
      <c r="H27" s="352">
        <v>46</v>
      </c>
      <c r="I27" s="338">
        <v>272.2</v>
      </c>
      <c r="J27" s="378">
        <f t="shared" si="2"/>
        <v>-6.5</v>
      </c>
      <c r="K27" s="350">
        <f t="shared" si="3"/>
        <v>9.5500000000000007</v>
      </c>
      <c r="L27" s="349">
        <f t="shared" si="4"/>
        <v>1.8138651471984808</v>
      </c>
      <c r="M27" s="348">
        <v>-29</v>
      </c>
      <c r="N27" s="376">
        <v>3</v>
      </c>
      <c r="O27" s="337">
        <f t="shared" si="6"/>
        <v>295.89999999999998</v>
      </c>
      <c r="AA27" s="395">
        <v>21.75</v>
      </c>
      <c r="AB27" s="395"/>
      <c r="AC27" s="396">
        <f t="shared" si="5"/>
        <v>1</v>
      </c>
      <c r="AD27" s="395">
        <v>9.25</v>
      </c>
      <c r="AE27" s="395">
        <v>22.850099999999998</v>
      </c>
      <c r="AF27" s="395"/>
      <c r="AG27" s="395"/>
      <c r="AH27" s="395"/>
      <c r="AI27" s="395"/>
      <c r="AJ27" s="395"/>
      <c r="AK27" s="395"/>
      <c r="AL27" s="395">
        <v>16.05</v>
      </c>
      <c r="AM27" s="395"/>
    </row>
    <row r="28" spans="2:39">
      <c r="B28" s="380">
        <v>2</v>
      </c>
      <c r="C28" s="348">
        <v>-29</v>
      </c>
      <c r="D28" s="349">
        <v>4.2300000000000004</v>
      </c>
      <c r="E28" s="350">
        <f t="shared" si="0"/>
        <v>22.270949999999999</v>
      </c>
      <c r="F28" s="377">
        <f t="shared" si="1"/>
        <v>6.2209499999999984</v>
      </c>
      <c r="G28" s="338">
        <v>272.2</v>
      </c>
      <c r="H28" s="352">
        <v>48</v>
      </c>
      <c r="I28" s="338">
        <v>272.2</v>
      </c>
      <c r="J28" s="378">
        <f t="shared" si="2"/>
        <v>-6.65</v>
      </c>
      <c r="K28" s="350">
        <f t="shared" si="3"/>
        <v>9.4</v>
      </c>
      <c r="L28" s="349">
        <f t="shared" si="4"/>
        <v>1.7853751187084521</v>
      </c>
      <c r="M28" s="348">
        <v>-29</v>
      </c>
      <c r="N28" s="376">
        <v>3</v>
      </c>
      <c r="O28" s="337">
        <f t="shared" si="6"/>
        <v>293.89999999999998</v>
      </c>
      <c r="AA28" s="395">
        <v>21.75</v>
      </c>
      <c r="AB28" s="395"/>
      <c r="AC28" s="396">
        <f t="shared" si="5"/>
        <v>1</v>
      </c>
      <c r="AD28" s="395">
        <v>9.2100000000000009</v>
      </c>
      <c r="AE28" s="395">
        <v>21.8</v>
      </c>
      <c r="AF28" s="395"/>
      <c r="AG28" s="395"/>
      <c r="AH28" s="395"/>
      <c r="AI28" s="395"/>
      <c r="AJ28" s="395"/>
      <c r="AK28" s="395"/>
      <c r="AL28" s="395">
        <v>16.05</v>
      </c>
      <c r="AM28" s="395"/>
    </row>
    <row r="29" spans="2:39">
      <c r="B29" s="380">
        <v>2</v>
      </c>
      <c r="C29" s="348">
        <v>-29</v>
      </c>
      <c r="D29" s="349">
        <v>4.34</v>
      </c>
      <c r="E29" s="350">
        <f t="shared" si="0"/>
        <v>22.850099999999998</v>
      </c>
      <c r="F29" s="378">
        <v>1.1000000000000001</v>
      </c>
      <c r="G29" s="338">
        <v>272.2</v>
      </c>
      <c r="H29" s="352">
        <v>50</v>
      </c>
      <c r="I29" s="338">
        <v>272.2</v>
      </c>
      <c r="J29" s="378">
        <f t="shared" si="2"/>
        <v>-6.8000000000000007</v>
      </c>
      <c r="K29" s="350">
        <f t="shared" si="3"/>
        <v>9.25</v>
      </c>
      <c r="L29" s="349">
        <f t="shared" si="4"/>
        <v>1.7568850902184237</v>
      </c>
      <c r="M29" s="348">
        <v>-29</v>
      </c>
      <c r="N29" s="376">
        <v>3</v>
      </c>
      <c r="O29" s="337">
        <f t="shared" si="6"/>
        <v>291.89999999999998</v>
      </c>
      <c r="AA29" s="395">
        <v>21.75</v>
      </c>
      <c r="AB29" s="395"/>
      <c r="AC29" s="396">
        <f t="shared" si="5"/>
        <v>1</v>
      </c>
      <c r="AD29" s="395">
        <v>9.15</v>
      </c>
      <c r="AE29" s="395">
        <v>21.95</v>
      </c>
      <c r="AF29" s="395"/>
      <c r="AG29" s="395"/>
      <c r="AH29" s="395"/>
      <c r="AI29" s="395"/>
      <c r="AJ29" s="395"/>
      <c r="AK29" s="395"/>
      <c r="AL29" s="395">
        <v>16.05</v>
      </c>
      <c r="AM29" s="395"/>
    </row>
    <row r="30" spans="2:39">
      <c r="B30" s="380">
        <v>2</v>
      </c>
      <c r="C30" s="348">
        <v>-29</v>
      </c>
      <c r="D30" s="349">
        <f t="shared" ref="D30:D49" si="7">E30/5.265</f>
        <v>4.1405508072174744</v>
      </c>
      <c r="E30" s="350">
        <f t="shared" si="0"/>
        <v>21.8</v>
      </c>
      <c r="F30" s="378">
        <f t="shared" ref="F30:F49" si="8">E30-AB38</f>
        <v>5.0000000000000711E-2</v>
      </c>
      <c r="G30" s="381">
        <v>273</v>
      </c>
      <c r="H30" s="352">
        <v>52</v>
      </c>
      <c r="I30" s="338">
        <v>272.2</v>
      </c>
      <c r="J30" s="378">
        <f t="shared" si="2"/>
        <v>-6.84</v>
      </c>
      <c r="K30" s="350">
        <f t="shared" si="3"/>
        <v>9.2100000000000009</v>
      </c>
      <c r="L30" s="349">
        <f t="shared" si="4"/>
        <v>1.7492877492877497</v>
      </c>
      <c r="M30" s="348">
        <v>-29</v>
      </c>
      <c r="N30" s="376">
        <v>3</v>
      </c>
      <c r="O30" s="337">
        <f t="shared" si="6"/>
        <v>289.89999999999998</v>
      </c>
      <c r="AA30" s="395">
        <v>21.75</v>
      </c>
      <c r="AB30" s="395"/>
      <c r="AC30" s="396">
        <f t="shared" si="5"/>
        <v>1</v>
      </c>
      <c r="AD30" s="395">
        <v>9.09</v>
      </c>
      <c r="AE30" s="395">
        <v>22.15</v>
      </c>
      <c r="AF30" s="395"/>
      <c r="AG30" s="395"/>
      <c r="AH30" s="395"/>
      <c r="AI30" s="395"/>
      <c r="AJ30" s="395"/>
      <c r="AK30" s="395"/>
      <c r="AL30" s="395">
        <v>16.05</v>
      </c>
      <c r="AM30" s="395"/>
    </row>
    <row r="31" spans="2:39">
      <c r="B31" s="380">
        <v>2</v>
      </c>
      <c r="C31" s="348">
        <v>-29</v>
      </c>
      <c r="D31" s="349">
        <f t="shared" si="7"/>
        <v>4.1690408357075022</v>
      </c>
      <c r="E31" s="350">
        <f t="shared" si="0"/>
        <v>21.95</v>
      </c>
      <c r="F31" s="378">
        <f t="shared" si="8"/>
        <v>0.19999999999999929</v>
      </c>
      <c r="G31" s="381">
        <v>273</v>
      </c>
      <c r="H31" s="352">
        <v>54</v>
      </c>
      <c r="I31" s="338">
        <v>272.2</v>
      </c>
      <c r="J31" s="378">
        <f t="shared" si="2"/>
        <v>-6.9</v>
      </c>
      <c r="K31" s="350">
        <f t="shared" si="3"/>
        <v>9.15</v>
      </c>
      <c r="L31" s="349">
        <f t="shared" si="4"/>
        <v>1.737891737891738</v>
      </c>
      <c r="M31" s="348">
        <v>-29</v>
      </c>
      <c r="N31" s="376">
        <v>3</v>
      </c>
      <c r="O31" s="337">
        <f t="shared" si="6"/>
        <v>287.89999999999998</v>
      </c>
      <c r="AA31" s="395">
        <v>21.75</v>
      </c>
      <c r="AB31" s="395"/>
      <c r="AC31" s="396">
        <f t="shared" si="5"/>
        <v>1</v>
      </c>
      <c r="AD31" s="395">
        <v>9.0399999999999991</v>
      </c>
      <c r="AE31" s="395">
        <v>22.349999999999998</v>
      </c>
      <c r="AF31" s="395"/>
      <c r="AG31" s="395"/>
      <c r="AH31" s="395"/>
      <c r="AI31" s="395"/>
      <c r="AJ31" s="395"/>
      <c r="AK31" s="395"/>
      <c r="AL31" s="395">
        <v>16.05</v>
      </c>
      <c r="AM31" s="395"/>
    </row>
    <row r="32" spans="2:39">
      <c r="B32" s="380">
        <v>2</v>
      </c>
      <c r="C32" s="348">
        <v>-29</v>
      </c>
      <c r="D32" s="349">
        <f t="shared" si="7"/>
        <v>4.2070275403608735</v>
      </c>
      <c r="E32" s="350">
        <f t="shared" si="0"/>
        <v>22.15</v>
      </c>
      <c r="F32" s="378">
        <f t="shared" si="8"/>
        <v>0.39999999999999858</v>
      </c>
      <c r="G32" s="381">
        <v>273</v>
      </c>
      <c r="H32" s="352">
        <v>56</v>
      </c>
      <c r="I32" s="338">
        <v>272.2</v>
      </c>
      <c r="J32" s="378">
        <f t="shared" si="2"/>
        <v>-6.9600000000000009</v>
      </c>
      <c r="K32" s="350">
        <f t="shared" si="3"/>
        <v>9.09</v>
      </c>
      <c r="L32" s="349">
        <f t="shared" si="4"/>
        <v>1.7264957264957266</v>
      </c>
      <c r="M32" s="348">
        <v>-29</v>
      </c>
      <c r="N32" s="376">
        <v>3</v>
      </c>
      <c r="O32" s="337">
        <f t="shared" si="6"/>
        <v>285.89999999999998</v>
      </c>
      <c r="AA32" s="395">
        <v>21.75</v>
      </c>
      <c r="AB32" s="395"/>
      <c r="AC32" s="396">
        <f t="shared" si="5"/>
        <v>1</v>
      </c>
      <c r="AD32" s="395">
        <v>9</v>
      </c>
      <c r="AE32" s="395">
        <v>22.549999999999997</v>
      </c>
      <c r="AF32" s="395"/>
      <c r="AG32" s="395"/>
      <c r="AH32" s="395"/>
      <c r="AI32" s="395"/>
      <c r="AJ32" s="395"/>
      <c r="AK32" s="395"/>
      <c r="AL32" s="395">
        <v>16.05</v>
      </c>
      <c r="AM32" s="395"/>
    </row>
    <row r="33" spans="2:39">
      <c r="B33" s="380">
        <v>2</v>
      </c>
      <c r="C33" s="348">
        <v>-29</v>
      </c>
      <c r="D33" s="349">
        <f t="shared" si="7"/>
        <v>4.2450142450142447</v>
      </c>
      <c r="E33" s="350">
        <f t="shared" si="0"/>
        <v>22.349999999999998</v>
      </c>
      <c r="F33" s="378">
        <f t="shared" si="8"/>
        <v>0.59999999999999787</v>
      </c>
      <c r="G33" s="381">
        <v>273</v>
      </c>
      <c r="H33" s="352">
        <v>58</v>
      </c>
      <c r="I33" s="338">
        <v>272.2</v>
      </c>
      <c r="J33" s="378">
        <f t="shared" si="2"/>
        <v>-7.0100000000000016</v>
      </c>
      <c r="K33" s="350">
        <f t="shared" si="3"/>
        <v>9.0399999999999991</v>
      </c>
      <c r="L33" s="349">
        <f t="shared" si="4"/>
        <v>1.7169990503323835</v>
      </c>
      <c r="M33" s="348">
        <v>-29</v>
      </c>
      <c r="N33" s="376">
        <v>3</v>
      </c>
      <c r="O33" s="337">
        <f t="shared" si="6"/>
        <v>283.89999999999998</v>
      </c>
      <c r="AA33" s="395">
        <v>21.75</v>
      </c>
      <c r="AB33" s="395"/>
      <c r="AC33" s="396">
        <f t="shared" si="5"/>
        <v>1</v>
      </c>
      <c r="AD33" s="395">
        <v>8.92</v>
      </c>
      <c r="AE33" s="395">
        <v>22.8</v>
      </c>
      <c r="AF33" s="395"/>
      <c r="AG33" s="395"/>
      <c r="AH33" s="395"/>
      <c r="AI33" s="395"/>
      <c r="AJ33" s="395"/>
      <c r="AK33" s="395"/>
      <c r="AL33" s="395">
        <v>16.05</v>
      </c>
      <c r="AM33" s="395"/>
    </row>
    <row r="34" spans="2:39">
      <c r="B34" s="380">
        <v>2</v>
      </c>
      <c r="C34" s="348">
        <v>-29</v>
      </c>
      <c r="D34" s="349">
        <f t="shared" si="7"/>
        <v>4.283000949667616</v>
      </c>
      <c r="E34" s="350">
        <f t="shared" si="0"/>
        <v>22.549999999999997</v>
      </c>
      <c r="F34" s="378">
        <f t="shared" si="8"/>
        <v>0.79999999999999716</v>
      </c>
      <c r="G34" s="381">
        <v>273</v>
      </c>
      <c r="H34" s="352">
        <v>60</v>
      </c>
      <c r="I34" s="338">
        <v>272.2</v>
      </c>
      <c r="J34" s="378">
        <f t="shared" si="2"/>
        <v>-7.0500000000000007</v>
      </c>
      <c r="K34" s="350">
        <f t="shared" si="3"/>
        <v>9</v>
      </c>
      <c r="L34" s="349">
        <f t="shared" si="4"/>
        <v>1.7094017094017095</v>
      </c>
      <c r="M34" s="348">
        <v>-29</v>
      </c>
      <c r="N34" s="376">
        <v>3</v>
      </c>
      <c r="O34" s="337">
        <f t="shared" si="6"/>
        <v>281.89999999999998</v>
      </c>
      <c r="AA34" s="395">
        <v>21.75</v>
      </c>
      <c r="AB34" s="395"/>
      <c r="AC34" s="396">
        <f t="shared" si="5"/>
        <v>1</v>
      </c>
      <c r="AD34" s="395">
        <v>8.86</v>
      </c>
      <c r="AE34" s="395">
        <v>22.986111111111111</v>
      </c>
      <c r="AF34" s="395"/>
      <c r="AG34" s="395"/>
      <c r="AH34" s="395"/>
      <c r="AI34" s="395"/>
      <c r="AJ34" s="395"/>
      <c r="AK34" s="395"/>
      <c r="AL34" s="395">
        <v>16.05</v>
      </c>
      <c r="AM34" s="395"/>
    </row>
    <row r="35" spans="2:39">
      <c r="B35" s="380">
        <v>2</v>
      </c>
      <c r="C35" s="348">
        <v>-29</v>
      </c>
      <c r="D35" s="349">
        <f t="shared" si="7"/>
        <v>4.3304843304843308</v>
      </c>
      <c r="E35" s="350">
        <f t="shared" si="0"/>
        <v>22.8</v>
      </c>
      <c r="F35" s="378">
        <f t="shared" si="8"/>
        <v>1.0500000000000007</v>
      </c>
      <c r="G35" s="381">
        <v>273</v>
      </c>
      <c r="H35" s="352">
        <v>62</v>
      </c>
      <c r="I35" s="338">
        <v>272.2</v>
      </c>
      <c r="J35" s="378">
        <f t="shared" si="2"/>
        <v>-7.1300000000000008</v>
      </c>
      <c r="K35" s="350">
        <f t="shared" si="3"/>
        <v>8.92</v>
      </c>
      <c r="L35" s="349">
        <f t="shared" si="4"/>
        <v>1.6942070275403609</v>
      </c>
      <c r="M35" s="348">
        <v>-29</v>
      </c>
      <c r="N35" s="376">
        <v>3</v>
      </c>
      <c r="O35" s="337">
        <f t="shared" si="6"/>
        <v>279.89999999999998</v>
      </c>
      <c r="AA35" s="395">
        <v>21.75</v>
      </c>
      <c r="AB35" s="395"/>
      <c r="AC35" s="396">
        <f t="shared" si="5"/>
        <v>1</v>
      </c>
      <c r="AD35" s="395">
        <v>8.83</v>
      </c>
      <c r="AE35" s="395">
        <v>23.19</v>
      </c>
      <c r="AF35" s="395"/>
      <c r="AG35" s="395"/>
      <c r="AH35" s="395"/>
      <c r="AI35" s="395"/>
      <c r="AJ35" s="395"/>
      <c r="AK35" s="395"/>
      <c r="AL35" s="395">
        <v>16.05</v>
      </c>
      <c r="AM35" s="395"/>
    </row>
    <row r="36" spans="2:39">
      <c r="B36" s="380">
        <v>2</v>
      </c>
      <c r="C36" s="348">
        <v>-29</v>
      </c>
      <c r="D36" s="349">
        <f t="shared" si="7"/>
        <v>4.3658330695367731</v>
      </c>
      <c r="E36" s="350">
        <f t="shared" si="0"/>
        <v>22.986111111111111</v>
      </c>
      <c r="F36" s="378">
        <f t="shared" si="8"/>
        <v>1.2361111111111107</v>
      </c>
      <c r="G36" s="381">
        <v>273</v>
      </c>
      <c r="H36" s="352">
        <v>64</v>
      </c>
      <c r="I36" s="338">
        <v>272.2</v>
      </c>
      <c r="J36" s="378">
        <f t="shared" si="2"/>
        <v>-7.1900000000000013</v>
      </c>
      <c r="K36" s="350">
        <f t="shared" si="3"/>
        <v>8.86</v>
      </c>
      <c r="L36" s="349">
        <f t="shared" si="4"/>
        <v>1.6828110161443495</v>
      </c>
      <c r="M36" s="348">
        <v>-29</v>
      </c>
      <c r="N36" s="376">
        <v>3</v>
      </c>
      <c r="O36" s="337">
        <f t="shared" si="6"/>
        <v>277.89999999999998</v>
      </c>
      <c r="R36" s="564" t="s">
        <v>314</v>
      </c>
      <c r="S36" s="564"/>
      <c r="T36" s="564"/>
      <c r="U36" s="564"/>
      <c r="V36" s="564"/>
      <c r="W36" s="564"/>
      <c r="X36" s="564"/>
      <c r="Y36" s="564"/>
      <c r="Z36" s="564"/>
      <c r="AB36" s="395"/>
      <c r="AC36" s="396">
        <f t="shared" si="5"/>
        <v>1</v>
      </c>
      <c r="AD36" s="395">
        <v>8.8000000000000007</v>
      </c>
      <c r="AE36" s="395">
        <v>23.42</v>
      </c>
      <c r="AF36" s="395"/>
      <c r="AG36" s="395"/>
      <c r="AH36" s="395"/>
      <c r="AI36" s="395"/>
      <c r="AJ36" s="395"/>
      <c r="AK36" s="395"/>
      <c r="AL36" s="395">
        <v>16.05</v>
      </c>
      <c r="AM36" s="395"/>
    </row>
    <row r="37" spans="2:39">
      <c r="B37" s="380">
        <v>2</v>
      </c>
      <c r="C37" s="348">
        <v>-29</v>
      </c>
      <c r="D37" s="349">
        <f t="shared" si="7"/>
        <v>4.4045584045584052</v>
      </c>
      <c r="E37" s="350">
        <f t="shared" si="0"/>
        <v>23.19</v>
      </c>
      <c r="F37" s="378">
        <f t="shared" si="8"/>
        <v>1.4400000000000013</v>
      </c>
      <c r="G37" s="381">
        <v>273</v>
      </c>
      <c r="H37" s="352">
        <v>66</v>
      </c>
      <c r="I37" s="338">
        <v>272.2</v>
      </c>
      <c r="J37" s="378">
        <f t="shared" si="2"/>
        <v>-7.2200000000000006</v>
      </c>
      <c r="K37" s="350">
        <f t="shared" si="3"/>
        <v>8.83</v>
      </c>
      <c r="L37" s="349">
        <f t="shared" si="4"/>
        <v>1.6771130104463439</v>
      </c>
      <c r="M37" s="348">
        <v>-29</v>
      </c>
      <c r="N37" s="376">
        <v>3</v>
      </c>
      <c r="O37" s="337">
        <f t="shared" si="6"/>
        <v>275.89999999999998</v>
      </c>
      <c r="R37" s="564" t="s">
        <v>313</v>
      </c>
      <c r="S37" s="564"/>
      <c r="T37" s="564"/>
      <c r="U37" s="564"/>
      <c r="V37" s="564"/>
      <c r="W37" s="564">
        <v>16.05</v>
      </c>
      <c r="X37" s="564"/>
      <c r="Y37" s="564"/>
      <c r="Z37" s="564"/>
      <c r="AA37" s="395">
        <v>21.75</v>
      </c>
      <c r="AB37" s="395"/>
      <c r="AC37" s="396">
        <f t="shared" si="5"/>
        <v>1</v>
      </c>
      <c r="AD37" s="395">
        <v>8.77</v>
      </c>
      <c r="AE37" s="395">
        <v>24.17</v>
      </c>
      <c r="AF37" s="395"/>
      <c r="AG37" s="395"/>
      <c r="AH37" s="395"/>
      <c r="AI37" s="395"/>
      <c r="AJ37" s="395"/>
      <c r="AK37" s="395"/>
      <c r="AL37" s="395">
        <v>16.05</v>
      </c>
      <c r="AM37" s="395"/>
    </row>
    <row r="38" spans="2:39">
      <c r="B38" s="380">
        <v>2</v>
      </c>
      <c r="C38" s="348">
        <v>-29</v>
      </c>
      <c r="D38" s="349">
        <f t="shared" si="7"/>
        <v>4.4482431149097819</v>
      </c>
      <c r="E38" s="350">
        <f t="shared" si="0"/>
        <v>23.42</v>
      </c>
      <c r="F38" s="378">
        <f t="shared" si="8"/>
        <v>1.6700000000000017</v>
      </c>
      <c r="G38" s="381">
        <v>273</v>
      </c>
      <c r="H38" s="352">
        <v>68</v>
      </c>
      <c r="I38" s="338">
        <v>272.2</v>
      </c>
      <c r="J38" s="378">
        <f t="shared" si="2"/>
        <v>-7.25</v>
      </c>
      <c r="K38" s="350">
        <f t="shared" si="3"/>
        <v>8.8000000000000007</v>
      </c>
      <c r="L38" s="349">
        <f t="shared" si="4"/>
        <v>1.6714150047483383</v>
      </c>
      <c r="M38" s="348">
        <v>-29</v>
      </c>
      <c r="N38" s="376">
        <v>3</v>
      </c>
      <c r="O38" s="337">
        <f t="shared" si="6"/>
        <v>273.89999999999998</v>
      </c>
      <c r="AA38" s="395">
        <v>21.75</v>
      </c>
      <c r="AB38" s="395">
        <v>21.75</v>
      </c>
      <c r="AC38" s="396">
        <f t="shared" si="5"/>
        <v>1</v>
      </c>
      <c r="AD38" s="395">
        <v>8.7200000000000006</v>
      </c>
      <c r="AE38" s="395">
        <v>24.29</v>
      </c>
      <c r="AF38" s="395"/>
      <c r="AG38" s="395"/>
      <c r="AH38" s="395"/>
      <c r="AI38" s="395"/>
      <c r="AJ38" s="395"/>
      <c r="AK38" s="395"/>
      <c r="AL38" s="395">
        <v>16.05</v>
      </c>
      <c r="AM38" s="395"/>
    </row>
    <row r="39" spans="2:39">
      <c r="B39" s="380">
        <v>2</v>
      </c>
      <c r="C39" s="348">
        <v>-29</v>
      </c>
      <c r="D39" s="349">
        <f t="shared" si="7"/>
        <v>4.5906932573599244</v>
      </c>
      <c r="E39" s="350">
        <f t="shared" si="0"/>
        <v>24.17</v>
      </c>
      <c r="F39" s="378">
        <f t="shared" si="8"/>
        <v>2.4200000000000017</v>
      </c>
      <c r="G39" s="381">
        <v>273</v>
      </c>
      <c r="H39" s="352">
        <v>70</v>
      </c>
      <c r="I39" s="338">
        <v>272.2</v>
      </c>
      <c r="J39" s="378">
        <f t="shared" si="2"/>
        <v>-7.2800000000000011</v>
      </c>
      <c r="K39" s="350">
        <f t="shared" si="3"/>
        <v>8.77</v>
      </c>
      <c r="L39" s="349">
        <f t="shared" si="4"/>
        <v>1.6657169990503324</v>
      </c>
      <c r="M39" s="348">
        <v>-29</v>
      </c>
      <c r="N39" s="376">
        <v>3</v>
      </c>
      <c r="O39" s="337">
        <f t="shared" si="6"/>
        <v>271.89999999999998</v>
      </c>
      <c r="AA39" s="395">
        <v>21.75</v>
      </c>
      <c r="AB39" s="395">
        <v>21.75</v>
      </c>
      <c r="AC39" s="396">
        <f t="shared" si="5"/>
        <v>1</v>
      </c>
      <c r="AD39" s="395">
        <v>9.1199999999999992</v>
      </c>
      <c r="AE39" s="395">
        <v>24.25</v>
      </c>
      <c r="AF39" s="395"/>
      <c r="AG39" s="395"/>
      <c r="AH39" s="395"/>
      <c r="AI39" s="395"/>
      <c r="AJ39" s="395"/>
      <c r="AK39" s="395"/>
      <c r="AL39" s="395">
        <v>16.05</v>
      </c>
      <c r="AM39" s="395"/>
    </row>
    <row r="40" spans="2:39">
      <c r="B40" s="380">
        <v>2</v>
      </c>
      <c r="C40" s="348">
        <v>-29</v>
      </c>
      <c r="D40" s="349">
        <f t="shared" si="7"/>
        <v>4.6134852801519468</v>
      </c>
      <c r="E40" s="350">
        <f t="shared" si="0"/>
        <v>24.29</v>
      </c>
      <c r="F40" s="378">
        <f t="shared" si="8"/>
        <v>2.5399999999999991</v>
      </c>
      <c r="G40" s="381">
        <v>273</v>
      </c>
      <c r="H40" s="352">
        <v>72</v>
      </c>
      <c r="I40" s="338">
        <v>272.2</v>
      </c>
      <c r="J40" s="378">
        <f t="shared" si="2"/>
        <v>-7.33</v>
      </c>
      <c r="K40" s="350">
        <f t="shared" si="3"/>
        <v>8.7200000000000006</v>
      </c>
      <c r="L40" s="349">
        <f t="shared" si="4"/>
        <v>1.6562203228869898</v>
      </c>
      <c r="M40" s="348">
        <v>-29</v>
      </c>
      <c r="N40" s="376">
        <v>3</v>
      </c>
      <c r="O40" s="337">
        <f t="shared" si="6"/>
        <v>269.89999999999998</v>
      </c>
      <c r="AA40" s="395">
        <v>21.75</v>
      </c>
      <c r="AB40" s="395">
        <v>21.75</v>
      </c>
      <c r="AC40" s="396">
        <f t="shared" si="5"/>
        <v>1</v>
      </c>
      <c r="AD40" s="395">
        <v>9.01</v>
      </c>
      <c r="AE40" s="395">
        <v>24.9</v>
      </c>
      <c r="AF40" s="395"/>
      <c r="AG40" s="395"/>
      <c r="AH40" s="395"/>
      <c r="AI40" s="395"/>
      <c r="AJ40" s="395"/>
      <c r="AK40" s="395"/>
      <c r="AL40" s="395">
        <v>16.05</v>
      </c>
      <c r="AM40" s="395"/>
    </row>
    <row r="41" spans="2:39">
      <c r="B41" s="380">
        <v>2</v>
      </c>
      <c r="C41" s="348">
        <v>-29</v>
      </c>
      <c r="D41" s="349">
        <f t="shared" si="7"/>
        <v>4.6058879392212733</v>
      </c>
      <c r="E41" s="350">
        <f t="shared" si="0"/>
        <v>24.25</v>
      </c>
      <c r="F41" s="378">
        <f t="shared" si="8"/>
        <v>2.5</v>
      </c>
      <c r="G41" s="381">
        <v>273</v>
      </c>
      <c r="H41" s="352">
        <v>74</v>
      </c>
      <c r="I41" s="381">
        <v>273</v>
      </c>
      <c r="J41" s="378">
        <f t="shared" si="2"/>
        <v>-6.9300000000000015</v>
      </c>
      <c r="K41" s="350">
        <f t="shared" si="3"/>
        <v>9.1199999999999992</v>
      </c>
      <c r="L41" s="349">
        <f t="shared" si="4"/>
        <v>1.7321937321937322</v>
      </c>
      <c r="M41" s="348">
        <v>-29</v>
      </c>
      <c r="N41" s="376">
        <v>3</v>
      </c>
      <c r="O41" s="337">
        <f t="shared" si="6"/>
        <v>267.89999999999998</v>
      </c>
      <c r="AA41" s="395">
        <v>21.75</v>
      </c>
      <c r="AB41" s="395">
        <v>21.75</v>
      </c>
      <c r="AC41" s="396">
        <f t="shared" si="5"/>
        <v>1</v>
      </c>
      <c r="AD41" s="395">
        <v>8.8800000000000008</v>
      </c>
      <c r="AE41" s="395">
        <v>25.4</v>
      </c>
      <c r="AF41" s="395"/>
      <c r="AG41" s="395"/>
      <c r="AH41" s="395"/>
      <c r="AI41" s="395"/>
      <c r="AJ41" s="395"/>
      <c r="AK41" s="395"/>
      <c r="AL41" s="395">
        <v>16.05</v>
      </c>
      <c r="AM41" s="395"/>
    </row>
    <row r="42" spans="2:39">
      <c r="B42" s="380">
        <v>2</v>
      </c>
      <c r="C42" s="348">
        <v>-29</v>
      </c>
      <c r="D42" s="349">
        <f t="shared" si="7"/>
        <v>4.7293447293447297</v>
      </c>
      <c r="E42" s="350">
        <f t="shared" si="0"/>
        <v>24.9</v>
      </c>
      <c r="F42" s="378">
        <f t="shared" si="8"/>
        <v>3.1499999999999986</v>
      </c>
      <c r="G42" s="381">
        <v>273</v>
      </c>
      <c r="H42" s="352">
        <v>76</v>
      </c>
      <c r="I42" s="381">
        <v>273</v>
      </c>
      <c r="J42" s="378">
        <f t="shared" si="2"/>
        <v>-7.0400000000000009</v>
      </c>
      <c r="K42" s="350">
        <f t="shared" si="3"/>
        <v>9.01</v>
      </c>
      <c r="L42" s="349">
        <f t="shared" si="4"/>
        <v>1.7113010446343779</v>
      </c>
      <c r="M42" s="348">
        <v>-29</v>
      </c>
      <c r="N42" s="376">
        <v>3</v>
      </c>
      <c r="O42" s="337">
        <f t="shared" si="6"/>
        <v>265.89999999999998</v>
      </c>
      <c r="AA42" s="395">
        <v>21.75</v>
      </c>
      <c r="AB42" s="395">
        <v>21.75</v>
      </c>
      <c r="AC42" s="396">
        <f t="shared" si="5"/>
        <v>1</v>
      </c>
      <c r="AD42" s="395">
        <v>8.68</v>
      </c>
      <c r="AE42" s="395">
        <v>25.05</v>
      </c>
      <c r="AF42" s="395"/>
      <c r="AG42" s="395"/>
      <c r="AH42" s="395"/>
      <c r="AI42" s="395"/>
      <c r="AJ42" s="395"/>
      <c r="AK42" s="395"/>
      <c r="AL42" s="395">
        <v>16.05</v>
      </c>
      <c r="AM42" s="395"/>
    </row>
    <row r="43" spans="2:39">
      <c r="B43" s="380">
        <v>2</v>
      </c>
      <c r="C43" s="348">
        <v>-29</v>
      </c>
      <c r="D43" s="349">
        <f t="shared" si="7"/>
        <v>4.8243114909781575</v>
      </c>
      <c r="E43" s="350">
        <f t="shared" si="0"/>
        <v>25.4</v>
      </c>
      <c r="F43" s="378">
        <f t="shared" si="8"/>
        <v>3.6499999999999986</v>
      </c>
      <c r="G43" s="381">
        <v>273</v>
      </c>
      <c r="H43" s="352">
        <v>78</v>
      </c>
      <c r="I43" s="381">
        <v>273</v>
      </c>
      <c r="J43" s="378">
        <f t="shared" si="2"/>
        <v>-7.17</v>
      </c>
      <c r="K43" s="350">
        <f t="shared" si="3"/>
        <v>8.8800000000000008</v>
      </c>
      <c r="L43" s="349">
        <f t="shared" si="4"/>
        <v>1.6866096866096869</v>
      </c>
      <c r="M43" s="348">
        <v>-29</v>
      </c>
      <c r="N43" s="376">
        <v>3</v>
      </c>
      <c r="O43" s="337">
        <f t="shared" si="6"/>
        <v>263.89999999999998</v>
      </c>
      <c r="AA43" s="395">
        <v>21.75</v>
      </c>
      <c r="AB43" s="395">
        <v>21.75</v>
      </c>
      <c r="AC43" s="396">
        <f t="shared" si="5"/>
        <v>1</v>
      </c>
      <c r="AD43" s="395">
        <v>8.6</v>
      </c>
      <c r="AE43" s="395">
        <v>25.43</v>
      </c>
      <c r="AF43" s="395"/>
      <c r="AG43" s="395"/>
      <c r="AH43" s="395"/>
      <c r="AI43" s="395"/>
      <c r="AJ43" s="395"/>
      <c r="AK43" s="395"/>
      <c r="AL43" s="395">
        <v>16.05</v>
      </c>
      <c r="AM43" s="395"/>
    </row>
    <row r="44" spans="2:39">
      <c r="B44" s="380">
        <v>2</v>
      </c>
      <c r="C44" s="348">
        <v>-29</v>
      </c>
      <c r="D44" s="349">
        <f t="shared" si="7"/>
        <v>4.7578347578347584</v>
      </c>
      <c r="E44" s="350">
        <f t="shared" si="0"/>
        <v>25.05</v>
      </c>
      <c r="F44" s="378">
        <f t="shared" si="8"/>
        <v>3.3000000000000007</v>
      </c>
      <c r="G44" s="381">
        <v>273</v>
      </c>
      <c r="H44" s="352">
        <v>80</v>
      </c>
      <c r="I44" s="381">
        <v>273</v>
      </c>
      <c r="J44" s="378">
        <f t="shared" si="2"/>
        <v>-7.370000000000001</v>
      </c>
      <c r="K44" s="350">
        <f t="shared" si="3"/>
        <v>8.68</v>
      </c>
      <c r="L44" s="349">
        <f t="shared" si="4"/>
        <v>1.6486229819563154</v>
      </c>
      <c r="M44" s="348">
        <v>-29</v>
      </c>
      <c r="N44" s="376">
        <v>3</v>
      </c>
      <c r="O44" s="337">
        <f t="shared" si="6"/>
        <v>261.89999999999998</v>
      </c>
      <c r="AA44" s="395">
        <v>21.75</v>
      </c>
      <c r="AB44" s="395">
        <v>21.75</v>
      </c>
      <c r="AC44" s="396">
        <f t="shared" si="5"/>
        <v>1</v>
      </c>
      <c r="AD44" s="395">
        <v>8.6</v>
      </c>
      <c r="AE44" s="395">
        <v>25.75</v>
      </c>
      <c r="AF44" s="395"/>
      <c r="AG44" s="395"/>
      <c r="AH44" s="395"/>
      <c r="AI44" s="395"/>
      <c r="AJ44" s="395"/>
      <c r="AK44" s="395"/>
      <c r="AL44" s="395">
        <v>16.05</v>
      </c>
      <c r="AM44" s="395"/>
    </row>
    <row r="45" spans="2:39">
      <c r="B45" s="380">
        <v>2</v>
      </c>
      <c r="C45" s="348">
        <v>-29</v>
      </c>
      <c r="D45" s="349">
        <f t="shared" si="7"/>
        <v>4.8300094966761637</v>
      </c>
      <c r="E45" s="350">
        <f t="shared" si="0"/>
        <v>25.43</v>
      </c>
      <c r="F45" s="378">
        <f t="shared" si="8"/>
        <v>3.6799999999999997</v>
      </c>
      <c r="G45" s="381">
        <v>273.8</v>
      </c>
      <c r="H45" s="352">
        <v>82</v>
      </c>
      <c r="I45" s="381">
        <v>273</v>
      </c>
      <c r="J45" s="378">
        <f t="shared" si="2"/>
        <v>-7.4500000000000011</v>
      </c>
      <c r="K45" s="350">
        <f t="shared" si="3"/>
        <v>8.6</v>
      </c>
      <c r="L45" s="349">
        <f t="shared" si="4"/>
        <v>1.6334283000949668</v>
      </c>
      <c r="M45" s="348">
        <v>-29</v>
      </c>
      <c r="N45" s="376">
        <v>3</v>
      </c>
      <c r="O45" s="337">
        <f t="shared" si="6"/>
        <v>259.89999999999998</v>
      </c>
      <c r="AA45" s="395">
        <v>21.75</v>
      </c>
      <c r="AB45" s="395">
        <v>21.75</v>
      </c>
      <c r="AC45" s="396">
        <f t="shared" si="5"/>
        <v>1</v>
      </c>
      <c r="AD45" s="395">
        <v>8.6</v>
      </c>
      <c r="AE45" s="395">
        <v>26</v>
      </c>
      <c r="AF45" s="395"/>
      <c r="AG45" s="395"/>
      <c r="AH45" s="395"/>
      <c r="AI45" s="395"/>
      <c r="AJ45" s="395"/>
      <c r="AK45" s="395"/>
      <c r="AL45" s="395">
        <v>16.05</v>
      </c>
      <c r="AM45" s="395"/>
    </row>
    <row r="46" spans="2:39">
      <c r="B46" s="380">
        <v>2</v>
      </c>
      <c r="C46" s="348">
        <v>-29</v>
      </c>
      <c r="D46" s="349">
        <f t="shared" si="7"/>
        <v>4.8907882241215574</v>
      </c>
      <c r="E46" s="350">
        <f t="shared" si="0"/>
        <v>25.75</v>
      </c>
      <c r="F46" s="378">
        <f t="shared" si="8"/>
        <v>4</v>
      </c>
      <c r="G46" s="381">
        <v>273.8</v>
      </c>
      <c r="H46" s="352">
        <v>84</v>
      </c>
      <c r="I46" s="381">
        <v>273</v>
      </c>
      <c r="J46" s="378">
        <f t="shared" si="2"/>
        <v>-7.4500000000000011</v>
      </c>
      <c r="K46" s="350">
        <f t="shared" si="3"/>
        <v>8.6</v>
      </c>
      <c r="L46" s="349">
        <f t="shared" si="4"/>
        <v>1.6334283000949668</v>
      </c>
      <c r="M46" s="348">
        <v>-29</v>
      </c>
      <c r="N46" s="376">
        <v>3</v>
      </c>
      <c r="O46" s="337">
        <f t="shared" si="6"/>
        <v>257.89999999999998</v>
      </c>
      <c r="AA46" s="395">
        <v>21.75</v>
      </c>
      <c r="AB46" s="395">
        <v>21.75</v>
      </c>
      <c r="AC46" s="396">
        <f t="shared" si="5"/>
        <v>1</v>
      </c>
      <c r="AD46" s="395">
        <v>8.6</v>
      </c>
      <c r="AE46" s="395">
        <v>26.33</v>
      </c>
      <c r="AF46" s="395"/>
      <c r="AG46" s="395"/>
      <c r="AH46" s="395"/>
      <c r="AI46" s="395"/>
      <c r="AJ46" s="395"/>
      <c r="AK46" s="395"/>
      <c r="AL46" s="395">
        <v>16.05</v>
      </c>
      <c r="AM46" s="395"/>
    </row>
    <row r="47" spans="2:39">
      <c r="B47" s="380">
        <v>2</v>
      </c>
      <c r="C47" s="348">
        <v>-29</v>
      </c>
      <c r="D47" s="349">
        <f t="shared" si="7"/>
        <v>4.9382716049382722</v>
      </c>
      <c r="E47" s="350">
        <f t="shared" si="0"/>
        <v>26</v>
      </c>
      <c r="F47" s="378">
        <f t="shared" si="8"/>
        <v>4.25</v>
      </c>
      <c r="G47" s="381">
        <v>273.8</v>
      </c>
      <c r="H47" s="352">
        <v>86</v>
      </c>
      <c r="I47" s="381">
        <v>273</v>
      </c>
      <c r="J47" s="378">
        <f t="shared" si="2"/>
        <v>-7.4500000000000011</v>
      </c>
      <c r="K47" s="350">
        <f t="shared" si="3"/>
        <v>8.6</v>
      </c>
      <c r="L47" s="349">
        <f t="shared" si="4"/>
        <v>1.6334283000949668</v>
      </c>
      <c r="M47" s="348">
        <v>-29</v>
      </c>
      <c r="N47" s="376">
        <v>3</v>
      </c>
      <c r="O47" s="337">
        <f t="shared" si="6"/>
        <v>255.89999999999998</v>
      </c>
      <c r="AA47" s="395">
        <v>21.75</v>
      </c>
      <c r="AB47" s="395">
        <v>21.75</v>
      </c>
      <c r="AC47" s="396">
        <f t="shared" si="5"/>
        <v>1</v>
      </c>
      <c r="AD47" s="395">
        <v>8.6</v>
      </c>
      <c r="AE47" s="395">
        <v>26.62</v>
      </c>
      <c r="AF47" s="395"/>
      <c r="AG47" s="395"/>
      <c r="AH47" s="395"/>
      <c r="AI47" s="395"/>
      <c r="AJ47" s="395"/>
      <c r="AK47" s="395"/>
      <c r="AL47" s="395">
        <v>16.05</v>
      </c>
      <c r="AM47" s="395"/>
    </row>
    <row r="48" spans="2:39">
      <c r="B48" s="380">
        <v>2</v>
      </c>
      <c r="C48" s="348">
        <v>-29</v>
      </c>
      <c r="D48" s="349">
        <f t="shared" si="7"/>
        <v>5.0009496676163341</v>
      </c>
      <c r="E48" s="350">
        <f t="shared" si="0"/>
        <v>26.33</v>
      </c>
      <c r="F48" s="378">
        <f t="shared" si="8"/>
        <v>4.5799999999999983</v>
      </c>
      <c r="G48" s="381">
        <v>273.8</v>
      </c>
      <c r="H48" s="352">
        <v>88</v>
      </c>
      <c r="I48" s="381">
        <v>273</v>
      </c>
      <c r="J48" s="378">
        <f t="shared" si="2"/>
        <v>-7.4500000000000011</v>
      </c>
      <c r="K48" s="350">
        <f t="shared" si="3"/>
        <v>8.6</v>
      </c>
      <c r="L48" s="349">
        <f t="shared" si="4"/>
        <v>1.6334283000949668</v>
      </c>
      <c r="M48" s="348">
        <v>-29</v>
      </c>
      <c r="N48" s="376">
        <v>3</v>
      </c>
      <c r="O48" s="337">
        <f t="shared" si="6"/>
        <v>253.89999999999998</v>
      </c>
      <c r="AA48" s="395">
        <v>21.75</v>
      </c>
      <c r="AB48" s="395">
        <v>21.75</v>
      </c>
      <c r="AC48" s="396">
        <f t="shared" si="5"/>
        <v>1</v>
      </c>
      <c r="AD48" s="395"/>
      <c r="AE48" s="395"/>
      <c r="AF48" s="395"/>
      <c r="AG48" s="395"/>
      <c r="AH48" s="395"/>
      <c r="AI48" s="395"/>
      <c r="AJ48" s="395"/>
      <c r="AK48" s="395"/>
      <c r="AL48" s="395">
        <v>16.05</v>
      </c>
      <c r="AM48" s="395"/>
    </row>
    <row r="49" spans="1:39" ht="15.75" thickBot="1">
      <c r="B49" s="382">
        <v>3</v>
      </c>
      <c r="C49" s="348">
        <v>-29.5</v>
      </c>
      <c r="D49" s="383">
        <f t="shared" si="7"/>
        <v>4.6723646723646732</v>
      </c>
      <c r="E49" s="384">
        <v>24.6</v>
      </c>
      <c r="F49" s="378">
        <f t="shared" si="8"/>
        <v>2.8500000000000014</v>
      </c>
      <c r="G49" s="385">
        <v>273.8</v>
      </c>
      <c r="H49" s="352">
        <v>90</v>
      </c>
      <c r="I49" s="385">
        <v>273.8</v>
      </c>
      <c r="J49" s="386">
        <f t="shared" si="2"/>
        <v>-7.4500000000000011</v>
      </c>
      <c r="K49" s="350">
        <f t="shared" si="3"/>
        <v>8.6</v>
      </c>
      <c r="L49" s="387">
        <f t="shared" si="4"/>
        <v>1.6334283000949668</v>
      </c>
      <c r="M49" s="388">
        <v>-29</v>
      </c>
      <c r="N49" s="389">
        <v>3</v>
      </c>
      <c r="O49" s="337">
        <v>251.9</v>
      </c>
      <c r="AA49" s="395">
        <v>21.75</v>
      </c>
      <c r="AB49" s="395">
        <v>21.75</v>
      </c>
      <c r="AC49" s="396">
        <f t="shared" si="5"/>
        <v>1</v>
      </c>
      <c r="AD49" s="395"/>
      <c r="AE49" s="395"/>
      <c r="AF49" s="395"/>
      <c r="AG49" s="395"/>
      <c r="AH49" s="395"/>
      <c r="AI49" s="395"/>
      <c r="AJ49" s="395"/>
      <c r="AK49" s="395"/>
      <c r="AL49" s="395">
        <v>16.05</v>
      </c>
      <c r="AM49" s="395"/>
    </row>
    <row r="50" spans="1:39" ht="15.75" thickBot="1">
      <c r="A50" t="s">
        <v>289</v>
      </c>
      <c r="B50" s="600" t="s">
        <v>292</v>
      </c>
      <c r="C50" s="601"/>
      <c r="D50" s="601"/>
      <c r="E50" s="601"/>
      <c r="F50" s="601"/>
      <c r="G50" s="602"/>
      <c r="H50" s="390"/>
      <c r="I50" s="600" t="s">
        <v>293</v>
      </c>
      <c r="J50" s="601"/>
      <c r="K50" s="601"/>
      <c r="L50" s="601"/>
      <c r="M50" s="601"/>
      <c r="N50" s="602"/>
      <c r="AA50" s="395">
        <v>21.75</v>
      </c>
      <c r="AB50" s="395">
        <v>21.75</v>
      </c>
      <c r="AC50" s="396">
        <f t="shared" si="5"/>
        <v>1</v>
      </c>
      <c r="AD50" s="395"/>
      <c r="AE50" s="395"/>
      <c r="AF50" s="395"/>
      <c r="AG50" s="395"/>
      <c r="AH50" s="395"/>
      <c r="AI50" s="395"/>
      <c r="AJ50" s="395"/>
      <c r="AK50" s="395"/>
      <c r="AL50" s="395">
        <v>16.05</v>
      </c>
      <c r="AM50" s="395"/>
    </row>
    <row r="51" spans="1:39">
      <c r="A51">
        <v>71.900000000000006</v>
      </c>
      <c r="B51" s="382">
        <v>3</v>
      </c>
      <c r="C51" s="348">
        <v>-29.5</v>
      </c>
      <c r="D51" s="383">
        <f t="shared" ref="D51:D95" si="9">E51/5.265</f>
        <v>4.6723646723646732</v>
      </c>
      <c r="E51" s="384">
        <v>24.6</v>
      </c>
      <c r="F51" s="378">
        <f t="shared" ref="F51:F96" si="10">E51-AB59</f>
        <v>2.8500000000000014</v>
      </c>
      <c r="G51" s="391">
        <v>273.8</v>
      </c>
      <c r="H51" s="352">
        <v>90</v>
      </c>
      <c r="I51" s="391">
        <v>273.8</v>
      </c>
      <c r="J51" s="392">
        <f t="shared" ref="J51:J96" si="11">K51-AL49</f>
        <v>-7.4500000000000011</v>
      </c>
      <c r="K51" s="384">
        <v>8.6</v>
      </c>
      <c r="L51" s="383">
        <f t="shared" ref="L51:L96" si="12">K51/5.265</f>
        <v>1.6334283000949668</v>
      </c>
      <c r="M51" s="393">
        <v>-29</v>
      </c>
      <c r="N51" s="382">
        <v>3</v>
      </c>
      <c r="O51" s="337">
        <v>251.9</v>
      </c>
      <c r="AA51" s="395">
        <v>21.75</v>
      </c>
      <c r="AB51" s="395">
        <v>21.75</v>
      </c>
      <c r="AC51" s="396">
        <f t="shared" si="5"/>
        <v>1</v>
      </c>
      <c r="AD51" s="395"/>
      <c r="AE51" s="395"/>
      <c r="AF51" s="395"/>
      <c r="AG51" s="395"/>
      <c r="AH51" s="395"/>
      <c r="AI51" s="395"/>
      <c r="AJ51" s="395"/>
      <c r="AK51" s="395"/>
      <c r="AL51" s="395">
        <v>16.05</v>
      </c>
      <c r="AM51" s="395"/>
    </row>
    <row r="52" spans="1:39">
      <c r="A52">
        <f>A51+2</f>
        <v>73.900000000000006</v>
      </c>
      <c r="B52" s="382">
        <v>3</v>
      </c>
      <c r="C52" s="348">
        <v>-29.5</v>
      </c>
      <c r="D52" s="383">
        <f t="shared" si="9"/>
        <v>4.6685660018993351</v>
      </c>
      <c r="E52" s="350">
        <v>24.58</v>
      </c>
      <c r="F52" s="378">
        <f t="shared" si="10"/>
        <v>2.8299999999999983</v>
      </c>
      <c r="G52" s="338">
        <v>274.60000000000002</v>
      </c>
      <c r="H52" s="352">
        <f>H51-2</f>
        <v>88</v>
      </c>
      <c r="I52" s="363">
        <v>273.8</v>
      </c>
      <c r="J52" s="392">
        <f t="shared" si="11"/>
        <v>-7.3000000000000007</v>
      </c>
      <c r="K52" s="350">
        <v>8.75</v>
      </c>
      <c r="L52" s="349">
        <f t="shared" si="12"/>
        <v>1.6619183285849954</v>
      </c>
      <c r="M52" s="393">
        <v>-29</v>
      </c>
      <c r="N52" s="382">
        <v>3</v>
      </c>
      <c r="O52" s="337">
        <f>O51-2</f>
        <v>249.9</v>
      </c>
      <c r="AA52" s="395">
        <v>21.75</v>
      </c>
      <c r="AB52" s="395">
        <v>21.75</v>
      </c>
      <c r="AC52" s="396">
        <f t="shared" si="5"/>
        <v>1</v>
      </c>
      <c r="AD52" s="395"/>
      <c r="AE52" s="395"/>
      <c r="AF52" s="395"/>
      <c r="AG52" s="395"/>
      <c r="AH52" s="395"/>
      <c r="AI52" s="395"/>
      <c r="AJ52" s="395"/>
      <c r="AK52" s="395"/>
      <c r="AL52" s="395">
        <v>16.05</v>
      </c>
      <c r="AM52" s="395"/>
    </row>
    <row r="53" spans="1:39">
      <c r="A53">
        <f t="shared" ref="A53:A96" si="13">A52+2</f>
        <v>75.900000000000006</v>
      </c>
      <c r="B53" s="382">
        <v>3</v>
      </c>
      <c r="C53" s="348">
        <v>-29.5</v>
      </c>
      <c r="D53" s="383">
        <f t="shared" si="9"/>
        <v>4.6628679962013297</v>
      </c>
      <c r="E53" s="350">
        <v>24.55</v>
      </c>
      <c r="F53" s="378">
        <f t="shared" si="10"/>
        <v>2.8000000000000007</v>
      </c>
      <c r="G53" s="338">
        <v>274.60000000000002</v>
      </c>
      <c r="H53" s="352">
        <f t="shared" ref="H53:H96" si="14">H52-2</f>
        <v>86</v>
      </c>
      <c r="I53" s="363">
        <v>273.8</v>
      </c>
      <c r="J53" s="392">
        <f t="shared" si="11"/>
        <v>-7.25</v>
      </c>
      <c r="K53" s="350">
        <v>8.8000000000000007</v>
      </c>
      <c r="L53" s="349">
        <f t="shared" si="12"/>
        <v>1.6714150047483383</v>
      </c>
      <c r="M53" s="393">
        <v>-29</v>
      </c>
      <c r="N53" s="382">
        <v>3</v>
      </c>
      <c r="O53" s="337">
        <f t="shared" ref="O53:O96" si="15">O52-2</f>
        <v>247.9</v>
      </c>
      <c r="AA53" s="395">
        <v>21.75</v>
      </c>
      <c r="AB53" s="395">
        <v>21.75</v>
      </c>
      <c r="AC53" s="396">
        <f t="shared" si="5"/>
        <v>1</v>
      </c>
      <c r="AD53" s="395"/>
      <c r="AE53" s="395"/>
      <c r="AF53" s="395"/>
      <c r="AG53" s="395"/>
      <c r="AH53" s="395"/>
      <c r="AI53" s="395"/>
      <c r="AJ53" s="395"/>
      <c r="AK53" s="395"/>
      <c r="AL53" s="395">
        <v>16.05</v>
      </c>
      <c r="AM53" s="395"/>
    </row>
    <row r="54" spans="1:39">
      <c r="A54">
        <f t="shared" si="13"/>
        <v>77.900000000000006</v>
      </c>
      <c r="B54" s="382">
        <v>3</v>
      </c>
      <c r="C54" s="348">
        <v>-29.5</v>
      </c>
      <c r="D54" s="383">
        <f t="shared" si="9"/>
        <v>4.6552706552706562</v>
      </c>
      <c r="E54" s="350">
        <v>24.51</v>
      </c>
      <c r="F54" s="378">
        <f t="shared" si="10"/>
        <v>2.7600000000000016</v>
      </c>
      <c r="G54" s="338">
        <v>274.60000000000002</v>
      </c>
      <c r="H54" s="352">
        <f t="shared" si="14"/>
        <v>84</v>
      </c>
      <c r="I54" s="363">
        <v>273.8</v>
      </c>
      <c r="J54" s="392">
        <f t="shared" si="11"/>
        <v>-7.2100000000000009</v>
      </c>
      <c r="K54" s="350">
        <v>8.84</v>
      </c>
      <c r="L54" s="349">
        <f t="shared" si="12"/>
        <v>1.6790123456790125</v>
      </c>
      <c r="M54" s="393">
        <v>-29</v>
      </c>
      <c r="N54" s="382">
        <v>3</v>
      </c>
      <c r="O54" s="337">
        <f t="shared" si="15"/>
        <v>245.9</v>
      </c>
      <c r="AA54" s="395">
        <v>21.75</v>
      </c>
      <c r="AB54" s="395">
        <v>21.75</v>
      </c>
      <c r="AC54" s="396">
        <f t="shared" si="5"/>
        <v>1</v>
      </c>
      <c r="AD54" s="395"/>
      <c r="AE54" s="395"/>
      <c r="AF54" s="395"/>
      <c r="AG54" s="395"/>
      <c r="AH54" s="395"/>
      <c r="AI54" s="395"/>
      <c r="AJ54" s="395"/>
      <c r="AK54" s="395"/>
      <c r="AL54" s="395">
        <v>16.05</v>
      </c>
      <c r="AM54" s="395"/>
    </row>
    <row r="55" spans="1:39">
      <c r="A55">
        <f t="shared" si="13"/>
        <v>79.900000000000006</v>
      </c>
      <c r="B55" s="382">
        <v>3</v>
      </c>
      <c r="C55" s="348">
        <v>-29.5</v>
      </c>
      <c r="D55" s="383">
        <f t="shared" si="9"/>
        <v>4.6742640075973414</v>
      </c>
      <c r="E55" s="350">
        <v>24.61</v>
      </c>
      <c r="F55" s="378">
        <f t="shared" si="10"/>
        <v>2.8599999999999994</v>
      </c>
      <c r="G55" s="338">
        <v>274.60000000000002</v>
      </c>
      <c r="H55" s="352">
        <f t="shared" si="14"/>
        <v>82</v>
      </c>
      <c r="I55" s="363">
        <v>273.8</v>
      </c>
      <c r="J55" s="392">
        <f t="shared" si="11"/>
        <v>-7.1000000000000014</v>
      </c>
      <c r="K55" s="350">
        <v>8.9499999999999993</v>
      </c>
      <c r="L55" s="349">
        <f t="shared" si="12"/>
        <v>1.6999050332383665</v>
      </c>
      <c r="M55" s="393">
        <v>-29</v>
      </c>
      <c r="N55" s="382">
        <v>3</v>
      </c>
      <c r="O55" s="337">
        <f t="shared" si="15"/>
        <v>243.9</v>
      </c>
      <c r="AA55" s="395">
        <v>21.75</v>
      </c>
      <c r="AB55" s="395">
        <v>21.75</v>
      </c>
      <c r="AC55" s="396">
        <f t="shared" si="5"/>
        <v>1</v>
      </c>
      <c r="AD55" s="395"/>
      <c r="AE55" s="395"/>
      <c r="AF55" s="395"/>
      <c r="AG55" s="395"/>
      <c r="AH55" s="395"/>
      <c r="AI55" s="395"/>
      <c r="AJ55" s="395"/>
      <c r="AK55" s="395"/>
      <c r="AL55" s="395">
        <v>16.05</v>
      </c>
      <c r="AM55" s="395"/>
    </row>
    <row r="56" spans="1:39">
      <c r="A56">
        <f t="shared" si="13"/>
        <v>81.900000000000006</v>
      </c>
      <c r="B56" s="382">
        <v>3</v>
      </c>
      <c r="C56" s="348">
        <v>-29.5</v>
      </c>
      <c r="D56" s="383">
        <f t="shared" si="9"/>
        <v>4.683760683760684</v>
      </c>
      <c r="E56" s="350">
        <v>24.66</v>
      </c>
      <c r="F56" s="378">
        <f t="shared" si="10"/>
        <v>2.91</v>
      </c>
      <c r="G56" s="338">
        <v>274.60000000000002</v>
      </c>
      <c r="H56" s="352">
        <f t="shared" si="14"/>
        <v>80</v>
      </c>
      <c r="I56" s="363">
        <v>273.8</v>
      </c>
      <c r="J56" s="392">
        <f t="shared" si="11"/>
        <v>-6.8800000000000008</v>
      </c>
      <c r="K56" s="350">
        <v>9.17</v>
      </c>
      <c r="L56" s="349">
        <f t="shared" si="12"/>
        <v>1.7416904083570752</v>
      </c>
      <c r="M56" s="393">
        <v>-29</v>
      </c>
      <c r="N56" s="382">
        <v>3</v>
      </c>
      <c r="O56" s="337">
        <f t="shared" si="15"/>
        <v>241.9</v>
      </c>
      <c r="AA56" s="395">
        <v>21.75</v>
      </c>
      <c r="AB56" s="395">
        <v>21.75</v>
      </c>
      <c r="AC56" s="396">
        <f t="shared" si="5"/>
        <v>1</v>
      </c>
      <c r="AD56" s="395"/>
      <c r="AE56" s="395"/>
      <c r="AF56" s="395"/>
      <c r="AG56" s="395"/>
      <c r="AH56" s="395"/>
      <c r="AI56" s="395"/>
      <c r="AJ56" s="395"/>
      <c r="AK56" s="395"/>
      <c r="AL56" s="395">
        <v>16.05</v>
      </c>
      <c r="AM56" s="395"/>
    </row>
    <row r="57" spans="1:39">
      <c r="A57">
        <f t="shared" si="13"/>
        <v>83.9</v>
      </c>
      <c r="B57" s="382">
        <v>3</v>
      </c>
      <c r="C57" s="348">
        <v>-29.5</v>
      </c>
      <c r="D57" s="383">
        <f t="shared" si="9"/>
        <v>4.6723646723646732</v>
      </c>
      <c r="E57" s="350">
        <v>24.6</v>
      </c>
      <c r="F57" s="378">
        <f t="shared" si="10"/>
        <v>2.8500000000000014</v>
      </c>
      <c r="G57" s="338">
        <v>274.60000000000002</v>
      </c>
      <c r="H57" s="352">
        <f t="shared" si="14"/>
        <v>78</v>
      </c>
      <c r="I57" s="363">
        <v>273.8</v>
      </c>
      <c r="J57" s="392">
        <f t="shared" si="11"/>
        <v>-6.65</v>
      </c>
      <c r="K57" s="350">
        <v>9.4</v>
      </c>
      <c r="L57" s="349">
        <f t="shared" si="12"/>
        <v>1.7853751187084521</v>
      </c>
      <c r="M57" s="393">
        <v>-29</v>
      </c>
      <c r="N57" s="382">
        <v>3</v>
      </c>
      <c r="O57" s="337">
        <f t="shared" si="15"/>
        <v>239.9</v>
      </c>
      <c r="AA57" s="395">
        <v>21.75</v>
      </c>
      <c r="AB57" s="395">
        <v>21.75</v>
      </c>
      <c r="AC57" s="396">
        <f t="shared" si="5"/>
        <v>1</v>
      </c>
      <c r="AD57" s="395"/>
      <c r="AE57" s="395"/>
      <c r="AF57" s="395"/>
      <c r="AG57" s="395"/>
      <c r="AH57" s="395"/>
      <c r="AI57" s="395"/>
      <c r="AJ57" s="395"/>
      <c r="AK57" s="395"/>
      <c r="AL57" s="395">
        <v>16.05</v>
      </c>
      <c r="AM57" s="395"/>
    </row>
    <row r="58" spans="1:39">
      <c r="A58">
        <f t="shared" si="13"/>
        <v>85.9</v>
      </c>
      <c r="B58" s="382">
        <v>3</v>
      </c>
      <c r="C58" s="348">
        <v>-29.5</v>
      </c>
      <c r="D58" s="383">
        <f t="shared" si="9"/>
        <v>4.6685660018993351</v>
      </c>
      <c r="E58" s="350">
        <v>24.58</v>
      </c>
      <c r="F58" s="378">
        <f t="shared" si="10"/>
        <v>2.8299999999999983</v>
      </c>
      <c r="G58" s="338">
        <v>274.60000000000002</v>
      </c>
      <c r="H58" s="352">
        <f t="shared" si="14"/>
        <v>76</v>
      </c>
      <c r="I58" s="363">
        <v>273.8</v>
      </c>
      <c r="J58" s="392">
        <f t="shared" si="11"/>
        <v>-6.4</v>
      </c>
      <c r="K58" s="350">
        <v>9.65</v>
      </c>
      <c r="L58" s="349">
        <f t="shared" si="12"/>
        <v>1.8328584995251664</v>
      </c>
      <c r="M58" s="393">
        <v>-29</v>
      </c>
      <c r="N58" s="382">
        <v>3</v>
      </c>
      <c r="O58" s="337">
        <f t="shared" si="15"/>
        <v>237.9</v>
      </c>
      <c r="AA58" s="395">
        <v>21.75</v>
      </c>
      <c r="AB58" s="395">
        <v>21.75</v>
      </c>
      <c r="AC58" s="396">
        <f t="shared" si="5"/>
        <v>1</v>
      </c>
      <c r="AD58" s="395"/>
      <c r="AE58" s="395"/>
      <c r="AF58" s="395"/>
      <c r="AG58" s="395"/>
      <c r="AH58" s="395"/>
      <c r="AI58" s="395"/>
      <c r="AJ58" s="395"/>
      <c r="AK58" s="395"/>
      <c r="AL58" s="395">
        <v>16.05</v>
      </c>
      <c r="AM58" s="395"/>
    </row>
    <row r="59" spans="1:39">
      <c r="A59">
        <f t="shared" si="13"/>
        <v>87.9</v>
      </c>
      <c r="B59" s="382">
        <v>3</v>
      </c>
      <c r="C59" s="348">
        <v>-29.5</v>
      </c>
      <c r="D59" s="383">
        <f t="shared" si="9"/>
        <v>4.6685660018993351</v>
      </c>
      <c r="E59" s="350">
        <v>24.58</v>
      </c>
      <c r="F59" s="378">
        <f t="shared" si="10"/>
        <v>2.8299999999999983</v>
      </c>
      <c r="G59" s="338">
        <v>274.60000000000002</v>
      </c>
      <c r="H59" s="352">
        <f t="shared" si="14"/>
        <v>74</v>
      </c>
      <c r="I59" s="363">
        <v>273.8</v>
      </c>
      <c r="J59" s="392">
        <f t="shared" si="11"/>
        <v>-6.23</v>
      </c>
      <c r="K59" s="350">
        <v>9.82</v>
      </c>
      <c r="L59" s="349">
        <f t="shared" si="12"/>
        <v>1.8651471984805319</v>
      </c>
      <c r="M59" s="393">
        <v>-29</v>
      </c>
      <c r="N59" s="382">
        <v>3</v>
      </c>
      <c r="O59" s="337">
        <f t="shared" si="15"/>
        <v>235.9</v>
      </c>
      <c r="AA59" s="395">
        <v>21.75</v>
      </c>
      <c r="AB59" s="395">
        <v>21.75</v>
      </c>
      <c r="AC59" s="396">
        <f t="shared" si="5"/>
        <v>1</v>
      </c>
      <c r="AD59" s="395"/>
      <c r="AE59" s="395"/>
      <c r="AF59" s="395"/>
      <c r="AG59" s="395"/>
      <c r="AH59" s="395"/>
      <c r="AI59" s="395"/>
      <c r="AJ59" s="395"/>
      <c r="AK59" s="395"/>
      <c r="AL59" s="395">
        <v>16.05</v>
      </c>
      <c r="AM59" s="395"/>
    </row>
    <row r="60" spans="1:39">
      <c r="A60">
        <f t="shared" si="13"/>
        <v>89.9</v>
      </c>
      <c r="B60" s="382">
        <v>3</v>
      </c>
      <c r="C60" s="348">
        <v>-29.5</v>
      </c>
      <c r="D60" s="383">
        <f t="shared" si="9"/>
        <v>4.6761633428300096</v>
      </c>
      <c r="E60" s="350">
        <v>24.62</v>
      </c>
      <c r="F60" s="378">
        <f t="shared" si="10"/>
        <v>2.870000000000001</v>
      </c>
      <c r="G60" s="338">
        <v>274.60000000000002</v>
      </c>
      <c r="H60" s="352">
        <f t="shared" si="14"/>
        <v>72</v>
      </c>
      <c r="I60" s="363">
        <v>273.8</v>
      </c>
      <c r="J60" s="392">
        <f t="shared" si="11"/>
        <v>-6.0200000000000014</v>
      </c>
      <c r="K60" s="350">
        <v>10.029999999999999</v>
      </c>
      <c r="L60" s="349">
        <f t="shared" si="12"/>
        <v>1.9050332383665718</v>
      </c>
      <c r="M60" s="393">
        <v>-29</v>
      </c>
      <c r="N60" s="382">
        <v>3</v>
      </c>
      <c r="O60" s="337">
        <f t="shared" si="15"/>
        <v>233.9</v>
      </c>
      <c r="AA60" s="395">
        <v>21.75</v>
      </c>
      <c r="AB60" s="395">
        <v>21.75</v>
      </c>
      <c r="AC60" s="396">
        <f t="shared" si="5"/>
        <v>1</v>
      </c>
      <c r="AD60" s="395"/>
      <c r="AE60" s="395"/>
      <c r="AF60" s="395"/>
      <c r="AG60" s="395"/>
      <c r="AH60" s="395"/>
      <c r="AI60" s="395"/>
      <c r="AJ60" s="395"/>
      <c r="AK60" s="395"/>
      <c r="AL60" s="395">
        <v>16.05</v>
      </c>
      <c r="AM60" s="395"/>
    </row>
    <row r="61" spans="1:39">
      <c r="A61">
        <f t="shared" si="13"/>
        <v>91.9</v>
      </c>
      <c r="B61" s="382">
        <v>3</v>
      </c>
      <c r="C61" s="348">
        <v>-29.5</v>
      </c>
      <c r="D61" s="383">
        <f t="shared" si="9"/>
        <v>4.6761633428300096</v>
      </c>
      <c r="E61" s="350">
        <v>24.62</v>
      </c>
      <c r="F61" s="378">
        <f t="shared" si="10"/>
        <v>2.870000000000001</v>
      </c>
      <c r="G61" s="338">
        <v>274.60000000000002</v>
      </c>
      <c r="H61" s="352">
        <f t="shared" si="14"/>
        <v>70</v>
      </c>
      <c r="I61" s="363">
        <v>273.8</v>
      </c>
      <c r="J61" s="392">
        <f t="shared" si="11"/>
        <v>-5.7700000000000014</v>
      </c>
      <c r="K61" s="350">
        <v>10.28</v>
      </c>
      <c r="L61" s="349">
        <f t="shared" si="12"/>
        <v>1.9525166191832859</v>
      </c>
      <c r="M61" s="348">
        <v>-29</v>
      </c>
      <c r="N61" s="382">
        <v>3</v>
      </c>
      <c r="O61" s="337">
        <f t="shared" si="15"/>
        <v>231.9</v>
      </c>
      <c r="AA61" s="395">
        <v>21.75</v>
      </c>
      <c r="AB61" s="395">
        <v>21.75</v>
      </c>
      <c r="AC61" s="396">
        <f t="shared" si="5"/>
        <v>1</v>
      </c>
      <c r="AD61" s="395"/>
      <c r="AE61" s="395"/>
      <c r="AF61" s="395"/>
      <c r="AG61" s="395"/>
      <c r="AH61" s="395"/>
      <c r="AI61" s="395"/>
      <c r="AJ61" s="395"/>
      <c r="AK61" s="395"/>
      <c r="AL61" s="395">
        <v>16.05</v>
      </c>
      <c r="AM61" s="395"/>
    </row>
    <row r="62" spans="1:39">
      <c r="A62">
        <f t="shared" si="13"/>
        <v>93.9</v>
      </c>
      <c r="B62" s="382">
        <v>3</v>
      </c>
      <c r="C62" s="348">
        <v>-29.5</v>
      </c>
      <c r="D62" s="383">
        <f t="shared" si="9"/>
        <v>4.6818613485280149</v>
      </c>
      <c r="E62" s="350">
        <v>24.65</v>
      </c>
      <c r="F62" s="378">
        <f t="shared" si="10"/>
        <v>2.8999999999999986</v>
      </c>
      <c r="G62" s="338">
        <v>274.60000000000002</v>
      </c>
      <c r="H62" s="352">
        <f t="shared" si="14"/>
        <v>68</v>
      </c>
      <c r="I62" s="363">
        <v>273.8</v>
      </c>
      <c r="J62" s="392">
        <f t="shared" si="11"/>
        <v>-7.4</v>
      </c>
      <c r="K62" s="350">
        <v>8.65</v>
      </c>
      <c r="L62" s="349">
        <f t="shared" si="12"/>
        <v>1.6429249762583098</v>
      </c>
      <c r="M62" s="348">
        <v>-29.5</v>
      </c>
      <c r="N62" s="382">
        <v>3</v>
      </c>
      <c r="O62" s="337">
        <f t="shared" si="15"/>
        <v>229.9</v>
      </c>
      <c r="T62" s="395"/>
      <c r="U62" s="395"/>
      <c r="V62" s="395"/>
      <c r="W62" s="395"/>
      <c r="AA62" s="395">
        <v>21.75</v>
      </c>
      <c r="AB62" s="395">
        <v>21.75</v>
      </c>
      <c r="AC62" s="396">
        <f t="shared" si="5"/>
        <v>1</v>
      </c>
      <c r="AD62" s="395"/>
      <c r="AE62" s="395"/>
      <c r="AF62" s="395"/>
      <c r="AG62" s="395"/>
      <c r="AH62" s="395"/>
      <c r="AI62" s="395"/>
      <c r="AJ62" s="395"/>
      <c r="AK62" s="395"/>
      <c r="AL62" s="395">
        <v>16.05</v>
      </c>
      <c r="AM62" s="395"/>
    </row>
    <row r="63" spans="1:39">
      <c r="A63">
        <f t="shared" si="13"/>
        <v>95.9</v>
      </c>
      <c r="B63" s="382">
        <v>3</v>
      </c>
      <c r="C63" s="348">
        <v>-29.5</v>
      </c>
      <c r="D63" s="383">
        <f t="shared" si="9"/>
        <v>4.6704653371320042</v>
      </c>
      <c r="E63" s="350">
        <v>24.59</v>
      </c>
      <c r="F63" s="378">
        <f t="shared" si="10"/>
        <v>2.84</v>
      </c>
      <c r="G63" s="338">
        <v>274.60000000000002</v>
      </c>
      <c r="H63" s="352">
        <f t="shared" si="14"/>
        <v>66</v>
      </c>
      <c r="I63" s="363">
        <v>273.8</v>
      </c>
      <c r="J63" s="392">
        <f t="shared" si="11"/>
        <v>-7.17</v>
      </c>
      <c r="K63" s="350">
        <v>8.8800000000000008</v>
      </c>
      <c r="L63" s="349">
        <f t="shared" si="12"/>
        <v>1.6866096866096869</v>
      </c>
      <c r="M63" s="348">
        <v>-29.5</v>
      </c>
      <c r="N63" s="382">
        <v>3</v>
      </c>
      <c r="O63" s="337">
        <f t="shared" si="15"/>
        <v>227.9</v>
      </c>
      <c r="T63" s="395"/>
      <c r="U63" s="396"/>
      <c r="V63" s="395"/>
      <c r="W63" s="395"/>
      <c r="AA63" s="395">
        <v>21.75</v>
      </c>
      <c r="AB63" s="395">
        <v>21.75</v>
      </c>
      <c r="AC63" s="396">
        <f t="shared" si="5"/>
        <v>1</v>
      </c>
      <c r="AD63" s="395"/>
      <c r="AE63" s="395"/>
      <c r="AF63" s="395"/>
      <c r="AG63" s="395"/>
      <c r="AH63" s="395"/>
      <c r="AI63" s="395"/>
      <c r="AJ63" s="395"/>
      <c r="AK63" s="395"/>
      <c r="AL63" s="395">
        <v>16.05</v>
      </c>
      <c r="AM63" s="395"/>
    </row>
    <row r="64" spans="1:39">
      <c r="A64">
        <f t="shared" si="13"/>
        <v>97.9</v>
      </c>
      <c r="B64" s="382">
        <v>3</v>
      </c>
      <c r="C64" s="348">
        <v>-29.5</v>
      </c>
      <c r="D64" s="383">
        <f t="shared" si="9"/>
        <v>4.6609686609686607</v>
      </c>
      <c r="E64" s="350">
        <v>24.54</v>
      </c>
      <c r="F64" s="378">
        <f t="shared" si="10"/>
        <v>2.7899999999999991</v>
      </c>
      <c r="G64" s="338">
        <v>274.60000000000002</v>
      </c>
      <c r="H64" s="352">
        <f t="shared" si="14"/>
        <v>64</v>
      </c>
      <c r="I64" s="363">
        <v>273.8</v>
      </c>
      <c r="J64" s="392">
        <f t="shared" si="11"/>
        <v>-7.0500000000000007</v>
      </c>
      <c r="K64" s="350">
        <v>9</v>
      </c>
      <c r="L64" s="349">
        <f t="shared" si="12"/>
        <v>1.7094017094017095</v>
      </c>
      <c r="M64" s="348">
        <v>-29.5</v>
      </c>
      <c r="N64" s="382">
        <v>3</v>
      </c>
      <c r="O64" s="337">
        <f t="shared" si="15"/>
        <v>225.9</v>
      </c>
      <c r="T64" s="395"/>
      <c r="U64" s="396"/>
      <c r="V64" s="395"/>
      <c r="W64" s="395"/>
      <c r="AA64" s="395">
        <v>21.75</v>
      </c>
      <c r="AB64" s="395">
        <v>21.75</v>
      </c>
      <c r="AC64" s="396">
        <f t="shared" si="5"/>
        <v>1</v>
      </c>
      <c r="AD64" s="395"/>
      <c r="AE64" s="395"/>
      <c r="AF64" s="395"/>
      <c r="AG64" s="395"/>
      <c r="AH64" s="395"/>
      <c r="AI64" s="395"/>
      <c r="AJ64" s="395"/>
      <c r="AK64" s="395"/>
      <c r="AL64" s="395">
        <v>16.05</v>
      </c>
      <c r="AM64" s="395"/>
    </row>
    <row r="65" spans="1:39">
      <c r="A65">
        <f t="shared" si="13"/>
        <v>99.9</v>
      </c>
      <c r="B65" s="382">
        <v>3</v>
      </c>
      <c r="C65" s="348">
        <v>-29.5</v>
      </c>
      <c r="D65" s="383">
        <f t="shared" si="9"/>
        <v>4.6609686609686607</v>
      </c>
      <c r="E65" s="350">
        <v>24.54</v>
      </c>
      <c r="F65" s="378">
        <f t="shared" si="10"/>
        <v>2.7899999999999991</v>
      </c>
      <c r="G65" s="338">
        <v>274.60000000000002</v>
      </c>
      <c r="H65" s="352">
        <f t="shared" si="14"/>
        <v>62</v>
      </c>
      <c r="I65" s="363">
        <v>273.8</v>
      </c>
      <c r="J65" s="392">
        <f t="shared" si="11"/>
        <v>-6.8500000000000014</v>
      </c>
      <c r="K65" s="350">
        <v>9.1999999999999993</v>
      </c>
      <c r="L65" s="349">
        <f t="shared" si="12"/>
        <v>1.7473884140550806</v>
      </c>
      <c r="M65" s="348">
        <v>-29.5</v>
      </c>
      <c r="N65" s="382">
        <v>3</v>
      </c>
      <c r="O65" s="337">
        <f t="shared" si="15"/>
        <v>223.9</v>
      </c>
      <c r="R65" s="397"/>
      <c r="S65" s="397"/>
      <c r="T65" s="398"/>
      <c r="U65" s="396" t="s">
        <v>315</v>
      </c>
      <c r="V65" s="395"/>
      <c r="W65" s="395"/>
      <c r="AB65" s="395">
        <v>21.75</v>
      </c>
      <c r="AC65" s="396">
        <f t="shared" si="5"/>
        <v>1</v>
      </c>
      <c r="AD65" s="395"/>
      <c r="AE65" s="395"/>
      <c r="AF65" s="395"/>
      <c r="AG65" s="395"/>
      <c r="AH65" s="395"/>
      <c r="AI65" s="395"/>
      <c r="AJ65" s="395"/>
      <c r="AK65" s="395"/>
      <c r="AL65" s="395">
        <v>16.05</v>
      </c>
      <c r="AM65" s="395"/>
    </row>
    <row r="66" spans="1:39">
      <c r="A66">
        <f t="shared" si="13"/>
        <v>101.9</v>
      </c>
      <c r="B66" s="382">
        <v>3</v>
      </c>
      <c r="C66" s="348">
        <v>-29.5</v>
      </c>
      <c r="D66" s="383">
        <f t="shared" si="9"/>
        <v>4.6590693257359925</v>
      </c>
      <c r="E66" s="350">
        <v>24.53</v>
      </c>
      <c r="F66" s="378">
        <f t="shared" si="10"/>
        <v>2.7800000000000011</v>
      </c>
      <c r="G66" s="338">
        <v>274.60000000000002</v>
      </c>
      <c r="H66" s="352">
        <f t="shared" si="14"/>
        <v>60</v>
      </c>
      <c r="I66" s="363">
        <v>273.8</v>
      </c>
      <c r="J66" s="392">
        <f t="shared" si="11"/>
        <v>-6.620000000000001</v>
      </c>
      <c r="K66" s="350">
        <v>9.43</v>
      </c>
      <c r="L66" s="349">
        <f t="shared" si="12"/>
        <v>1.7910731244064577</v>
      </c>
      <c r="M66" s="348">
        <v>-29.5</v>
      </c>
      <c r="N66" s="382">
        <v>3</v>
      </c>
      <c r="O66" s="337">
        <f t="shared" si="15"/>
        <v>221.9</v>
      </c>
      <c r="T66" s="395"/>
      <c r="U66" s="396"/>
      <c r="V66" s="395"/>
      <c r="W66" s="395"/>
      <c r="AB66" s="395">
        <v>21.75</v>
      </c>
      <c r="AC66" s="396">
        <f t="shared" si="5"/>
        <v>1</v>
      </c>
      <c r="AD66" s="395"/>
      <c r="AE66" s="395"/>
      <c r="AF66" s="395"/>
      <c r="AG66" s="395"/>
      <c r="AH66" s="395"/>
      <c r="AI66" s="395"/>
      <c r="AJ66" s="395"/>
      <c r="AK66" s="395"/>
      <c r="AL66" s="395">
        <v>16.05</v>
      </c>
      <c r="AM66" s="395"/>
    </row>
    <row r="67" spans="1:39">
      <c r="A67">
        <f t="shared" si="13"/>
        <v>103.9</v>
      </c>
      <c r="B67" s="382">
        <v>3</v>
      </c>
      <c r="C67" s="348">
        <v>-29.5</v>
      </c>
      <c r="D67" s="383">
        <f t="shared" si="9"/>
        <v>4.6419753086419755</v>
      </c>
      <c r="E67" s="350">
        <v>24.44</v>
      </c>
      <c r="F67" s="378">
        <f t="shared" si="10"/>
        <v>2.6900000000000013</v>
      </c>
      <c r="G67" s="338">
        <v>274.60000000000002</v>
      </c>
      <c r="H67" s="352">
        <f t="shared" si="14"/>
        <v>58</v>
      </c>
      <c r="I67" s="363">
        <v>273.8</v>
      </c>
      <c r="J67" s="392">
        <f t="shared" si="11"/>
        <v>-6.4</v>
      </c>
      <c r="K67" s="350">
        <v>9.65</v>
      </c>
      <c r="L67" s="349">
        <f t="shared" si="12"/>
        <v>1.8328584995251664</v>
      </c>
      <c r="M67" s="348">
        <v>-29.5</v>
      </c>
      <c r="N67" s="382">
        <v>3</v>
      </c>
      <c r="O67" s="337">
        <f t="shared" si="15"/>
        <v>219.9</v>
      </c>
      <c r="T67" s="395"/>
      <c r="U67" s="396"/>
      <c r="V67" s="395"/>
      <c r="W67" s="395"/>
      <c r="AB67" s="395">
        <v>21.75</v>
      </c>
      <c r="AC67" s="396">
        <f t="shared" si="5"/>
        <v>1</v>
      </c>
      <c r="AD67" s="395"/>
      <c r="AE67" s="395"/>
      <c r="AF67" s="395"/>
      <c r="AG67" s="395"/>
      <c r="AH67" s="395"/>
      <c r="AI67" s="395"/>
      <c r="AJ67" s="395"/>
      <c r="AK67" s="395"/>
      <c r="AL67" s="395">
        <v>16.05</v>
      </c>
      <c r="AM67" s="395"/>
    </row>
    <row r="68" spans="1:39">
      <c r="A68">
        <f t="shared" si="13"/>
        <v>105.9</v>
      </c>
      <c r="B68" s="382">
        <v>3</v>
      </c>
      <c r="C68" s="348">
        <v>-29.5</v>
      </c>
      <c r="D68" s="383">
        <f t="shared" si="9"/>
        <v>4.6305792972459638</v>
      </c>
      <c r="E68" s="350">
        <v>24.38</v>
      </c>
      <c r="F68" s="378">
        <f t="shared" si="10"/>
        <v>2.629999999999999</v>
      </c>
      <c r="G68" s="338">
        <v>274.60000000000002</v>
      </c>
      <c r="H68" s="352">
        <f t="shared" si="14"/>
        <v>56</v>
      </c>
      <c r="I68" s="363">
        <v>273.8</v>
      </c>
      <c r="J68" s="392">
        <f t="shared" si="11"/>
        <v>-6.1100000000000012</v>
      </c>
      <c r="K68" s="350">
        <v>9.94</v>
      </c>
      <c r="L68" s="349">
        <f t="shared" si="12"/>
        <v>1.8879392212725545</v>
      </c>
      <c r="M68" s="348">
        <v>-29.5</v>
      </c>
      <c r="N68" s="382">
        <v>3</v>
      </c>
      <c r="O68" s="337">
        <f t="shared" si="15"/>
        <v>217.9</v>
      </c>
      <c r="T68" s="395"/>
      <c r="U68" s="396"/>
      <c r="V68" s="395"/>
      <c r="W68" s="395"/>
      <c r="AB68" s="395">
        <v>21.75</v>
      </c>
      <c r="AC68" s="396">
        <f t="shared" ref="AC68:AC97" si="16">AC67</f>
        <v>1</v>
      </c>
      <c r="AD68" s="395"/>
      <c r="AE68" s="395"/>
      <c r="AF68" s="395"/>
      <c r="AG68" s="395"/>
      <c r="AH68" s="395"/>
      <c r="AI68" s="395"/>
      <c r="AJ68" s="395"/>
      <c r="AK68" s="395"/>
      <c r="AL68" s="395">
        <v>16.05</v>
      </c>
      <c r="AM68" s="395"/>
    </row>
    <row r="69" spans="1:39">
      <c r="A69">
        <f t="shared" si="13"/>
        <v>107.9</v>
      </c>
      <c r="B69" s="382">
        <v>3</v>
      </c>
      <c r="C69" s="348">
        <v>-29.5</v>
      </c>
      <c r="D69" s="383">
        <f t="shared" si="9"/>
        <v>4.6058879392212733</v>
      </c>
      <c r="E69" s="350">
        <v>24.25</v>
      </c>
      <c r="F69" s="378">
        <f t="shared" si="10"/>
        <v>2.5</v>
      </c>
      <c r="G69" s="338">
        <v>274.60000000000002</v>
      </c>
      <c r="H69" s="352">
        <f t="shared" si="14"/>
        <v>54</v>
      </c>
      <c r="I69" s="363">
        <v>273.8</v>
      </c>
      <c r="J69" s="392">
        <f t="shared" si="11"/>
        <v>-5.82</v>
      </c>
      <c r="K69" s="350">
        <v>10.23</v>
      </c>
      <c r="L69" s="349">
        <f t="shared" si="12"/>
        <v>1.9430199430199433</v>
      </c>
      <c r="M69" s="348">
        <v>-29.5</v>
      </c>
      <c r="N69" s="382">
        <v>3</v>
      </c>
      <c r="O69" s="337">
        <f t="shared" si="15"/>
        <v>215.9</v>
      </c>
      <c r="T69" s="395"/>
      <c r="U69" s="396"/>
      <c r="V69" s="395"/>
      <c r="W69" s="395"/>
      <c r="AB69" s="395">
        <v>21.75</v>
      </c>
      <c r="AC69" s="396">
        <f t="shared" si="16"/>
        <v>1</v>
      </c>
      <c r="AD69" s="395"/>
      <c r="AE69" s="395"/>
      <c r="AF69" s="395"/>
      <c r="AG69" s="395"/>
      <c r="AH69" s="395"/>
      <c r="AI69" s="395"/>
      <c r="AJ69" s="395"/>
      <c r="AK69" s="395"/>
      <c r="AL69" s="395">
        <v>16.05</v>
      </c>
      <c r="AM69" s="395"/>
    </row>
    <row r="70" spans="1:39">
      <c r="A70">
        <f t="shared" si="13"/>
        <v>109.9</v>
      </c>
      <c r="B70" s="382">
        <v>3</v>
      </c>
      <c r="C70" s="348">
        <v>-29.5</v>
      </c>
      <c r="D70" s="383">
        <f t="shared" si="9"/>
        <v>4.5963912630579298</v>
      </c>
      <c r="E70" s="350">
        <v>24.2</v>
      </c>
      <c r="F70" s="378">
        <f t="shared" si="10"/>
        <v>2.4499999999999993</v>
      </c>
      <c r="G70" s="338">
        <v>274.60000000000002</v>
      </c>
      <c r="H70" s="352">
        <f t="shared" si="14"/>
        <v>52</v>
      </c>
      <c r="I70" s="363">
        <v>273.8</v>
      </c>
      <c r="J70" s="392">
        <f t="shared" si="11"/>
        <v>-5.5200000000000014</v>
      </c>
      <c r="K70" s="350">
        <v>10.53</v>
      </c>
      <c r="L70" s="349">
        <f t="shared" si="12"/>
        <v>2</v>
      </c>
      <c r="M70" s="348">
        <v>-29.5</v>
      </c>
      <c r="N70" s="382">
        <v>3</v>
      </c>
      <c r="O70" s="337">
        <f t="shared" si="15"/>
        <v>213.9</v>
      </c>
      <c r="T70" s="395"/>
      <c r="U70" s="396"/>
      <c r="V70" s="395"/>
      <c r="W70" s="395"/>
      <c r="AB70" s="395">
        <v>21.75</v>
      </c>
      <c r="AC70" s="396">
        <f t="shared" si="16"/>
        <v>1</v>
      </c>
      <c r="AD70" s="395"/>
      <c r="AE70" s="395"/>
      <c r="AF70" s="395"/>
      <c r="AG70" s="395"/>
      <c r="AH70" s="395"/>
      <c r="AI70" s="395"/>
      <c r="AJ70" s="395"/>
      <c r="AK70" s="395"/>
      <c r="AL70" s="395">
        <v>16.05</v>
      </c>
      <c r="AM70" s="395"/>
    </row>
    <row r="71" spans="1:39">
      <c r="A71">
        <f t="shared" si="13"/>
        <v>111.9</v>
      </c>
      <c r="B71" s="382">
        <v>3</v>
      </c>
      <c r="C71" s="348">
        <v>-29.5</v>
      </c>
      <c r="D71" s="383">
        <f t="shared" si="9"/>
        <v>4.5963912630579298</v>
      </c>
      <c r="E71" s="350">
        <v>24.2</v>
      </c>
      <c r="F71" s="378">
        <f t="shared" si="10"/>
        <v>2.4499999999999993</v>
      </c>
      <c r="G71" s="338">
        <v>274.60000000000002</v>
      </c>
      <c r="H71" s="352">
        <f t="shared" si="14"/>
        <v>50</v>
      </c>
      <c r="I71" s="363">
        <v>273.8</v>
      </c>
      <c r="J71" s="392">
        <f t="shared" si="11"/>
        <v>-5.2000000000000011</v>
      </c>
      <c r="K71" s="350">
        <v>10.85</v>
      </c>
      <c r="L71" s="349">
        <f t="shared" si="12"/>
        <v>2.0607787274453941</v>
      </c>
      <c r="M71" s="348">
        <v>-29.5</v>
      </c>
      <c r="N71" s="382">
        <v>3</v>
      </c>
      <c r="O71" s="337">
        <f t="shared" si="15"/>
        <v>211.9</v>
      </c>
      <c r="T71" s="395"/>
      <c r="U71" s="396"/>
      <c r="V71" s="395"/>
      <c r="W71" s="395"/>
      <c r="AB71" s="395">
        <v>21.75</v>
      </c>
      <c r="AC71" s="396">
        <f t="shared" si="16"/>
        <v>1</v>
      </c>
      <c r="AD71" s="395"/>
      <c r="AE71" s="395"/>
      <c r="AF71" s="395"/>
      <c r="AG71" s="395"/>
      <c r="AH71" s="395"/>
      <c r="AI71" s="395"/>
      <c r="AJ71" s="395"/>
      <c r="AK71" s="395"/>
      <c r="AL71" s="395">
        <v>16.05</v>
      </c>
      <c r="AM71" s="395"/>
    </row>
    <row r="72" spans="1:39">
      <c r="A72">
        <f t="shared" si="13"/>
        <v>113.9</v>
      </c>
      <c r="B72" s="382">
        <v>3</v>
      </c>
      <c r="C72" s="348">
        <v>-29.5</v>
      </c>
      <c r="D72" s="383">
        <f t="shared" si="9"/>
        <v>4.5584045584045585</v>
      </c>
      <c r="E72" s="350">
        <v>24</v>
      </c>
      <c r="F72" s="378">
        <f t="shared" si="10"/>
        <v>2.25</v>
      </c>
      <c r="G72" s="338">
        <v>274.60000000000002</v>
      </c>
      <c r="H72" s="352">
        <f t="shared" si="14"/>
        <v>48</v>
      </c>
      <c r="I72" s="363">
        <v>273.8</v>
      </c>
      <c r="J72" s="392">
        <f t="shared" si="11"/>
        <v>-4.92</v>
      </c>
      <c r="K72" s="350">
        <v>11.13</v>
      </c>
      <c r="L72" s="349">
        <f t="shared" si="12"/>
        <v>2.1139601139601143</v>
      </c>
      <c r="M72" s="348">
        <v>-29.5</v>
      </c>
      <c r="N72" s="382">
        <v>3</v>
      </c>
      <c r="O72" s="337">
        <f t="shared" si="15"/>
        <v>209.9</v>
      </c>
      <c r="T72" s="395"/>
      <c r="U72" s="396" t="s">
        <v>316</v>
      </c>
      <c r="V72" s="395"/>
      <c r="W72" s="395"/>
      <c r="AB72" s="395">
        <v>21.75</v>
      </c>
      <c r="AC72" s="396">
        <f t="shared" si="16"/>
        <v>1</v>
      </c>
      <c r="AD72" s="395"/>
      <c r="AE72" s="395"/>
      <c r="AF72" s="395"/>
      <c r="AG72" s="395"/>
      <c r="AH72" s="395"/>
      <c r="AI72" s="395"/>
      <c r="AJ72" s="395"/>
      <c r="AK72" s="395"/>
      <c r="AL72" s="395">
        <v>16.05</v>
      </c>
      <c r="AM72" s="395"/>
    </row>
    <row r="73" spans="1:39">
      <c r="A73">
        <f t="shared" si="13"/>
        <v>115.9</v>
      </c>
      <c r="B73" s="382">
        <v>3</v>
      </c>
      <c r="C73" s="348">
        <v>-29.5</v>
      </c>
      <c r="D73" s="383">
        <f t="shared" si="9"/>
        <v>4.5527065527065531</v>
      </c>
      <c r="E73" s="350">
        <v>23.97</v>
      </c>
      <c r="F73" s="378">
        <f t="shared" si="10"/>
        <v>2.2199999999999989</v>
      </c>
      <c r="G73" s="338">
        <v>274.60000000000002</v>
      </c>
      <c r="H73" s="352">
        <f t="shared" si="14"/>
        <v>46</v>
      </c>
      <c r="I73" s="363">
        <v>273.8</v>
      </c>
      <c r="J73" s="392">
        <f t="shared" si="11"/>
        <v>-4.57</v>
      </c>
      <c r="K73" s="350">
        <v>11.48</v>
      </c>
      <c r="L73" s="349">
        <f t="shared" si="12"/>
        <v>2.1804368471035138</v>
      </c>
      <c r="M73" s="348">
        <v>-29.5</v>
      </c>
      <c r="N73" s="382">
        <v>3</v>
      </c>
      <c r="O73" s="337">
        <f t="shared" si="15"/>
        <v>207.9</v>
      </c>
      <c r="T73" s="395"/>
      <c r="U73" s="399">
        <v>0.55555555555555503</v>
      </c>
      <c r="V73" s="395"/>
      <c r="W73" s="395"/>
      <c r="AB73" s="395">
        <v>21.75</v>
      </c>
      <c r="AC73" s="396">
        <f t="shared" si="16"/>
        <v>1</v>
      </c>
      <c r="AD73" s="395"/>
      <c r="AE73" s="395"/>
      <c r="AF73" s="395"/>
      <c r="AG73" s="395"/>
      <c r="AH73" s="395"/>
      <c r="AI73" s="395"/>
      <c r="AJ73" s="395"/>
      <c r="AK73" s="395"/>
      <c r="AL73" s="395">
        <v>16.05</v>
      </c>
      <c r="AM73" s="395"/>
    </row>
    <row r="74" spans="1:39">
      <c r="A74">
        <f t="shared" si="13"/>
        <v>117.9</v>
      </c>
      <c r="B74" s="382">
        <v>3</v>
      </c>
      <c r="C74" s="348">
        <v>-29.5</v>
      </c>
      <c r="D74" s="383">
        <f t="shared" si="9"/>
        <v>4.5109211775878446</v>
      </c>
      <c r="E74" s="350">
        <v>23.75</v>
      </c>
      <c r="F74" s="378">
        <f t="shared" si="10"/>
        <v>2</v>
      </c>
      <c r="G74" s="338">
        <v>274.60000000000002</v>
      </c>
      <c r="H74" s="352">
        <f t="shared" si="14"/>
        <v>44</v>
      </c>
      <c r="I74" s="363">
        <v>273.8</v>
      </c>
      <c r="J74" s="392">
        <f t="shared" si="11"/>
        <v>-4.4400000000000013</v>
      </c>
      <c r="K74" s="350">
        <v>11.61</v>
      </c>
      <c r="L74" s="349">
        <f t="shared" si="12"/>
        <v>2.2051282051282053</v>
      </c>
      <c r="M74" s="348">
        <v>-29.5</v>
      </c>
      <c r="N74" s="382">
        <v>3</v>
      </c>
      <c r="O74" s="337">
        <f t="shared" si="15"/>
        <v>205.9</v>
      </c>
      <c r="T74" s="395"/>
      <c r="U74" s="396"/>
      <c r="V74" s="395"/>
      <c r="W74" s="395"/>
      <c r="AB74" s="395">
        <v>21.75</v>
      </c>
      <c r="AC74" s="396">
        <f t="shared" si="16"/>
        <v>1</v>
      </c>
      <c r="AD74" s="395"/>
      <c r="AE74" s="395"/>
      <c r="AF74" s="395"/>
      <c r="AG74" s="395"/>
      <c r="AH74" s="395"/>
      <c r="AI74" s="395"/>
      <c r="AJ74" s="395"/>
      <c r="AK74" s="395"/>
      <c r="AL74" s="395">
        <v>16.05</v>
      </c>
      <c r="AM74" s="395"/>
    </row>
    <row r="75" spans="1:39">
      <c r="A75">
        <f t="shared" si="13"/>
        <v>119.9</v>
      </c>
      <c r="B75" s="382">
        <v>3</v>
      </c>
      <c r="C75" s="348">
        <v>-29.5</v>
      </c>
      <c r="D75" s="383">
        <f t="shared" si="9"/>
        <v>4.4729344729344733</v>
      </c>
      <c r="E75" s="350">
        <v>23.55</v>
      </c>
      <c r="F75" s="378">
        <f t="shared" si="10"/>
        <v>1.8000000000000007</v>
      </c>
      <c r="G75" s="338">
        <v>274.60000000000002</v>
      </c>
      <c r="H75" s="352">
        <f t="shared" si="14"/>
        <v>42</v>
      </c>
      <c r="I75" s="363">
        <v>273.8</v>
      </c>
      <c r="J75" s="392">
        <f t="shared" si="11"/>
        <v>-4.2000000000000011</v>
      </c>
      <c r="K75" s="350">
        <v>11.85</v>
      </c>
      <c r="L75" s="349">
        <f t="shared" si="12"/>
        <v>2.2507122507122506</v>
      </c>
      <c r="M75" s="348">
        <v>-29.5</v>
      </c>
      <c r="N75" s="382">
        <v>3</v>
      </c>
      <c r="O75" s="337">
        <f t="shared" si="15"/>
        <v>203.9</v>
      </c>
      <c r="T75" s="395"/>
      <c r="U75" s="395"/>
      <c r="V75" s="395"/>
      <c r="W75" s="395"/>
      <c r="AB75" s="395">
        <v>21.75</v>
      </c>
      <c r="AC75" s="396">
        <f t="shared" si="16"/>
        <v>1</v>
      </c>
      <c r="AD75" s="395"/>
      <c r="AE75" s="395"/>
      <c r="AF75" s="395"/>
      <c r="AG75" s="395"/>
      <c r="AH75" s="395"/>
      <c r="AI75" s="395"/>
      <c r="AJ75" s="395"/>
      <c r="AK75" s="395"/>
      <c r="AL75" s="395">
        <v>16.05</v>
      </c>
      <c r="AM75" s="395"/>
    </row>
    <row r="76" spans="1:39">
      <c r="A76">
        <f t="shared" si="13"/>
        <v>121.9</v>
      </c>
      <c r="B76" s="382">
        <v>3</v>
      </c>
      <c r="C76" s="348">
        <v>-29.5</v>
      </c>
      <c r="D76" s="383">
        <f t="shared" si="9"/>
        <v>4.4083570750237424</v>
      </c>
      <c r="E76" s="350">
        <v>23.21</v>
      </c>
      <c r="F76" s="378">
        <f t="shared" si="10"/>
        <v>1.4600000000000009</v>
      </c>
      <c r="G76" s="338">
        <v>274.60000000000002</v>
      </c>
      <c r="H76" s="352">
        <f t="shared" si="14"/>
        <v>40</v>
      </c>
      <c r="I76" s="363">
        <v>273.8</v>
      </c>
      <c r="J76" s="392">
        <f t="shared" si="11"/>
        <v>-3.9000000000000004</v>
      </c>
      <c r="K76" s="350">
        <v>12.15</v>
      </c>
      <c r="L76" s="349">
        <f t="shared" si="12"/>
        <v>2.3076923076923079</v>
      </c>
      <c r="M76" s="348">
        <v>-29.5</v>
      </c>
      <c r="N76" s="382">
        <v>3</v>
      </c>
      <c r="O76" s="337">
        <f t="shared" si="15"/>
        <v>201.9</v>
      </c>
      <c r="T76" s="395"/>
      <c r="U76" s="395"/>
      <c r="V76" s="395"/>
      <c r="W76" s="395"/>
      <c r="AB76" s="395">
        <v>21.75</v>
      </c>
      <c r="AC76" s="396">
        <f t="shared" si="16"/>
        <v>1</v>
      </c>
      <c r="AD76" s="395"/>
      <c r="AE76" s="395"/>
      <c r="AF76" s="395"/>
      <c r="AG76" s="395"/>
      <c r="AH76" s="395"/>
      <c r="AI76" s="395"/>
      <c r="AJ76" s="395"/>
      <c r="AK76" s="395"/>
      <c r="AL76" s="395">
        <v>16.05</v>
      </c>
      <c r="AM76" s="395"/>
    </row>
    <row r="77" spans="1:39">
      <c r="A77">
        <f t="shared" si="13"/>
        <v>123.9</v>
      </c>
      <c r="B77" s="382">
        <v>3</v>
      </c>
      <c r="C77" s="348">
        <v>-29.5</v>
      </c>
      <c r="D77" s="383">
        <f t="shared" si="9"/>
        <v>4.3684710351377021</v>
      </c>
      <c r="E77" s="350">
        <v>23</v>
      </c>
      <c r="F77" s="378">
        <f t="shared" si="10"/>
        <v>1.25</v>
      </c>
      <c r="G77" s="338">
        <v>274.60000000000002</v>
      </c>
      <c r="H77" s="352">
        <f t="shared" si="14"/>
        <v>38</v>
      </c>
      <c r="I77" s="363">
        <v>273.8</v>
      </c>
      <c r="J77" s="392">
        <f t="shared" si="11"/>
        <v>-3.6000000000000014</v>
      </c>
      <c r="K77" s="350">
        <v>12.45</v>
      </c>
      <c r="L77" s="349">
        <f t="shared" si="12"/>
        <v>2.3646723646723649</v>
      </c>
      <c r="M77" s="348">
        <v>-29.5</v>
      </c>
      <c r="N77" s="382">
        <v>3</v>
      </c>
      <c r="O77" s="337">
        <f t="shared" si="15"/>
        <v>199.9</v>
      </c>
      <c r="U77" s="337"/>
      <c r="AB77" s="395">
        <v>21.75</v>
      </c>
      <c r="AC77" s="396">
        <f t="shared" si="16"/>
        <v>1</v>
      </c>
      <c r="AD77" s="395"/>
      <c r="AE77" s="395"/>
      <c r="AF77" s="395"/>
      <c r="AG77" s="395"/>
      <c r="AH77" s="395"/>
      <c r="AI77" s="395"/>
      <c r="AJ77" s="395"/>
      <c r="AK77" s="395"/>
      <c r="AL77" s="395">
        <v>16.05</v>
      </c>
      <c r="AM77" s="395"/>
    </row>
    <row r="78" spans="1:39">
      <c r="A78">
        <f t="shared" si="13"/>
        <v>125.9</v>
      </c>
      <c r="B78" s="382">
        <v>3</v>
      </c>
      <c r="C78" s="348">
        <v>-29.5</v>
      </c>
      <c r="D78" s="383">
        <f t="shared" si="9"/>
        <v>4.332383665716999</v>
      </c>
      <c r="E78" s="350">
        <v>22.81</v>
      </c>
      <c r="F78" s="378">
        <f t="shared" si="10"/>
        <v>1.0599999999999987</v>
      </c>
      <c r="G78" s="338">
        <v>274.60000000000002</v>
      </c>
      <c r="H78" s="352">
        <f t="shared" si="14"/>
        <v>36</v>
      </c>
      <c r="I78" s="363">
        <v>273.8</v>
      </c>
      <c r="J78" s="392">
        <f t="shared" si="11"/>
        <v>-3.2700000000000014</v>
      </c>
      <c r="K78" s="350">
        <v>12.78</v>
      </c>
      <c r="L78" s="349">
        <f t="shared" si="12"/>
        <v>2.4273504273504272</v>
      </c>
      <c r="M78" s="348">
        <v>-29.5</v>
      </c>
      <c r="N78" s="382">
        <v>3</v>
      </c>
      <c r="O78" s="337">
        <f t="shared" si="15"/>
        <v>197.9</v>
      </c>
      <c r="AB78" s="395">
        <v>21.75</v>
      </c>
      <c r="AC78" s="396">
        <f t="shared" si="16"/>
        <v>1</v>
      </c>
      <c r="AD78" s="395"/>
      <c r="AE78" s="395"/>
      <c r="AF78" s="395"/>
      <c r="AG78" s="395"/>
      <c r="AH78" s="395"/>
      <c r="AI78" s="395"/>
      <c r="AJ78" s="395"/>
      <c r="AK78" s="395"/>
      <c r="AL78" s="395">
        <v>16.05</v>
      </c>
      <c r="AM78" s="395"/>
    </row>
    <row r="79" spans="1:39">
      <c r="A79">
        <f t="shared" si="13"/>
        <v>127.9</v>
      </c>
      <c r="B79" s="382">
        <v>3</v>
      </c>
      <c r="C79" s="348">
        <v>-29.5</v>
      </c>
      <c r="D79" s="383">
        <f t="shared" si="9"/>
        <v>4.2830009496676169</v>
      </c>
      <c r="E79" s="350">
        <v>22.55</v>
      </c>
      <c r="F79" s="378">
        <f t="shared" si="10"/>
        <v>0.80000000000000071</v>
      </c>
      <c r="G79" s="338">
        <v>274.60000000000002</v>
      </c>
      <c r="H79" s="352">
        <f t="shared" si="14"/>
        <v>34</v>
      </c>
      <c r="I79" s="363">
        <v>273.8</v>
      </c>
      <c r="J79" s="392">
        <f t="shared" si="11"/>
        <v>-3.0700000000000003</v>
      </c>
      <c r="K79" s="350">
        <v>12.98</v>
      </c>
      <c r="L79" s="349">
        <f t="shared" si="12"/>
        <v>2.4653371320037989</v>
      </c>
      <c r="M79" s="348">
        <v>-29.5</v>
      </c>
      <c r="N79" s="382">
        <v>3</v>
      </c>
      <c r="O79" s="337">
        <f t="shared" si="15"/>
        <v>195.9</v>
      </c>
      <c r="AB79" s="395">
        <v>21.75</v>
      </c>
      <c r="AC79" s="396">
        <f t="shared" si="16"/>
        <v>1</v>
      </c>
      <c r="AD79" s="395"/>
      <c r="AE79" s="395"/>
      <c r="AF79" s="395"/>
      <c r="AG79" s="395"/>
      <c r="AH79" s="395"/>
      <c r="AI79" s="395"/>
      <c r="AJ79" s="395"/>
      <c r="AK79" s="395"/>
      <c r="AL79" s="395">
        <v>16.05</v>
      </c>
      <c r="AM79" s="395"/>
    </row>
    <row r="80" spans="1:39">
      <c r="A80">
        <f t="shared" si="13"/>
        <v>129.9</v>
      </c>
      <c r="B80" s="382">
        <v>3</v>
      </c>
      <c r="C80" s="348">
        <v>-29.5</v>
      </c>
      <c r="D80" s="383">
        <f t="shared" si="9"/>
        <v>4.2431149097815766</v>
      </c>
      <c r="E80" s="350">
        <v>22.34</v>
      </c>
      <c r="F80" s="378">
        <f t="shared" si="10"/>
        <v>0.58999999999999986</v>
      </c>
      <c r="G80" s="338">
        <v>274.60000000000002</v>
      </c>
      <c r="H80" s="352">
        <f t="shared" si="14"/>
        <v>32</v>
      </c>
      <c r="I80" s="363">
        <v>273.8</v>
      </c>
      <c r="J80" s="392">
        <f t="shared" si="11"/>
        <v>-2.6900000000000013</v>
      </c>
      <c r="K80" s="350">
        <v>13.36</v>
      </c>
      <c r="L80" s="349">
        <f t="shared" si="12"/>
        <v>2.5375118708452042</v>
      </c>
      <c r="M80" s="348">
        <v>-29.5</v>
      </c>
      <c r="N80" s="382">
        <v>3</v>
      </c>
      <c r="O80" s="337">
        <f t="shared" si="15"/>
        <v>193.9</v>
      </c>
      <c r="AB80" s="395">
        <v>21.75</v>
      </c>
      <c r="AC80" s="396">
        <f t="shared" si="16"/>
        <v>1</v>
      </c>
      <c r="AD80" s="395"/>
      <c r="AE80" s="395"/>
      <c r="AF80" s="395"/>
      <c r="AG80" s="395"/>
      <c r="AH80" s="395"/>
      <c r="AI80" s="395"/>
      <c r="AJ80" s="395"/>
      <c r="AK80" s="395"/>
      <c r="AL80" s="395">
        <v>16.05</v>
      </c>
      <c r="AM80" s="395"/>
    </row>
    <row r="81" spans="1:39">
      <c r="A81">
        <f t="shared" si="13"/>
        <v>131.9</v>
      </c>
      <c r="B81" s="382">
        <v>3</v>
      </c>
      <c r="C81" s="348">
        <v>-29.5</v>
      </c>
      <c r="D81" s="383">
        <f t="shared" si="9"/>
        <v>4.1766381766381766</v>
      </c>
      <c r="E81" s="350">
        <v>21.99</v>
      </c>
      <c r="F81" s="378">
        <f t="shared" si="10"/>
        <v>0.23999999999999844</v>
      </c>
      <c r="G81" s="338">
        <v>274.60000000000002</v>
      </c>
      <c r="H81" s="352">
        <f t="shared" si="14"/>
        <v>30</v>
      </c>
      <c r="I81" s="338">
        <v>274.60000000000002</v>
      </c>
      <c r="J81" s="392">
        <f t="shared" si="11"/>
        <v>-3.120000000000001</v>
      </c>
      <c r="K81" s="350">
        <v>12.93</v>
      </c>
      <c r="L81" s="349">
        <f t="shared" si="12"/>
        <v>2.4558404558404558</v>
      </c>
      <c r="M81" s="348">
        <v>-29.5</v>
      </c>
      <c r="N81" s="382">
        <v>3</v>
      </c>
      <c r="O81" s="337">
        <f t="shared" si="15"/>
        <v>191.9</v>
      </c>
      <c r="AB81" s="395">
        <v>21.75</v>
      </c>
      <c r="AC81" s="396">
        <f t="shared" si="16"/>
        <v>1</v>
      </c>
      <c r="AD81" s="395"/>
      <c r="AE81" s="395"/>
      <c r="AF81" s="395"/>
      <c r="AG81" s="395"/>
      <c r="AH81" s="395"/>
      <c r="AI81" s="395"/>
      <c r="AJ81" s="395"/>
      <c r="AK81" s="395"/>
      <c r="AL81" s="395">
        <v>16.05</v>
      </c>
      <c r="AM81" s="395"/>
    </row>
    <row r="82" spans="1:39">
      <c r="A82">
        <f t="shared" si="13"/>
        <v>133.9</v>
      </c>
      <c r="B82" s="382">
        <v>3</v>
      </c>
      <c r="C82" s="348">
        <v>-29.5</v>
      </c>
      <c r="D82" s="383">
        <f t="shared" si="9"/>
        <v>4.1329534662867999</v>
      </c>
      <c r="E82" s="350">
        <v>21.76</v>
      </c>
      <c r="F82" s="378">
        <f t="shared" si="10"/>
        <v>1.0000000000001563E-2</v>
      </c>
      <c r="G82" s="338">
        <v>274.60000000000002</v>
      </c>
      <c r="H82" s="352">
        <f t="shared" si="14"/>
        <v>28</v>
      </c>
      <c r="I82" s="338">
        <v>274.60000000000002</v>
      </c>
      <c r="J82" s="392">
        <f t="shared" si="11"/>
        <v>-2.75</v>
      </c>
      <c r="K82" s="350">
        <v>13.3</v>
      </c>
      <c r="L82" s="349">
        <f t="shared" si="12"/>
        <v>2.526115859449193</v>
      </c>
      <c r="M82" s="348">
        <v>-29.5</v>
      </c>
      <c r="N82" s="382">
        <v>3</v>
      </c>
      <c r="O82" s="337">
        <f t="shared" si="15"/>
        <v>189.9</v>
      </c>
      <c r="AB82" s="395">
        <v>21.75</v>
      </c>
      <c r="AC82" s="396">
        <f t="shared" si="16"/>
        <v>1</v>
      </c>
      <c r="AD82" s="395"/>
      <c r="AE82" s="395"/>
      <c r="AF82" s="395"/>
      <c r="AG82" s="395"/>
      <c r="AH82" s="395"/>
      <c r="AI82" s="395"/>
      <c r="AJ82" s="395"/>
      <c r="AK82" s="395"/>
      <c r="AL82" s="395">
        <v>16.05</v>
      </c>
      <c r="AM82" s="395"/>
    </row>
    <row r="83" spans="1:39">
      <c r="A83">
        <f t="shared" si="13"/>
        <v>135.9</v>
      </c>
      <c r="B83" s="382">
        <v>3</v>
      </c>
      <c r="C83" s="348">
        <v>-29.5</v>
      </c>
      <c r="D83" s="383">
        <f t="shared" si="9"/>
        <v>4.0892687559354233</v>
      </c>
      <c r="E83" s="350">
        <v>21.53</v>
      </c>
      <c r="F83" s="378">
        <f t="shared" si="10"/>
        <v>-0.21999999999999886</v>
      </c>
      <c r="G83" s="338">
        <v>274.60000000000002</v>
      </c>
      <c r="H83" s="352">
        <f t="shared" si="14"/>
        <v>26</v>
      </c>
      <c r="I83" s="338">
        <v>274.60000000000002</v>
      </c>
      <c r="J83" s="392">
        <f t="shared" si="11"/>
        <v>-1.7100000000000009</v>
      </c>
      <c r="K83" s="350">
        <v>14.34</v>
      </c>
      <c r="L83" s="349">
        <f t="shared" si="12"/>
        <v>2.7236467236467239</v>
      </c>
      <c r="M83" s="348">
        <v>-29.5</v>
      </c>
      <c r="N83" s="382">
        <v>3</v>
      </c>
      <c r="O83" s="337">
        <f t="shared" si="15"/>
        <v>187.9</v>
      </c>
      <c r="AB83" s="395">
        <v>21.75</v>
      </c>
      <c r="AC83" s="396">
        <f t="shared" si="16"/>
        <v>1</v>
      </c>
      <c r="AD83" s="395"/>
      <c r="AE83" s="395"/>
      <c r="AF83" s="395"/>
      <c r="AG83" s="395"/>
      <c r="AH83" s="395"/>
      <c r="AI83" s="395"/>
      <c r="AJ83" s="395"/>
      <c r="AK83" s="395"/>
      <c r="AL83" s="395">
        <v>16.05</v>
      </c>
      <c r="AM83" s="395"/>
    </row>
    <row r="84" spans="1:39">
      <c r="A84">
        <f t="shared" si="13"/>
        <v>137.9</v>
      </c>
      <c r="B84" s="382">
        <v>3</v>
      </c>
      <c r="C84" s="348">
        <v>-29.5</v>
      </c>
      <c r="D84" s="383">
        <f t="shared" si="9"/>
        <v>4.0322886989553659</v>
      </c>
      <c r="E84" s="350">
        <v>21.23</v>
      </c>
      <c r="F84" s="378">
        <f t="shared" si="10"/>
        <v>-0.51999999999999957</v>
      </c>
      <c r="G84" s="338">
        <v>274.60000000000002</v>
      </c>
      <c r="H84" s="352">
        <f t="shared" si="14"/>
        <v>24</v>
      </c>
      <c r="I84" s="338">
        <v>274.60000000000002</v>
      </c>
      <c r="J84" s="392">
        <f t="shared" si="11"/>
        <v>-1.4100000000000001</v>
      </c>
      <c r="K84" s="350">
        <v>14.64</v>
      </c>
      <c r="L84" s="349">
        <f t="shared" si="12"/>
        <v>2.7806267806267808</v>
      </c>
      <c r="M84" s="348">
        <v>-29.5</v>
      </c>
      <c r="N84" s="382">
        <v>3</v>
      </c>
      <c r="O84" s="337">
        <f t="shared" si="15"/>
        <v>185.9</v>
      </c>
      <c r="AB84" s="395">
        <v>21.75</v>
      </c>
      <c r="AC84" s="396">
        <f t="shared" si="16"/>
        <v>1</v>
      </c>
      <c r="AD84" s="395"/>
      <c r="AE84" s="395"/>
      <c r="AF84" s="395"/>
      <c r="AG84" s="395"/>
      <c r="AH84" s="395"/>
      <c r="AI84" s="395"/>
      <c r="AJ84" s="395"/>
      <c r="AK84" s="395"/>
      <c r="AL84" s="395">
        <v>16.05</v>
      </c>
      <c r="AM84" s="395"/>
    </row>
    <row r="85" spans="1:39">
      <c r="A85">
        <f t="shared" si="13"/>
        <v>139.9</v>
      </c>
      <c r="B85" s="382">
        <v>3</v>
      </c>
      <c r="C85" s="348">
        <v>-29.5</v>
      </c>
      <c r="D85" s="383">
        <f t="shared" si="9"/>
        <v>3.9943019943019946</v>
      </c>
      <c r="E85" s="350">
        <v>21.03</v>
      </c>
      <c r="F85" s="378">
        <f t="shared" si="10"/>
        <v>-0.71999999999999886</v>
      </c>
      <c r="G85" s="338">
        <v>274.60000000000002</v>
      </c>
      <c r="H85" s="352">
        <f t="shared" si="14"/>
        <v>22</v>
      </c>
      <c r="I85" s="338">
        <v>274.60000000000002</v>
      </c>
      <c r="J85" s="392">
        <f t="shared" si="11"/>
        <v>-1.0500000000000007</v>
      </c>
      <c r="K85" s="350">
        <v>15</v>
      </c>
      <c r="L85" s="349">
        <f t="shared" si="12"/>
        <v>2.8490028490028494</v>
      </c>
      <c r="M85" s="348">
        <v>-29.5</v>
      </c>
      <c r="N85" s="382">
        <v>3</v>
      </c>
      <c r="O85" s="337">
        <f t="shared" si="15"/>
        <v>183.9</v>
      </c>
      <c r="AB85" s="395">
        <v>21.75</v>
      </c>
      <c r="AC85" s="396">
        <f t="shared" si="16"/>
        <v>1</v>
      </c>
      <c r="AD85" s="395"/>
      <c r="AE85" s="395"/>
      <c r="AF85" s="395"/>
      <c r="AG85" s="395"/>
      <c r="AH85" s="395"/>
      <c r="AI85" s="395"/>
      <c r="AJ85" s="395"/>
      <c r="AK85" s="395"/>
      <c r="AL85" s="395">
        <v>16.05</v>
      </c>
      <c r="AM85" s="395"/>
    </row>
    <row r="86" spans="1:39">
      <c r="A86">
        <f t="shared" si="13"/>
        <v>141.9</v>
      </c>
      <c r="B86" s="382">
        <v>3</v>
      </c>
      <c r="C86" s="348">
        <v>-29.5</v>
      </c>
      <c r="D86" s="383">
        <f t="shared" si="9"/>
        <v>3.9620132953466287</v>
      </c>
      <c r="E86" s="350">
        <v>20.86</v>
      </c>
      <c r="F86" s="378">
        <f t="shared" si="10"/>
        <v>-0.89000000000000057</v>
      </c>
      <c r="G86" s="338">
        <v>274.60000000000002</v>
      </c>
      <c r="H86" s="352">
        <f t="shared" si="14"/>
        <v>20</v>
      </c>
      <c r="I86" s="338">
        <v>274.60000000000002</v>
      </c>
      <c r="J86" s="392">
        <f t="shared" si="11"/>
        <v>-0.75</v>
      </c>
      <c r="K86" s="350">
        <v>15.3</v>
      </c>
      <c r="L86" s="349">
        <f t="shared" si="12"/>
        <v>2.9059829059829063</v>
      </c>
      <c r="M86" s="348">
        <v>-29.5</v>
      </c>
      <c r="N86" s="382">
        <v>3</v>
      </c>
      <c r="O86" s="337">
        <f t="shared" si="15"/>
        <v>181.9</v>
      </c>
      <c r="R86" t="s">
        <v>317</v>
      </c>
      <c r="AB86" s="395">
        <v>21.75</v>
      </c>
      <c r="AC86" s="396">
        <f t="shared" si="16"/>
        <v>1</v>
      </c>
      <c r="AD86" s="395"/>
      <c r="AE86" s="395"/>
      <c r="AF86" s="395"/>
      <c r="AG86" s="395"/>
      <c r="AH86" s="395"/>
      <c r="AI86" s="395"/>
      <c r="AJ86" s="395"/>
      <c r="AK86" s="395"/>
      <c r="AL86" s="395">
        <v>16.05</v>
      </c>
      <c r="AM86" s="395"/>
    </row>
    <row r="87" spans="1:39">
      <c r="A87">
        <f t="shared" si="13"/>
        <v>143.9</v>
      </c>
      <c r="B87" s="382">
        <v>3</v>
      </c>
      <c r="C87" s="348">
        <v>-29.5</v>
      </c>
      <c r="D87" s="383">
        <f t="shared" si="9"/>
        <v>3.9563152896486229</v>
      </c>
      <c r="E87" s="350">
        <v>20.83</v>
      </c>
      <c r="F87" s="378">
        <f t="shared" si="10"/>
        <v>-0.92000000000000171</v>
      </c>
      <c r="G87" s="338">
        <v>274.60000000000002</v>
      </c>
      <c r="H87" s="352">
        <f t="shared" si="14"/>
        <v>18</v>
      </c>
      <c r="I87" s="338">
        <v>274.60000000000002</v>
      </c>
      <c r="J87" s="392">
        <f t="shared" si="11"/>
        <v>-0.70000000000000107</v>
      </c>
      <c r="K87" s="350">
        <v>15.35</v>
      </c>
      <c r="L87" s="349">
        <f t="shared" si="12"/>
        <v>2.9154795821462489</v>
      </c>
      <c r="M87" s="348">
        <v>-29.5</v>
      </c>
      <c r="N87" s="382">
        <v>3</v>
      </c>
      <c r="O87" s="337">
        <f t="shared" si="15"/>
        <v>179.9</v>
      </c>
      <c r="AB87" s="395">
        <v>21.75</v>
      </c>
      <c r="AC87" s="396">
        <f t="shared" si="16"/>
        <v>1</v>
      </c>
      <c r="AD87" s="395"/>
      <c r="AE87" s="395"/>
      <c r="AF87" s="395"/>
      <c r="AG87" s="395"/>
      <c r="AH87" s="395"/>
      <c r="AI87" s="395"/>
      <c r="AJ87" s="395"/>
      <c r="AK87" s="395"/>
      <c r="AL87" s="395">
        <v>16.05</v>
      </c>
      <c r="AM87" s="395"/>
    </row>
    <row r="88" spans="1:39">
      <c r="A88">
        <f t="shared" si="13"/>
        <v>145.9</v>
      </c>
      <c r="B88" s="382">
        <v>3</v>
      </c>
      <c r="C88" s="348">
        <v>-29.5</v>
      </c>
      <c r="D88" s="383">
        <f t="shared" si="9"/>
        <v>3.9145299145299148</v>
      </c>
      <c r="E88" s="350">
        <v>20.61</v>
      </c>
      <c r="F88" s="378">
        <f t="shared" si="10"/>
        <v>-1.1400000000000006</v>
      </c>
      <c r="G88" s="338">
        <v>274.60000000000002</v>
      </c>
      <c r="H88" s="352">
        <f t="shared" si="14"/>
        <v>16</v>
      </c>
      <c r="I88" s="338">
        <v>274.60000000000002</v>
      </c>
      <c r="J88" s="392">
        <f t="shared" si="11"/>
        <v>-0.65000000000000036</v>
      </c>
      <c r="K88" s="350">
        <v>15.4</v>
      </c>
      <c r="L88" s="349">
        <f t="shared" si="12"/>
        <v>2.924976258309592</v>
      </c>
      <c r="M88" s="348">
        <v>-29.5</v>
      </c>
      <c r="N88" s="382">
        <v>3</v>
      </c>
      <c r="O88" s="337">
        <f t="shared" si="15"/>
        <v>177.9</v>
      </c>
      <c r="AB88" s="395">
        <v>21.75</v>
      </c>
      <c r="AC88" s="396">
        <f t="shared" si="16"/>
        <v>1</v>
      </c>
      <c r="AD88" s="395"/>
      <c r="AE88" s="395"/>
      <c r="AF88" s="395"/>
      <c r="AG88" s="395"/>
      <c r="AH88" s="395"/>
      <c r="AI88" s="395"/>
      <c r="AJ88" s="395"/>
      <c r="AK88" s="395"/>
      <c r="AL88" s="395">
        <v>16.05</v>
      </c>
      <c r="AM88" s="395"/>
    </row>
    <row r="89" spans="1:39">
      <c r="A89">
        <f t="shared" si="13"/>
        <v>147.9</v>
      </c>
      <c r="B89" s="382">
        <v>3</v>
      </c>
      <c r="C89" s="348">
        <v>-29.5</v>
      </c>
      <c r="D89" s="383">
        <f t="shared" si="9"/>
        <v>3.8727445394112063</v>
      </c>
      <c r="E89" s="350">
        <v>20.39</v>
      </c>
      <c r="F89" s="378">
        <f t="shared" si="10"/>
        <v>-1.3599999999999994</v>
      </c>
      <c r="G89" s="338">
        <v>274.60000000000002</v>
      </c>
      <c r="H89" s="352">
        <f t="shared" si="14"/>
        <v>14</v>
      </c>
      <c r="I89" s="338">
        <v>274.60000000000002</v>
      </c>
      <c r="J89" s="392">
        <f t="shared" si="11"/>
        <v>-0.40000000000000036</v>
      </c>
      <c r="K89" s="350">
        <v>15.65</v>
      </c>
      <c r="L89" s="349">
        <f t="shared" si="12"/>
        <v>2.9724596391263058</v>
      </c>
      <c r="M89" s="348">
        <v>-29.5</v>
      </c>
      <c r="N89" s="382">
        <v>3</v>
      </c>
      <c r="O89" s="337">
        <f t="shared" si="15"/>
        <v>175.9</v>
      </c>
      <c r="AB89" s="395">
        <v>21.75</v>
      </c>
      <c r="AC89" s="396">
        <f t="shared" si="16"/>
        <v>1</v>
      </c>
      <c r="AD89" s="395"/>
      <c r="AE89" s="395"/>
      <c r="AF89" s="395"/>
      <c r="AG89" s="395"/>
      <c r="AH89" s="395"/>
      <c r="AI89" s="395"/>
      <c r="AJ89" s="395"/>
      <c r="AK89" s="395"/>
      <c r="AL89" s="395">
        <v>16.05</v>
      </c>
      <c r="AM89" s="395"/>
    </row>
    <row r="90" spans="1:39">
      <c r="A90">
        <f t="shared" si="13"/>
        <v>149.9</v>
      </c>
      <c r="B90" s="382">
        <v>3</v>
      </c>
      <c r="C90" s="348">
        <v>-29.5</v>
      </c>
      <c r="D90" s="383">
        <f t="shared" si="9"/>
        <v>3.8556505223171893</v>
      </c>
      <c r="E90" s="350">
        <v>20.3</v>
      </c>
      <c r="F90" s="378">
        <f t="shared" si="10"/>
        <v>-1.4499999999999993</v>
      </c>
      <c r="G90" s="338">
        <v>274.60000000000002</v>
      </c>
      <c r="H90" s="352">
        <f t="shared" si="14"/>
        <v>12</v>
      </c>
      <c r="I90" s="338">
        <v>274.60000000000002</v>
      </c>
      <c r="J90" s="392">
        <f t="shared" si="11"/>
        <v>-5.0000000000000711E-2</v>
      </c>
      <c r="K90" s="350">
        <v>16</v>
      </c>
      <c r="L90" s="349">
        <f t="shared" si="12"/>
        <v>3.0389363722697058</v>
      </c>
      <c r="M90" s="348">
        <v>-29.5</v>
      </c>
      <c r="N90" s="382">
        <v>3</v>
      </c>
      <c r="O90" s="337">
        <f t="shared" si="15"/>
        <v>173.9</v>
      </c>
      <c r="AB90" s="395">
        <v>21.75</v>
      </c>
      <c r="AC90" s="396">
        <f t="shared" si="16"/>
        <v>1</v>
      </c>
      <c r="AD90" s="395"/>
      <c r="AE90" s="395"/>
      <c r="AF90" s="395"/>
      <c r="AG90" s="395"/>
      <c r="AH90" s="395"/>
      <c r="AI90" s="395"/>
      <c r="AJ90" s="395"/>
      <c r="AK90" s="395"/>
      <c r="AL90" s="395">
        <v>16.05</v>
      </c>
      <c r="AM90" s="395"/>
    </row>
    <row r="91" spans="1:39">
      <c r="A91">
        <f t="shared" si="13"/>
        <v>151.9</v>
      </c>
      <c r="B91" s="382">
        <v>3</v>
      </c>
      <c r="C91" s="348">
        <v>-29.5</v>
      </c>
      <c r="D91" s="383">
        <f t="shared" si="9"/>
        <v>3.8423551756885095</v>
      </c>
      <c r="E91" s="350">
        <v>20.23</v>
      </c>
      <c r="F91" s="378">
        <f t="shared" si="10"/>
        <v>-1.5199999999999996</v>
      </c>
      <c r="G91" s="338">
        <v>274.60000000000002</v>
      </c>
      <c r="H91" s="352">
        <f t="shared" si="14"/>
        <v>10</v>
      </c>
      <c r="I91" s="338">
        <v>274.60000000000002</v>
      </c>
      <c r="J91" s="392">
        <f t="shared" si="11"/>
        <v>0.5</v>
      </c>
      <c r="K91" s="350">
        <v>16.55</v>
      </c>
      <c r="L91" s="349">
        <f t="shared" si="12"/>
        <v>3.1433998100664771</v>
      </c>
      <c r="M91" s="348">
        <v>-29.5</v>
      </c>
      <c r="N91" s="382">
        <v>3</v>
      </c>
      <c r="O91" s="337">
        <f t="shared" si="15"/>
        <v>171.9</v>
      </c>
      <c r="AB91" s="395">
        <v>21.75</v>
      </c>
      <c r="AC91" s="396">
        <f t="shared" si="16"/>
        <v>1</v>
      </c>
      <c r="AD91" s="395"/>
      <c r="AE91" s="395"/>
      <c r="AF91" s="395"/>
      <c r="AG91" s="395"/>
      <c r="AH91" s="395"/>
      <c r="AI91" s="395"/>
      <c r="AJ91" s="395"/>
      <c r="AK91" s="395"/>
      <c r="AL91" s="395">
        <v>16.05</v>
      </c>
      <c r="AM91" s="395"/>
    </row>
    <row r="92" spans="1:39">
      <c r="A92">
        <f t="shared" si="13"/>
        <v>153.9</v>
      </c>
      <c r="B92" s="382">
        <v>3</v>
      </c>
      <c r="C92" s="348">
        <v>-29.5</v>
      </c>
      <c r="D92" s="383">
        <f t="shared" si="9"/>
        <v>3.8157644824311494</v>
      </c>
      <c r="E92" s="350">
        <v>20.09</v>
      </c>
      <c r="F92" s="378">
        <f t="shared" si="10"/>
        <v>-1.6600000000000001</v>
      </c>
      <c r="G92" s="338">
        <v>274.60000000000002</v>
      </c>
      <c r="H92" s="352">
        <f t="shared" si="14"/>
        <v>8</v>
      </c>
      <c r="I92" s="338">
        <v>274.60000000000002</v>
      </c>
      <c r="J92" s="392">
        <f t="shared" si="11"/>
        <v>0.83999999999999986</v>
      </c>
      <c r="K92" s="350">
        <v>16.89</v>
      </c>
      <c r="L92" s="349">
        <f t="shared" si="12"/>
        <v>3.2079772079772084</v>
      </c>
      <c r="M92" s="348">
        <v>-29.5</v>
      </c>
      <c r="N92" s="382">
        <v>3</v>
      </c>
      <c r="O92" s="337">
        <f t="shared" si="15"/>
        <v>169.9</v>
      </c>
      <c r="AB92" s="395">
        <v>21.75</v>
      </c>
      <c r="AC92" s="396">
        <f t="shared" si="16"/>
        <v>1</v>
      </c>
      <c r="AD92" s="395"/>
      <c r="AE92" s="395"/>
      <c r="AF92" s="395"/>
      <c r="AG92" s="395"/>
      <c r="AH92" s="395"/>
      <c r="AI92" s="395"/>
      <c r="AJ92" s="395"/>
      <c r="AK92" s="395"/>
      <c r="AL92" s="395">
        <v>16.05</v>
      </c>
      <c r="AM92" s="395"/>
    </row>
    <row r="93" spans="1:39">
      <c r="A93">
        <f t="shared" si="13"/>
        <v>155.9</v>
      </c>
      <c r="B93" s="382">
        <v>3</v>
      </c>
      <c r="C93" s="348">
        <v>-29.5</v>
      </c>
      <c r="D93" s="383">
        <f t="shared" si="9"/>
        <v>3.7891737891737893</v>
      </c>
      <c r="E93" s="350">
        <v>19.95</v>
      </c>
      <c r="F93" s="378">
        <f t="shared" si="10"/>
        <v>-1.8000000000000007</v>
      </c>
      <c r="G93" s="338">
        <v>274.60000000000002</v>
      </c>
      <c r="H93" s="352">
        <f t="shared" si="14"/>
        <v>6</v>
      </c>
      <c r="I93" s="338">
        <v>274.60000000000002</v>
      </c>
      <c r="J93" s="392">
        <f t="shared" si="11"/>
        <v>1.3000000000000007</v>
      </c>
      <c r="K93" s="350">
        <v>17.350000000000001</v>
      </c>
      <c r="L93" s="349">
        <f t="shared" si="12"/>
        <v>3.2953466286799626</v>
      </c>
      <c r="M93" s="348">
        <v>-29.5</v>
      </c>
      <c r="N93" s="382">
        <v>3</v>
      </c>
      <c r="O93" s="337">
        <f t="shared" si="15"/>
        <v>167.9</v>
      </c>
      <c r="AB93" s="395">
        <v>21.75</v>
      </c>
      <c r="AC93" s="396">
        <f t="shared" si="16"/>
        <v>1</v>
      </c>
      <c r="AD93" s="395"/>
      <c r="AE93" s="395"/>
      <c r="AF93" s="395"/>
      <c r="AG93" s="395"/>
      <c r="AH93" s="395"/>
      <c r="AI93" s="395"/>
      <c r="AJ93" s="395"/>
      <c r="AK93" s="395"/>
      <c r="AL93" s="395">
        <v>16.05</v>
      </c>
      <c r="AM93" s="395"/>
    </row>
    <row r="94" spans="1:39">
      <c r="A94">
        <f t="shared" si="13"/>
        <v>157.9</v>
      </c>
      <c r="B94" s="382">
        <v>3</v>
      </c>
      <c r="C94" s="348">
        <v>-29.5</v>
      </c>
      <c r="D94" s="383">
        <f t="shared" si="9"/>
        <v>3.5783475783475787</v>
      </c>
      <c r="E94" s="350">
        <v>18.84</v>
      </c>
      <c r="F94" s="378">
        <f t="shared" si="10"/>
        <v>-2.91</v>
      </c>
      <c r="G94" s="338">
        <v>274.60000000000002</v>
      </c>
      <c r="H94" s="352">
        <f t="shared" si="14"/>
        <v>4</v>
      </c>
      <c r="I94" s="338">
        <v>274.60000000000002</v>
      </c>
      <c r="J94" s="392">
        <f t="shared" si="11"/>
        <v>1.629999999999999</v>
      </c>
      <c r="K94" s="350">
        <v>17.68</v>
      </c>
      <c r="L94" s="349">
        <f t="shared" si="12"/>
        <v>3.3580246913580249</v>
      </c>
      <c r="M94" s="348">
        <v>-29.5</v>
      </c>
      <c r="N94" s="382">
        <v>3</v>
      </c>
      <c r="O94" s="337">
        <f t="shared" si="15"/>
        <v>165.9</v>
      </c>
      <c r="AB94" s="395">
        <v>21.75</v>
      </c>
      <c r="AC94" s="396">
        <f t="shared" si="16"/>
        <v>1</v>
      </c>
      <c r="AD94" s="395"/>
      <c r="AE94" s="395"/>
      <c r="AF94" s="395"/>
      <c r="AG94" s="395"/>
      <c r="AH94" s="395"/>
      <c r="AI94" s="395"/>
      <c r="AJ94" s="395"/>
      <c r="AK94" s="395"/>
      <c r="AL94" s="395">
        <v>16.05</v>
      </c>
      <c r="AM94" s="395"/>
    </row>
    <row r="95" spans="1:39">
      <c r="A95">
        <f t="shared" si="13"/>
        <v>159.9</v>
      </c>
      <c r="B95" s="382">
        <v>3</v>
      </c>
      <c r="C95" s="348">
        <v>-29.5</v>
      </c>
      <c r="D95" s="383">
        <f t="shared" si="9"/>
        <v>3.5441595441595446</v>
      </c>
      <c r="E95" s="350">
        <v>18.66</v>
      </c>
      <c r="F95" s="378">
        <f t="shared" si="10"/>
        <v>-3.09</v>
      </c>
      <c r="G95" s="338">
        <v>274.60000000000002</v>
      </c>
      <c r="H95" s="352">
        <f t="shared" si="14"/>
        <v>2</v>
      </c>
      <c r="I95" s="338">
        <v>274.60000000000002</v>
      </c>
      <c r="J95" s="392">
        <f t="shared" si="11"/>
        <v>1.9899999999999984</v>
      </c>
      <c r="K95" s="350">
        <v>18.04</v>
      </c>
      <c r="L95" s="349">
        <f t="shared" si="12"/>
        <v>3.4264007597340931</v>
      </c>
      <c r="M95" s="348">
        <v>-29.5</v>
      </c>
      <c r="N95" s="382">
        <v>3</v>
      </c>
      <c r="O95" s="337">
        <f t="shared" si="15"/>
        <v>163.9</v>
      </c>
      <c r="AB95" s="395">
        <v>21.75</v>
      </c>
      <c r="AC95" s="396">
        <f>AC94</f>
        <v>1</v>
      </c>
      <c r="AD95" s="395"/>
      <c r="AE95" s="395"/>
      <c r="AF95" s="395"/>
      <c r="AG95" s="395"/>
      <c r="AH95" s="395"/>
      <c r="AI95" s="395"/>
      <c r="AJ95" s="395"/>
      <c r="AK95" s="395"/>
      <c r="AL95" s="395">
        <v>16.05</v>
      </c>
      <c r="AM95" s="395"/>
    </row>
    <row r="96" spans="1:39">
      <c r="A96">
        <f t="shared" si="13"/>
        <v>161.9</v>
      </c>
      <c r="B96" s="382">
        <v>3</v>
      </c>
      <c r="C96" s="348">
        <v>-29.5</v>
      </c>
      <c r="D96" s="349">
        <v>3.49</v>
      </c>
      <c r="E96" s="350">
        <v>18.399999999999999</v>
      </c>
      <c r="F96" s="378">
        <f t="shared" si="10"/>
        <v>-3.3500000000000014</v>
      </c>
      <c r="G96" s="338">
        <v>274.60000000000002</v>
      </c>
      <c r="H96" s="352">
        <f t="shared" si="14"/>
        <v>0</v>
      </c>
      <c r="I96" s="338">
        <v>274.60000000000002</v>
      </c>
      <c r="J96" s="392">
        <f t="shared" si="11"/>
        <v>2.3499999999999979</v>
      </c>
      <c r="K96" s="350">
        <v>18.399999999999999</v>
      </c>
      <c r="L96" s="349">
        <f t="shared" si="12"/>
        <v>3.4947768281101612</v>
      </c>
      <c r="M96" s="348">
        <v>-29.5</v>
      </c>
      <c r="N96" s="382">
        <v>3</v>
      </c>
      <c r="O96" s="337">
        <f t="shared" si="15"/>
        <v>161.9</v>
      </c>
      <c r="AB96" s="395">
        <v>21.75</v>
      </c>
      <c r="AC96" s="396">
        <f t="shared" si="16"/>
        <v>1</v>
      </c>
      <c r="AD96" s="395"/>
      <c r="AE96" s="395"/>
      <c r="AF96" s="395"/>
      <c r="AG96" s="395"/>
      <c r="AH96" s="395"/>
      <c r="AI96" s="395"/>
      <c r="AJ96" s="395"/>
      <c r="AK96" s="395"/>
      <c r="AL96" s="395">
        <v>16.05</v>
      </c>
      <c r="AM96" s="395"/>
    </row>
    <row r="97" spans="28:39">
      <c r="AB97" s="395">
        <v>21.75</v>
      </c>
      <c r="AC97" s="396">
        <f t="shared" si="16"/>
        <v>1</v>
      </c>
      <c r="AD97" s="395"/>
      <c r="AE97" s="395"/>
      <c r="AF97" s="395"/>
      <c r="AG97" s="395"/>
      <c r="AH97" s="395"/>
      <c r="AI97" s="395"/>
      <c r="AJ97" s="395"/>
      <c r="AK97" s="395"/>
      <c r="AL97" s="395">
        <v>16.05</v>
      </c>
      <c r="AM97" s="395"/>
    </row>
    <row r="98" spans="28:39">
      <c r="AB98" s="395">
        <v>21.75</v>
      </c>
      <c r="AC98" s="395"/>
      <c r="AD98" s="395"/>
      <c r="AE98" s="395"/>
      <c r="AF98" s="395"/>
      <c r="AG98" s="395"/>
      <c r="AH98" s="395"/>
      <c r="AI98" s="395"/>
      <c r="AJ98" s="395"/>
      <c r="AK98" s="395"/>
      <c r="AL98" s="395">
        <v>16.05</v>
      </c>
      <c r="AM98" s="395"/>
    </row>
    <row r="99" spans="28:39">
      <c r="AB99" s="395">
        <v>21.75</v>
      </c>
      <c r="AC99" s="395"/>
      <c r="AD99" s="395"/>
      <c r="AE99" s="395"/>
      <c r="AF99" s="395"/>
      <c r="AG99" s="395"/>
      <c r="AH99" s="395"/>
      <c r="AI99" s="395"/>
      <c r="AJ99" s="395"/>
      <c r="AK99" s="395"/>
      <c r="AL99" s="395">
        <v>16.05</v>
      </c>
      <c r="AM99" s="395"/>
    </row>
    <row r="100" spans="28:39">
      <c r="AB100" s="395">
        <v>21.75</v>
      </c>
      <c r="AC100" s="395"/>
      <c r="AD100" s="395"/>
      <c r="AE100" s="395"/>
      <c r="AF100" s="395"/>
      <c r="AG100" s="395"/>
      <c r="AH100" s="395"/>
      <c r="AI100" s="395"/>
      <c r="AJ100" s="395"/>
      <c r="AK100" s="395"/>
      <c r="AL100" s="395">
        <v>16.05</v>
      </c>
      <c r="AM100" s="395"/>
    </row>
    <row r="101" spans="28:39">
      <c r="AB101" s="395">
        <v>21.75</v>
      </c>
      <c r="AC101" s="395"/>
      <c r="AD101" s="395"/>
      <c r="AE101" s="395"/>
      <c r="AF101" s="395"/>
      <c r="AG101" s="395"/>
      <c r="AH101" s="395"/>
      <c r="AI101" s="395"/>
      <c r="AJ101" s="395"/>
      <c r="AK101" s="395"/>
      <c r="AL101" s="395">
        <v>16.05</v>
      </c>
      <c r="AM101" s="395"/>
    </row>
    <row r="102" spans="28:39">
      <c r="AB102" s="395">
        <v>21.75</v>
      </c>
      <c r="AC102" s="395"/>
      <c r="AD102" s="395"/>
      <c r="AE102" s="395"/>
      <c r="AF102" s="395"/>
      <c r="AG102" s="395"/>
      <c r="AH102" s="395"/>
      <c r="AI102" s="395"/>
      <c r="AJ102" s="395"/>
      <c r="AK102" s="395"/>
      <c r="AL102" s="395">
        <v>16.05</v>
      </c>
      <c r="AM102" s="395"/>
    </row>
    <row r="103" spans="28:39">
      <c r="AB103" s="395">
        <v>21.75</v>
      </c>
      <c r="AC103" s="395"/>
      <c r="AD103" s="395"/>
      <c r="AE103" s="395"/>
      <c r="AF103" s="395"/>
      <c r="AG103" s="395"/>
      <c r="AH103" s="395"/>
      <c r="AI103" s="395"/>
      <c r="AJ103" s="395"/>
      <c r="AK103" s="395"/>
      <c r="AL103" s="395">
        <v>16.05</v>
      </c>
      <c r="AM103" s="395"/>
    </row>
    <row r="104" spans="28:39">
      <c r="AB104" s="395">
        <v>21.75</v>
      </c>
      <c r="AC104" s="395"/>
      <c r="AD104" s="395"/>
      <c r="AE104" s="395"/>
      <c r="AF104" s="395"/>
      <c r="AG104" s="395"/>
      <c r="AH104" s="395"/>
      <c r="AI104" s="395"/>
      <c r="AJ104" s="395"/>
      <c r="AK104" s="395"/>
      <c r="AL104" s="395">
        <v>16.05</v>
      </c>
      <c r="AM104" s="395"/>
    </row>
    <row r="105" spans="28:39">
      <c r="AB105" s="395">
        <v>21.75</v>
      </c>
      <c r="AC105" s="395"/>
      <c r="AD105" s="395"/>
      <c r="AE105" s="395"/>
      <c r="AF105" s="395"/>
      <c r="AG105" s="395"/>
      <c r="AH105" s="395"/>
      <c r="AI105" s="395"/>
      <c r="AJ105" s="395"/>
      <c r="AK105" s="395"/>
      <c r="AL105" s="395">
        <v>16.05</v>
      </c>
      <c r="AM105" s="395"/>
    </row>
    <row r="106" spans="28:39">
      <c r="AB106" s="395">
        <v>21.75</v>
      </c>
      <c r="AC106" s="395"/>
      <c r="AD106" s="395"/>
      <c r="AE106" s="395"/>
      <c r="AF106" s="395"/>
      <c r="AG106" s="395"/>
      <c r="AH106" s="395"/>
      <c r="AI106" s="395"/>
      <c r="AJ106" s="395"/>
      <c r="AK106" s="395"/>
      <c r="AL106" s="395">
        <v>16.05</v>
      </c>
      <c r="AM106" s="395"/>
    </row>
    <row r="107" spans="28:39">
      <c r="AB107" s="395">
        <v>21.75</v>
      </c>
      <c r="AC107" s="395"/>
      <c r="AD107" s="395"/>
      <c r="AE107" s="395"/>
      <c r="AF107" s="395"/>
      <c r="AG107" s="395"/>
      <c r="AH107" s="395"/>
      <c r="AI107" s="395"/>
      <c r="AJ107" s="395"/>
      <c r="AK107" s="395"/>
      <c r="AL107" s="395">
        <v>16.05</v>
      </c>
      <c r="AM107" s="395"/>
    </row>
    <row r="108" spans="28:39">
      <c r="AB108" s="395">
        <v>21.75</v>
      </c>
      <c r="AC108" s="395"/>
      <c r="AD108" s="395"/>
      <c r="AE108" s="395"/>
      <c r="AF108" s="395"/>
      <c r="AG108" s="395"/>
      <c r="AH108" s="395"/>
      <c r="AI108" s="395"/>
      <c r="AJ108" s="395"/>
      <c r="AK108" s="395"/>
      <c r="AL108" s="395"/>
      <c r="AM108" s="395"/>
    </row>
    <row r="109" spans="28:39">
      <c r="AB109" s="395">
        <v>21.75</v>
      </c>
      <c r="AC109" s="395"/>
      <c r="AD109" s="395"/>
      <c r="AE109" s="395"/>
      <c r="AF109" s="395"/>
      <c r="AG109" s="395"/>
      <c r="AH109" s="395"/>
      <c r="AI109" s="395"/>
      <c r="AJ109" s="395"/>
      <c r="AK109" s="395"/>
      <c r="AL109" s="395"/>
      <c r="AM109" s="395"/>
    </row>
    <row r="110" spans="28:39">
      <c r="AB110" s="395">
        <v>21.75</v>
      </c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</row>
    <row r="111" spans="28:39">
      <c r="AB111" s="395">
        <v>21.75</v>
      </c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</row>
    <row r="112" spans="28:39">
      <c r="AB112" s="395">
        <v>21.75</v>
      </c>
      <c r="AC112" s="395"/>
      <c r="AD112" s="395"/>
      <c r="AE112" s="395"/>
      <c r="AF112" s="395"/>
      <c r="AG112" s="395"/>
      <c r="AH112" s="395"/>
      <c r="AI112" s="395"/>
      <c r="AJ112" s="395"/>
      <c r="AK112" s="395"/>
      <c r="AL112" s="395"/>
      <c r="AM112" s="395"/>
    </row>
    <row r="113" spans="28:39">
      <c r="AB113" s="395">
        <v>21.75</v>
      </c>
      <c r="AC113" s="395"/>
      <c r="AD113" s="395"/>
      <c r="AE113" s="395"/>
      <c r="AF113" s="395"/>
      <c r="AG113" s="395"/>
      <c r="AH113" s="395"/>
      <c r="AI113" s="395"/>
      <c r="AJ113" s="395"/>
      <c r="AK113" s="395"/>
      <c r="AL113" s="395"/>
      <c r="AM113" s="395"/>
    </row>
    <row r="114" spans="28:39">
      <c r="AB114" s="395">
        <v>21.75</v>
      </c>
      <c r="AC114" s="395"/>
      <c r="AD114" s="395"/>
      <c r="AE114" s="395"/>
      <c r="AF114" s="395"/>
      <c r="AG114" s="395"/>
      <c r="AH114" s="395"/>
      <c r="AI114" s="395"/>
      <c r="AJ114" s="395"/>
      <c r="AK114" s="395"/>
      <c r="AL114" s="395"/>
      <c r="AM114" s="395"/>
    </row>
    <row r="115" spans="28:39">
      <c r="AB115" s="395">
        <v>21.75</v>
      </c>
      <c r="AC115" s="395"/>
      <c r="AD115" s="395"/>
      <c r="AE115" s="395"/>
      <c r="AF115" s="395"/>
      <c r="AG115" s="395"/>
      <c r="AH115" s="395"/>
      <c r="AI115" s="395"/>
      <c r="AJ115" s="395"/>
      <c r="AK115" s="395"/>
      <c r="AL115" s="395"/>
      <c r="AM115" s="395"/>
    </row>
    <row r="116" spans="28:39">
      <c r="AB116" s="395">
        <v>21.75</v>
      </c>
      <c r="AC116" s="395"/>
      <c r="AD116" s="395"/>
      <c r="AE116" s="395"/>
      <c r="AF116" s="395"/>
      <c r="AG116" s="395"/>
      <c r="AH116" s="395"/>
      <c r="AI116" s="395"/>
      <c r="AJ116" s="395"/>
      <c r="AK116" s="395"/>
      <c r="AL116" s="395"/>
      <c r="AM116" s="395"/>
    </row>
    <row r="117" spans="28:39">
      <c r="AB117" s="395">
        <v>21.75</v>
      </c>
      <c r="AC117" s="395"/>
      <c r="AD117" s="395"/>
      <c r="AE117" s="395"/>
      <c r="AF117" s="395"/>
      <c r="AG117" s="395"/>
      <c r="AH117" s="395"/>
      <c r="AI117" s="395"/>
      <c r="AJ117" s="395"/>
      <c r="AK117" s="395"/>
      <c r="AL117" s="395"/>
      <c r="AM117" s="395"/>
    </row>
    <row r="118" spans="28:39">
      <c r="AB118" s="395">
        <v>21.75</v>
      </c>
      <c r="AC118" s="395"/>
      <c r="AD118" s="395"/>
      <c r="AE118" s="395"/>
      <c r="AF118" s="395"/>
      <c r="AG118" s="395"/>
      <c r="AH118" s="395"/>
      <c r="AI118" s="395"/>
      <c r="AJ118" s="395"/>
      <c r="AK118" s="395"/>
      <c r="AL118" s="395"/>
      <c r="AM118" s="395"/>
    </row>
    <row r="119" spans="28:39">
      <c r="AB119" s="395">
        <v>21.75</v>
      </c>
      <c r="AC119" s="395"/>
      <c r="AD119" s="395"/>
      <c r="AE119" s="395"/>
      <c r="AF119" s="395"/>
      <c r="AG119" s="395"/>
      <c r="AH119" s="395"/>
      <c r="AI119" s="395"/>
      <c r="AJ119" s="395"/>
      <c r="AK119" s="395"/>
      <c r="AL119" s="395"/>
      <c r="AM119" s="395"/>
    </row>
    <row r="120" spans="28:39">
      <c r="AB120" s="395">
        <v>21.75</v>
      </c>
      <c r="AC120" s="395"/>
    </row>
    <row r="121" spans="28:39">
      <c r="AB121" s="395">
        <v>21.75</v>
      </c>
      <c r="AC121" s="395"/>
    </row>
    <row r="122" spans="28:39">
      <c r="AB122" s="395">
        <v>21.75</v>
      </c>
      <c r="AC122" s="395"/>
    </row>
    <row r="123" spans="28:39">
      <c r="AB123" s="395">
        <v>21.75</v>
      </c>
      <c r="AC123" s="395"/>
    </row>
    <row r="124" spans="28:39">
      <c r="AB124" s="395"/>
      <c r="AC124" s="395"/>
    </row>
    <row r="125" spans="28:39">
      <c r="AB125" s="395"/>
      <c r="AC125" s="395"/>
    </row>
    <row r="126" spans="28:39">
      <c r="AB126" s="395"/>
      <c r="AC126" s="395"/>
    </row>
  </sheetData>
  <mergeCells count="17">
    <mergeCell ref="B50:G50"/>
    <mergeCell ref="I50:N50"/>
    <mergeCell ref="B1:C1"/>
    <mergeCell ref="F1:J1"/>
    <mergeCell ref="M1:N1"/>
    <mergeCell ref="B2:G2"/>
    <mergeCell ref="I2:N2"/>
    <mergeCell ref="AA1:AC1"/>
    <mergeCell ref="R2:Z2"/>
    <mergeCell ref="AA2:AB2"/>
    <mergeCell ref="R3:V3"/>
    <mergeCell ref="W3:Z3"/>
    <mergeCell ref="R20:Z20"/>
    <mergeCell ref="R36:Z36"/>
    <mergeCell ref="R37:V37"/>
    <mergeCell ref="W37:Z37"/>
    <mergeCell ref="R1:Z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ECB3-5460-435F-B1C7-F860FDD4738D}">
  <dimension ref="B2:G7"/>
  <sheetViews>
    <sheetView showGridLines="0" showRowColHeaders="0" workbookViewId="0">
      <selection activeCell="C2" sqref="C2"/>
    </sheetView>
  </sheetViews>
  <sheetFormatPr defaultColWidth="10.5703125" defaultRowHeight="18.95" customHeight="1"/>
  <cols>
    <col min="1" max="4" width="10.5703125" style="334"/>
    <col min="5" max="5" width="16.5703125" style="334" customWidth="1"/>
    <col min="6" max="16384" width="10.5703125" style="334"/>
  </cols>
  <sheetData>
    <row r="2" spans="2:7" ht="18.95" customHeight="1">
      <c r="B2" s="332" t="s">
        <v>225</v>
      </c>
      <c r="C2" s="332">
        <f>IF(Index!P4="Balance",2,1)</f>
        <v>2</v>
      </c>
      <c r="D2" s="333"/>
      <c r="E2" s="332" t="s">
        <v>224</v>
      </c>
      <c r="F2" s="332" t="s">
        <v>223</v>
      </c>
      <c r="G2" s="332" t="s">
        <v>221</v>
      </c>
    </row>
    <row r="3" spans="2:7" ht="18.95" customHeight="1">
      <c r="B3" s="332" t="s">
        <v>223</v>
      </c>
      <c r="C3" s="335">
        <f>VLOOKUP(Index!N4,E3:F7,2,0)</f>
        <v>2</v>
      </c>
      <c r="D3" s="333"/>
      <c r="E3" s="332" t="s">
        <v>280</v>
      </c>
      <c r="F3" s="332">
        <v>1</v>
      </c>
      <c r="G3" s="331">
        <v>61.55</v>
      </c>
    </row>
    <row r="4" spans="2:7" ht="18.95" customHeight="1">
      <c r="B4" s="332" t="s">
        <v>221</v>
      </c>
      <c r="C4" s="330">
        <f>VLOOKUP(Index!N4,E3:G7,3,0)</f>
        <v>123.1</v>
      </c>
      <c r="D4" s="333"/>
      <c r="E4" s="332" t="s">
        <v>281</v>
      </c>
      <c r="F4" s="332">
        <v>1</v>
      </c>
      <c r="G4" s="331">
        <f>G3</f>
        <v>61.55</v>
      </c>
    </row>
    <row r="5" spans="2:7" ht="18.95" customHeight="1">
      <c r="D5" s="333"/>
      <c r="E5" s="332" t="s">
        <v>282</v>
      </c>
      <c r="F5" s="332">
        <f>720/480</f>
        <v>1.5</v>
      </c>
      <c r="G5" s="331">
        <f>G3*F5</f>
        <v>92.324999999999989</v>
      </c>
    </row>
    <row r="6" spans="2:7" ht="18.95" customHeight="1">
      <c r="D6" s="333"/>
      <c r="E6" s="332" t="s">
        <v>283</v>
      </c>
      <c r="F6" s="332">
        <f>960/480</f>
        <v>2</v>
      </c>
      <c r="G6" s="331">
        <f>G3*F6</f>
        <v>123.1</v>
      </c>
    </row>
    <row r="7" spans="2:7" ht="18.95" customHeight="1">
      <c r="E7" s="332" t="s">
        <v>284</v>
      </c>
      <c r="F7" s="332">
        <f>900/480</f>
        <v>1.875</v>
      </c>
      <c r="G7" s="331">
        <f>G3*F7</f>
        <v>115.40625</v>
      </c>
    </row>
  </sheetData>
  <sheetProtection selectLockedCells="1" selectUnlockedCells="1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Q125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0"/>
  </cols>
  <sheetData>
    <row r="1" spans="1:15" ht="20.100000000000001" customHeight="1">
      <c r="A1" s="3"/>
      <c r="B1" s="3"/>
      <c r="C1" s="3"/>
      <c r="D1" s="3"/>
      <c r="E1" s="3"/>
      <c r="F1" s="3"/>
      <c r="G1" s="3"/>
      <c r="H1" s="3"/>
      <c r="I1" s="3"/>
      <c r="J1" s="3"/>
    </row>
    <row r="2" spans="1:15" ht="20.100000000000001" customHeight="1">
      <c r="A2" s="3"/>
      <c r="B2" s="95">
        <v>266</v>
      </c>
      <c r="C2" s="94">
        <v>0</v>
      </c>
      <c r="E2" s="3" t="s">
        <v>140</v>
      </c>
      <c r="F2" s="3"/>
      <c r="G2" s="3" t="s">
        <v>153</v>
      </c>
      <c r="I2" s="3" t="s">
        <v>124</v>
      </c>
      <c r="J2" s="3"/>
      <c r="K2" s="3" t="s">
        <v>179</v>
      </c>
      <c r="L2" s="3"/>
      <c r="M2" s="3" t="s">
        <v>156</v>
      </c>
      <c r="O2" s="3" t="s">
        <v>171</v>
      </c>
    </row>
    <row r="3" spans="1:15" ht="20.100000000000001" customHeight="1">
      <c r="A3" s="3"/>
      <c r="B3" s="95">
        <v>276</v>
      </c>
      <c r="C3" s="94">
        <v>6</v>
      </c>
      <c r="E3" s="3" t="s">
        <v>141</v>
      </c>
      <c r="F3" s="3"/>
      <c r="G3" s="3" t="s">
        <v>152</v>
      </c>
      <c r="I3" s="3" t="s">
        <v>125</v>
      </c>
      <c r="J3" s="3"/>
      <c r="K3" s="3" t="s">
        <v>180</v>
      </c>
      <c r="L3" s="3"/>
      <c r="M3" s="3" t="s">
        <v>157</v>
      </c>
      <c r="O3" s="3" t="s">
        <v>172</v>
      </c>
    </row>
    <row r="4" spans="1:15" ht="20.100000000000001" customHeight="1">
      <c r="A4" s="3"/>
      <c r="B4" s="95">
        <v>280</v>
      </c>
      <c r="C4" s="94">
        <v>6</v>
      </c>
      <c r="E4" s="3" t="s">
        <v>142</v>
      </c>
      <c r="F4" s="3"/>
      <c r="G4" s="3" t="s">
        <v>154</v>
      </c>
      <c r="I4" s="3" t="s">
        <v>126</v>
      </c>
      <c r="J4" s="3"/>
      <c r="K4" s="3" t="s">
        <v>182</v>
      </c>
      <c r="L4" s="3"/>
      <c r="M4" s="3" t="s">
        <v>158</v>
      </c>
      <c r="O4" s="3" t="s">
        <v>173</v>
      </c>
    </row>
    <row r="5" spans="1:15" ht="20.100000000000001" customHeight="1">
      <c r="A5" s="3"/>
      <c r="B5" s="95">
        <v>286</v>
      </c>
      <c r="C5" s="94">
        <v>6</v>
      </c>
      <c r="E5" s="3" t="s">
        <v>143</v>
      </c>
      <c r="F5" s="3"/>
      <c r="G5" s="3" t="s">
        <v>155</v>
      </c>
      <c r="I5" s="3" t="s">
        <v>127</v>
      </c>
      <c r="J5" s="3"/>
      <c r="K5" s="3" t="s">
        <v>181</v>
      </c>
      <c r="L5" s="3"/>
      <c r="M5" s="3" t="s">
        <v>159</v>
      </c>
      <c r="O5" s="3" t="s">
        <v>174</v>
      </c>
    </row>
    <row r="6" spans="1:15" ht="20.100000000000001" customHeight="1">
      <c r="A6" s="3"/>
      <c r="F6" s="3"/>
      <c r="G6" s="3"/>
      <c r="I6" s="3"/>
      <c r="J6" s="3"/>
      <c r="K6" s="3"/>
      <c r="L6" s="3"/>
      <c r="M6" s="3"/>
    </row>
    <row r="7" spans="1:15" ht="20.100000000000001" customHeight="1">
      <c r="A7" s="3"/>
      <c r="B7" s="93" t="s">
        <v>199</v>
      </c>
      <c r="C7" s="97">
        <f>IF(Index!F3="Breaks",Index!F4/4,Index!F4)</f>
        <v>3.6149999999999998</v>
      </c>
      <c r="E7" s="3" t="s">
        <v>144</v>
      </c>
      <c r="F7" s="3"/>
      <c r="G7" s="3" t="s">
        <v>163</v>
      </c>
      <c r="I7" s="3" t="s">
        <v>128</v>
      </c>
      <c r="J7" s="3"/>
      <c r="K7" s="3" t="s">
        <v>183</v>
      </c>
      <c r="L7" s="3"/>
      <c r="M7" s="3" t="s">
        <v>160</v>
      </c>
    </row>
    <row r="8" spans="1:15" ht="20.100000000000001" customHeight="1">
      <c r="A8" s="3"/>
      <c r="E8" s="3" t="s">
        <v>145</v>
      </c>
      <c r="F8" s="3"/>
      <c r="G8" s="3" t="s">
        <v>164</v>
      </c>
      <c r="I8" s="3" t="s">
        <v>129</v>
      </c>
      <c r="J8" s="3"/>
      <c r="K8" s="3" t="s">
        <v>184</v>
      </c>
      <c r="L8" s="3"/>
      <c r="M8" s="3" t="s">
        <v>161</v>
      </c>
    </row>
    <row r="9" spans="1:15" ht="20.100000000000001" customHeight="1">
      <c r="A9" s="3"/>
      <c r="E9" s="3" t="s">
        <v>146</v>
      </c>
      <c r="F9" s="3"/>
      <c r="G9" s="3" t="s">
        <v>165</v>
      </c>
      <c r="I9" s="3" t="s">
        <v>130</v>
      </c>
      <c r="J9" s="3"/>
      <c r="K9" s="3" t="s">
        <v>185</v>
      </c>
      <c r="L9" s="3"/>
      <c r="M9" s="3" t="s">
        <v>162</v>
      </c>
    </row>
    <row r="10" spans="1:15" ht="20.100000000000001" customHeight="1">
      <c r="A10" s="3"/>
      <c r="E10" s="3" t="s">
        <v>147</v>
      </c>
      <c r="F10" s="3"/>
      <c r="G10" s="3" t="s">
        <v>166</v>
      </c>
      <c r="I10" s="3" t="s">
        <v>131</v>
      </c>
      <c r="J10" s="3"/>
      <c r="K10" s="3" t="s">
        <v>186</v>
      </c>
      <c r="L10" s="3"/>
      <c r="M10" s="3" t="s">
        <v>162</v>
      </c>
    </row>
    <row r="11" spans="1:15" ht="20.100000000000001" customHeight="1">
      <c r="A11" s="3"/>
      <c r="F11" s="3"/>
      <c r="G11" s="3"/>
      <c r="I11" s="3"/>
      <c r="J11" s="3"/>
      <c r="K11" s="29"/>
      <c r="L11" s="29"/>
      <c r="M11" s="3"/>
    </row>
    <row r="12" spans="1:15" ht="20.100000000000001" customHeight="1">
      <c r="A12" s="3"/>
      <c r="E12" s="3" t="s">
        <v>148</v>
      </c>
      <c r="F12" s="3"/>
      <c r="G12" s="3" t="s">
        <v>167</v>
      </c>
      <c r="I12" s="3" t="s">
        <v>132</v>
      </c>
      <c r="J12" s="3"/>
      <c r="K12" s="3"/>
      <c r="L12" s="3"/>
    </row>
    <row r="13" spans="1:15" ht="20.100000000000001" customHeight="1">
      <c r="A13" s="3"/>
      <c r="E13" s="3" t="s">
        <v>149</v>
      </c>
      <c r="F13" s="3"/>
      <c r="G13" s="3" t="s">
        <v>168</v>
      </c>
      <c r="I13" s="3" t="s">
        <v>133</v>
      </c>
      <c r="J13" s="3"/>
      <c r="K13" s="3"/>
      <c r="L13" s="3"/>
    </row>
    <row r="14" spans="1:15" ht="20.100000000000001" customHeight="1">
      <c r="A14" s="3"/>
      <c r="E14" s="3" t="s">
        <v>150</v>
      </c>
      <c r="F14" s="3"/>
      <c r="G14" s="3" t="s">
        <v>169</v>
      </c>
      <c r="I14" s="3" t="s">
        <v>134</v>
      </c>
      <c r="J14" s="3"/>
      <c r="K14" s="3"/>
      <c r="L14" s="3"/>
    </row>
    <row r="15" spans="1:15" ht="20.100000000000001" customHeight="1">
      <c r="A15" s="3"/>
      <c r="E15" s="3" t="s">
        <v>151</v>
      </c>
      <c r="F15" s="3"/>
      <c r="G15" s="3" t="s">
        <v>170</v>
      </c>
      <c r="I15" s="3" t="s">
        <v>135</v>
      </c>
      <c r="J15" s="3"/>
      <c r="K15" s="3"/>
      <c r="L15" s="3"/>
    </row>
    <row r="16" spans="1:15" ht="20.100000000000001" customHeight="1">
      <c r="A16" s="3"/>
      <c r="F16" s="3"/>
      <c r="I16" s="3"/>
      <c r="J16" s="3"/>
      <c r="K16" s="3"/>
      <c r="L16" s="3"/>
      <c r="M16" s="3"/>
    </row>
    <row r="17" spans="1:17" ht="20.100000000000001" customHeight="1">
      <c r="A17" s="3"/>
      <c r="E17" s="3" t="s">
        <v>175</v>
      </c>
      <c r="F17" s="3"/>
      <c r="G17" s="3" t="s">
        <v>187</v>
      </c>
      <c r="I17" s="3" t="s">
        <v>136</v>
      </c>
      <c r="J17" s="3"/>
      <c r="K17" s="3"/>
      <c r="L17" s="3"/>
      <c r="M17" s="3"/>
    </row>
    <row r="18" spans="1:17" ht="20.100000000000001" customHeight="1">
      <c r="A18" s="3"/>
      <c r="E18" s="3" t="s">
        <v>176</v>
      </c>
      <c r="F18" s="3"/>
      <c r="G18" s="3" t="s">
        <v>188</v>
      </c>
      <c r="I18" s="3" t="s">
        <v>137</v>
      </c>
      <c r="J18" s="3"/>
      <c r="K18" s="3"/>
      <c r="L18" s="3"/>
      <c r="M18" s="3"/>
    </row>
    <row r="19" spans="1:17" ht="20.100000000000001" customHeight="1">
      <c r="A19" s="3"/>
      <c r="E19" s="3" t="s">
        <v>177</v>
      </c>
      <c r="F19" s="3"/>
      <c r="G19" s="3" t="s">
        <v>189</v>
      </c>
      <c r="I19" s="3" t="s">
        <v>138</v>
      </c>
      <c r="J19" s="3"/>
      <c r="K19" s="3"/>
      <c r="L19" s="3"/>
      <c r="M19" s="3"/>
    </row>
    <row r="20" spans="1:17" ht="20.100000000000001" customHeight="1">
      <c r="A20" s="3"/>
      <c r="E20" s="3" t="s">
        <v>178</v>
      </c>
      <c r="F20" s="3"/>
      <c r="G20" s="3" t="s">
        <v>190</v>
      </c>
      <c r="I20" s="3" t="s">
        <v>139</v>
      </c>
      <c r="J20" s="3"/>
      <c r="K20" s="3"/>
      <c r="L20" s="3"/>
      <c r="M20" s="3"/>
    </row>
    <row r="21" spans="1:17" ht="20.100000000000001" customHeight="1">
      <c r="A21" s="3"/>
      <c r="F21" s="3"/>
      <c r="G21" s="3"/>
      <c r="J21" s="3"/>
      <c r="K21" s="3"/>
      <c r="L21" s="3"/>
      <c r="M21" s="3"/>
    </row>
    <row r="22" spans="1:17" ht="20.100000000000001" customHeight="1">
      <c r="A22" s="3"/>
      <c r="F22" s="3"/>
      <c r="G22" s="3" t="s">
        <v>191</v>
      </c>
      <c r="J22" s="3"/>
      <c r="K22" s="3"/>
      <c r="L22" s="3"/>
      <c r="M22" s="3"/>
    </row>
    <row r="23" spans="1:17" ht="20.100000000000001" customHeight="1">
      <c r="A23" s="3"/>
      <c r="F23" s="3"/>
      <c r="G23" s="3" t="s">
        <v>192</v>
      </c>
      <c r="J23" s="3"/>
      <c r="K23" s="3"/>
      <c r="L23" s="3"/>
      <c r="M23" s="3"/>
    </row>
    <row r="24" spans="1:17" ht="20.100000000000001" customHeight="1">
      <c r="A24" s="3"/>
      <c r="F24" s="3"/>
      <c r="G24" s="3" t="s">
        <v>193</v>
      </c>
      <c r="J24" s="3"/>
      <c r="K24" s="3"/>
      <c r="L24" s="3"/>
      <c r="M24" s="3"/>
    </row>
    <row r="25" spans="1:17" ht="20.100000000000001" customHeight="1">
      <c r="A25" s="3"/>
      <c r="F25" s="3"/>
      <c r="G25" s="3" t="s">
        <v>194</v>
      </c>
      <c r="J25" s="3"/>
      <c r="K25" s="3"/>
      <c r="L25" s="3"/>
      <c r="M25" s="3"/>
    </row>
    <row r="26" spans="1:17" ht="20.100000000000001" customHeight="1">
      <c r="A26" s="3"/>
      <c r="C26" s="3"/>
      <c r="G26" s="3"/>
      <c r="H26" s="3"/>
      <c r="I26" s="3"/>
      <c r="J26" s="3"/>
      <c r="P26" s="3"/>
      <c r="Q26" s="3"/>
    </row>
    <row r="27" spans="1:17" ht="20.100000000000001" customHeight="1">
      <c r="A27" s="3"/>
      <c r="C27" s="3"/>
      <c r="G27" s="3"/>
      <c r="H27" s="3"/>
      <c r="I27" s="3"/>
      <c r="J27" s="3"/>
      <c r="P27" s="3"/>
      <c r="Q27" s="3"/>
    </row>
    <row r="28" spans="1:17" ht="20.100000000000001" customHeight="1">
      <c r="A28" s="3"/>
      <c r="C28" s="3"/>
      <c r="G28" s="3"/>
      <c r="H28" s="3"/>
      <c r="I28" s="3"/>
      <c r="J28" s="3"/>
      <c r="P28" s="3"/>
      <c r="Q28" s="3"/>
    </row>
    <row r="29" spans="1:17" ht="20.100000000000001" customHeight="1">
      <c r="A29" s="3"/>
      <c r="C29" s="3"/>
      <c r="G29" s="3"/>
      <c r="H29" s="3"/>
      <c r="I29" s="3"/>
      <c r="J29" s="3"/>
      <c r="P29" s="3"/>
      <c r="Q29" s="3"/>
    </row>
    <row r="30" spans="1:17" ht="20.100000000000001" customHeight="1">
      <c r="A30" s="3"/>
      <c r="C30" s="3"/>
      <c r="G30" s="3"/>
      <c r="H30" s="3"/>
      <c r="I30" s="3"/>
      <c r="J30" s="3"/>
      <c r="P30" s="3"/>
      <c r="Q30" s="3"/>
    </row>
    <row r="31" spans="1:17" ht="20.100000000000001" customHeight="1">
      <c r="A31" s="3"/>
      <c r="C31" s="3"/>
      <c r="D31" s="3"/>
      <c r="E31" s="3"/>
      <c r="F31" s="3"/>
      <c r="G31" s="3"/>
      <c r="H31" s="3"/>
      <c r="I31" s="3"/>
      <c r="J31" s="3"/>
    </row>
    <row r="32" spans="1:17" ht="20.100000000000001" customHeight="1">
      <c r="A32" s="3"/>
      <c r="C32" s="3"/>
      <c r="E32" s="3"/>
      <c r="F32" s="3"/>
      <c r="G32" s="3"/>
      <c r="H32" s="3"/>
      <c r="I32" s="3"/>
      <c r="J32" s="3"/>
    </row>
    <row r="33" spans="1:10" ht="20.100000000000001" customHeight="1">
      <c r="A33" s="3"/>
      <c r="C33" s="3"/>
      <c r="E33" s="3"/>
      <c r="F33" s="3"/>
      <c r="G33" s="3"/>
      <c r="H33" s="3"/>
      <c r="I33" s="3"/>
      <c r="J33" s="3"/>
    </row>
    <row r="34" spans="1:10" ht="20.100000000000001" customHeight="1">
      <c r="A34" s="3"/>
      <c r="C34" s="3"/>
      <c r="E34" s="3"/>
      <c r="F34" s="3"/>
      <c r="G34" s="3"/>
      <c r="H34" s="3"/>
      <c r="I34" s="3"/>
      <c r="J34" s="3"/>
    </row>
    <row r="35" spans="1:10" ht="20.100000000000001" customHeight="1">
      <c r="A35" s="3"/>
      <c r="C35" s="3"/>
      <c r="E35" s="3"/>
      <c r="F35" s="3"/>
      <c r="G35" s="3"/>
      <c r="H35" s="3"/>
      <c r="I35" s="3"/>
      <c r="J35" s="3"/>
    </row>
    <row r="36" spans="1:10" ht="20.100000000000001" customHeight="1">
      <c r="A36" s="3"/>
      <c r="C36" s="3"/>
      <c r="E36" s="3"/>
      <c r="F36" s="3"/>
      <c r="G36" s="3"/>
      <c r="H36" s="3"/>
      <c r="I36" s="3"/>
      <c r="J36" s="3"/>
    </row>
    <row r="37" spans="1:10" ht="20.100000000000001" customHeight="1">
      <c r="A37" s="3"/>
      <c r="C37" s="3"/>
      <c r="E37" s="3"/>
      <c r="F37" s="3"/>
      <c r="G37" s="3"/>
      <c r="H37" s="3"/>
      <c r="I37" s="3"/>
      <c r="J37" s="3"/>
    </row>
    <row r="38" spans="1:10" ht="20.100000000000001" customHeight="1">
      <c r="A38" s="3"/>
      <c r="C38" s="3"/>
      <c r="E38" s="3"/>
      <c r="F38" s="3"/>
      <c r="G38" s="3"/>
      <c r="H38" s="3"/>
      <c r="I38" s="3"/>
      <c r="J38" s="3"/>
    </row>
    <row r="39" spans="1:10" ht="20.100000000000001" customHeight="1">
      <c r="A39" s="3"/>
      <c r="C39" s="3"/>
      <c r="E39" s="3"/>
      <c r="F39" s="3"/>
      <c r="G39" s="3"/>
      <c r="H39" s="3"/>
      <c r="I39" s="3"/>
      <c r="J39" s="3"/>
    </row>
    <row r="40" spans="1:10" ht="20.100000000000001" customHeight="1">
      <c r="A40" s="3"/>
      <c r="C40" s="3"/>
      <c r="E40" s="3"/>
      <c r="F40" s="3"/>
      <c r="G40" s="3"/>
      <c r="H40" s="3"/>
      <c r="I40" s="3"/>
      <c r="J40" s="3"/>
    </row>
    <row r="41" spans="1:10" ht="20.100000000000001" customHeight="1">
      <c r="A41" s="3"/>
      <c r="C41" s="3"/>
      <c r="E41" s="3"/>
      <c r="F41" s="3"/>
      <c r="G41" s="3"/>
      <c r="H41" s="3"/>
      <c r="I41" s="3"/>
      <c r="J41" s="3"/>
    </row>
    <row r="42" spans="1:10" ht="20.100000000000001" customHeight="1">
      <c r="A42" s="3"/>
      <c r="C42" s="3"/>
      <c r="E42" s="3"/>
      <c r="F42" s="3"/>
      <c r="G42" s="3"/>
      <c r="H42" s="3"/>
      <c r="I42" s="3"/>
      <c r="J42" s="3"/>
    </row>
    <row r="43" spans="1:10" ht="20.100000000000001" customHeight="1">
      <c r="A43" s="3"/>
      <c r="C43" s="3"/>
      <c r="E43" s="3"/>
      <c r="F43" s="3"/>
      <c r="G43" s="3"/>
      <c r="H43" s="3"/>
      <c r="I43" s="3"/>
      <c r="J43" s="3"/>
    </row>
    <row r="44" spans="1:10" ht="20.100000000000001" customHeight="1">
      <c r="A44" s="3"/>
      <c r="C44" s="3"/>
      <c r="E44" s="3"/>
      <c r="F44" s="3"/>
      <c r="G44" s="3"/>
      <c r="H44" s="3"/>
      <c r="I44" s="3"/>
      <c r="J44" s="3"/>
    </row>
    <row r="45" spans="1:10" ht="20.100000000000001" customHeight="1">
      <c r="A45" s="3"/>
      <c r="C45" s="3"/>
      <c r="E45" s="3"/>
      <c r="F45" s="3"/>
      <c r="G45" s="3"/>
      <c r="H45" s="3"/>
      <c r="I45" s="3"/>
      <c r="J45" s="3"/>
    </row>
    <row r="46" spans="1:10" ht="20.100000000000001" customHeight="1">
      <c r="A46" s="3"/>
      <c r="C46" s="3"/>
      <c r="E46" s="3"/>
      <c r="F46" s="3"/>
      <c r="G46" s="3"/>
      <c r="H46" s="3"/>
      <c r="I46" s="3"/>
      <c r="J46" s="3"/>
    </row>
    <row r="47" spans="1:10" ht="20.100000000000001" customHeight="1">
      <c r="A47" s="3"/>
      <c r="C47" s="3"/>
      <c r="E47" s="3"/>
      <c r="F47" s="3"/>
      <c r="G47" s="3"/>
      <c r="H47" s="3"/>
      <c r="I47" s="3"/>
      <c r="J47" s="3"/>
    </row>
    <row r="48" spans="1:10" ht="20.100000000000001" customHeight="1">
      <c r="A48" s="3"/>
      <c r="C48" s="3"/>
      <c r="E48" s="3"/>
      <c r="F48" s="3"/>
      <c r="G48" s="3"/>
      <c r="H48" s="3"/>
      <c r="I48" s="3"/>
      <c r="J48" s="3"/>
    </row>
    <row r="49" spans="1:10" ht="20.100000000000001" customHeight="1">
      <c r="A49" s="3"/>
      <c r="C49" s="3"/>
      <c r="E49" s="3"/>
      <c r="F49" s="3"/>
      <c r="G49" s="3"/>
      <c r="H49" s="3"/>
      <c r="I49" s="3"/>
      <c r="J49" s="3"/>
    </row>
    <row r="50" spans="1:10" ht="20.100000000000001" customHeight="1">
      <c r="A50" s="3"/>
      <c r="C50" s="3"/>
      <c r="F50" s="3"/>
      <c r="G50" s="3"/>
      <c r="H50" s="3"/>
      <c r="I50" s="3"/>
      <c r="J50" s="3"/>
    </row>
    <row r="51" spans="1:10" ht="20.100000000000001" customHeight="1">
      <c r="A51" s="3"/>
      <c r="C51" s="3"/>
      <c r="F51" s="3"/>
      <c r="G51" s="3"/>
      <c r="H51" s="3"/>
      <c r="I51" s="3"/>
      <c r="J51" s="3"/>
    </row>
    <row r="52" spans="1:10" ht="20.100000000000001" customHeight="1">
      <c r="A52" s="3"/>
      <c r="B52" s="3"/>
      <c r="C52" s="3"/>
      <c r="F52" s="3"/>
      <c r="G52" s="3"/>
      <c r="H52" s="3"/>
      <c r="I52" s="3"/>
      <c r="J52" s="3"/>
    </row>
    <row r="53" spans="1:10" ht="20.100000000000001" customHeight="1">
      <c r="A53" s="3"/>
      <c r="C53" s="3"/>
      <c r="F53" s="3"/>
      <c r="G53" s="3"/>
      <c r="H53" s="3"/>
      <c r="I53" s="3"/>
      <c r="J53" s="3"/>
    </row>
    <row r="54" spans="1:10" ht="20.100000000000001" customHeight="1">
      <c r="A54" s="3"/>
      <c r="C54" s="3"/>
      <c r="F54" s="3"/>
      <c r="G54" s="3"/>
      <c r="H54" s="3"/>
      <c r="I54" s="3"/>
      <c r="J54" s="3"/>
    </row>
    <row r="55" spans="1:10" ht="20.100000000000001" customHeight="1">
      <c r="A55" s="3"/>
      <c r="C55" s="3"/>
      <c r="F55" s="3"/>
      <c r="G55" s="3"/>
      <c r="H55" s="3"/>
      <c r="I55" s="3"/>
      <c r="J55" s="3"/>
    </row>
    <row r="56" spans="1:10" ht="20.100000000000001" customHeight="1">
      <c r="A56" s="3"/>
      <c r="C56" s="3"/>
      <c r="F56" s="3"/>
      <c r="G56" s="3"/>
      <c r="H56" s="3"/>
      <c r="I56" s="3"/>
      <c r="J56" s="3"/>
    </row>
    <row r="57" spans="1:10" ht="20.100000000000001" customHeight="1">
      <c r="A57" s="3"/>
      <c r="C57" s="3"/>
      <c r="D57" s="3"/>
      <c r="F57" s="3"/>
      <c r="G57" s="3"/>
      <c r="H57" s="3"/>
      <c r="I57" s="3"/>
      <c r="J57" s="3"/>
    </row>
    <row r="58" spans="1:10" ht="20.100000000000001" customHeight="1">
      <c r="A58" s="3"/>
      <c r="C58" s="3"/>
      <c r="D58" s="3"/>
      <c r="F58" s="3"/>
      <c r="G58" s="3"/>
      <c r="H58" s="3"/>
      <c r="I58" s="3"/>
      <c r="J58" s="3"/>
    </row>
    <row r="59" spans="1:10" ht="20.100000000000001" customHeight="1">
      <c r="A59" s="3"/>
      <c r="C59" s="3"/>
      <c r="D59" s="3"/>
      <c r="E59" s="3"/>
      <c r="F59" s="3"/>
      <c r="G59" s="3"/>
      <c r="H59" s="3"/>
      <c r="I59" s="3"/>
      <c r="J59" s="3"/>
    </row>
    <row r="60" spans="1:10" ht="20.100000000000001" customHeight="1">
      <c r="A60" s="3"/>
      <c r="C60" s="3"/>
      <c r="D60" s="3"/>
      <c r="E60" s="3"/>
      <c r="F60" s="3"/>
      <c r="G60" s="3"/>
      <c r="H60" s="3"/>
      <c r="I60" s="3"/>
      <c r="J60" s="3"/>
    </row>
    <row r="61" spans="1:10" ht="20.100000000000001" customHeight="1">
      <c r="A61" s="3"/>
      <c r="C61" s="3"/>
      <c r="D61" s="3"/>
      <c r="E61" s="3"/>
      <c r="F61" s="3"/>
      <c r="G61" s="3"/>
      <c r="H61" s="3"/>
      <c r="I61" s="3"/>
      <c r="J61" s="3"/>
    </row>
    <row r="62" spans="1:10" ht="20.100000000000001" customHeight="1">
      <c r="A62" s="3"/>
      <c r="C62" s="3"/>
      <c r="D62" s="3"/>
      <c r="E62" s="3"/>
      <c r="F62" s="3"/>
      <c r="G62" s="3"/>
      <c r="H62" s="3"/>
      <c r="I62" s="3"/>
      <c r="J62" s="3"/>
    </row>
    <row r="63" spans="1:10" ht="20.100000000000001" customHeight="1">
      <c r="A63" s="3"/>
      <c r="C63" s="3"/>
      <c r="D63" s="3"/>
      <c r="E63" s="3"/>
      <c r="F63" s="3"/>
      <c r="G63" s="3"/>
      <c r="H63" s="3"/>
      <c r="I63" s="3"/>
      <c r="J63" s="3"/>
    </row>
    <row r="64" spans="1:10" ht="20.100000000000001" customHeight="1">
      <c r="A64" s="3"/>
      <c r="C64" s="3"/>
      <c r="D64" s="3"/>
      <c r="E64" s="3"/>
      <c r="F64" s="3"/>
      <c r="G64" s="3"/>
      <c r="H64" s="3"/>
      <c r="I64" s="3"/>
      <c r="J64" s="3"/>
    </row>
    <row r="65" spans="1:10" ht="20.100000000000001" customHeight="1">
      <c r="A65" s="3"/>
      <c r="C65" s="3"/>
      <c r="D65" s="3"/>
      <c r="E65" s="3"/>
      <c r="F65" s="3"/>
      <c r="G65" s="3"/>
      <c r="H65" s="3"/>
      <c r="I65" s="3"/>
      <c r="J65" s="3"/>
    </row>
    <row r="66" spans="1:10" ht="20.100000000000001" customHeight="1">
      <c r="A66" s="3"/>
      <c r="C66" s="3"/>
      <c r="D66" s="3"/>
      <c r="E66" s="3"/>
      <c r="F66" s="3"/>
      <c r="G66" s="3"/>
      <c r="H66" s="3"/>
      <c r="I66" s="3"/>
      <c r="J66" s="3"/>
    </row>
    <row r="67" spans="1:10" ht="20.100000000000001" customHeight="1">
      <c r="A67" s="3"/>
      <c r="C67" s="3"/>
      <c r="D67" s="3"/>
      <c r="E67" s="3"/>
      <c r="F67" s="3"/>
      <c r="G67" s="3"/>
      <c r="H67" s="3"/>
      <c r="I67" s="3"/>
      <c r="J67" s="3"/>
    </row>
    <row r="68" spans="1:10" ht="20.100000000000001" customHeight="1">
      <c r="A68" s="3"/>
      <c r="C68" s="3"/>
      <c r="D68" s="3"/>
      <c r="E68" s="3"/>
      <c r="F68" s="3"/>
      <c r="G68" s="3"/>
      <c r="H68" s="3"/>
      <c r="I68" s="3"/>
      <c r="J68" s="3"/>
    </row>
    <row r="69" spans="1:10" ht="20.100000000000001" customHeight="1">
      <c r="A69" s="3"/>
      <c r="C69" s="3"/>
      <c r="D69" s="3"/>
      <c r="E69" s="3"/>
      <c r="F69" s="3"/>
      <c r="G69" s="3"/>
      <c r="H69" s="3"/>
      <c r="I69" s="3"/>
      <c r="J69" s="3"/>
    </row>
    <row r="70" spans="1:10" ht="20.100000000000001" customHeight="1">
      <c r="A70" s="3"/>
      <c r="C70" s="3"/>
      <c r="D70" s="3"/>
      <c r="E70" s="3"/>
      <c r="F70" s="3"/>
      <c r="G70" s="3"/>
      <c r="H70" s="3"/>
      <c r="I70" s="3"/>
      <c r="J70" s="3"/>
    </row>
    <row r="71" spans="1:10" ht="20.100000000000001" customHeight="1">
      <c r="A71" s="3"/>
      <c r="C71" s="3"/>
      <c r="D71" s="3"/>
      <c r="E71" s="3"/>
      <c r="F71" s="3"/>
      <c r="G71" s="3"/>
      <c r="H71" s="3"/>
      <c r="I71" s="3"/>
      <c r="J71" s="3"/>
    </row>
    <row r="72" spans="1:10" ht="20.100000000000001" customHeight="1">
      <c r="A72" s="3"/>
      <c r="B72" s="3"/>
      <c r="C72" s="3"/>
      <c r="D72" s="3"/>
      <c r="E72" s="3"/>
      <c r="F72" s="3"/>
      <c r="G72" s="3"/>
      <c r="H72" s="3"/>
      <c r="I72" s="3"/>
      <c r="J72" s="3"/>
    </row>
    <row r="73" spans="1:10" ht="20.100000000000001" customHeight="1">
      <c r="A73" s="3"/>
      <c r="C73" s="3"/>
      <c r="D73" s="3"/>
      <c r="E73" s="3"/>
      <c r="F73" s="3"/>
      <c r="G73" s="3"/>
      <c r="H73" s="3"/>
      <c r="I73" s="3"/>
      <c r="J73" s="3"/>
    </row>
    <row r="74" spans="1:10" ht="20.100000000000001" customHeight="1">
      <c r="A74" s="3"/>
      <c r="C74" s="3"/>
      <c r="D74" s="3"/>
      <c r="E74" s="3"/>
      <c r="F74" s="3"/>
      <c r="G74" s="3"/>
      <c r="H74" s="3"/>
      <c r="I74" s="3"/>
      <c r="J74" s="3"/>
    </row>
    <row r="75" spans="1:10" ht="20.100000000000001" customHeight="1">
      <c r="A75" s="3"/>
      <c r="C75" s="3"/>
      <c r="D75" s="3"/>
      <c r="E75" s="3"/>
      <c r="F75" s="3"/>
      <c r="G75" s="3"/>
      <c r="H75" s="3"/>
      <c r="I75" s="3"/>
      <c r="J75" s="3"/>
    </row>
    <row r="76" spans="1:10" ht="20.100000000000001" customHeight="1">
      <c r="A76" s="3"/>
      <c r="C76" s="3"/>
      <c r="D76" s="3"/>
      <c r="E76" s="3"/>
      <c r="F76" s="3"/>
      <c r="G76" s="3"/>
      <c r="H76" s="3"/>
      <c r="I76" s="3"/>
      <c r="J76" s="3"/>
    </row>
    <row r="77" spans="1:10" ht="20.100000000000001" customHeight="1">
      <c r="A77" s="3"/>
      <c r="B77" s="3"/>
      <c r="C77" s="3"/>
      <c r="D77" s="3"/>
      <c r="E77" s="3"/>
      <c r="F77" s="3"/>
      <c r="G77" s="3"/>
      <c r="H77" s="3"/>
      <c r="I77" s="3"/>
      <c r="J77" s="3"/>
    </row>
    <row r="78" spans="1:10" ht="20.100000000000001" customHeight="1">
      <c r="A78" s="3"/>
      <c r="C78" s="3"/>
      <c r="D78" s="3"/>
      <c r="E78" s="3"/>
      <c r="F78" s="3"/>
      <c r="G78" s="3"/>
      <c r="H78" s="3"/>
      <c r="I78" s="3"/>
      <c r="J78" s="3"/>
    </row>
    <row r="79" spans="1:10" ht="20.100000000000001" customHeight="1">
      <c r="A79" s="3"/>
      <c r="C79" s="3"/>
      <c r="D79" s="3"/>
      <c r="E79" s="3"/>
      <c r="F79" s="3"/>
      <c r="G79" s="3"/>
      <c r="H79" s="3"/>
      <c r="I79" s="3"/>
      <c r="J79" s="3"/>
    </row>
    <row r="80" spans="1:10" ht="20.100000000000001" customHeight="1">
      <c r="A80" s="3"/>
      <c r="C80" s="3"/>
      <c r="D80" s="3"/>
      <c r="E80" s="3"/>
      <c r="F80" s="3"/>
      <c r="G80" s="3"/>
      <c r="H80" s="3"/>
      <c r="I80" s="3"/>
      <c r="J80" s="3"/>
    </row>
    <row r="81" spans="1:10" ht="20.100000000000001" customHeight="1">
      <c r="A81" s="3"/>
      <c r="C81" s="3"/>
      <c r="D81" s="3"/>
      <c r="E81" s="3"/>
      <c r="F81" s="3"/>
      <c r="G81" s="3"/>
      <c r="H81" s="3"/>
      <c r="I81" s="3"/>
      <c r="J81" s="3"/>
    </row>
    <row r="82" spans="1:10" ht="20.100000000000001" customHeight="1">
      <c r="A82" s="3"/>
      <c r="B82" s="3"/>
      <c r="C82" s="3"/>
      <c r="D82" s="3"/>
      <c r="E82" s="3"/>
      <c r="F82" s="3"/>
      <c r="G82" s="3"/>
      <c r="H82" s="3"/>
      <c r="I82" s="3"/>
      <c r="J82" s="3"/>
    </row>
    <row r="83" spans="1:10" ht="20.100000000000001" customHeight="1">
      <c r="A83" s="3"/>
      <c r="C83" s="3"/>
      <c r="D83" s="3"/>
      <c r="E83" s="3"/>
      <c r="F83" s="3"/>
      <c r="G83" s="3"/>
      <c r="H83" s="3"/>
      <c r="I83" s="3"/>
      <c r="J83" s="3"/>
    </row>
    <row r="84" spans="1:10" ht="20.100000000000001" customHeight="1">
      <c r="A84" s="3"/>
      <c r="C84" s="3"/>
      <c r="D84" s="3"/>
      <c r="E84" s="3"/>
      <c r="F84" s="3"/>
      <c r="G84" s="3"/>
      <c r="H84" s="3"/>
      <c r="I84" s="3"/>
      <c r="J84" s="3"/>
    </row>
    <row r="85" spans="1:10" ht="20.100000000000001" customHeight="1">
      <c r="A85" s="3"/>
      <c r="C85" s="3"/>
      <c r="D85" s="3"/>
      <c r="E85" s="3"/>
      <c r="F85" s="3"/>
      <c r="G85" s="3"/>
      <c r="H85" s="3"/>
      <c r="I85" s="3"/>
      <c r="J85" s="3"/>
    </row>
    <row r="86" spans="1:10" ht="20.100000000000001" customHeight="1">
      <c r="A86" s="3"/>
      <c r="C86" s="3"/>
      <c r="D86" s="3"/>
      <c r="E86" s="3"/>
      <c r="F86" s="3"/>
      <c r="G86" s="3"/>
      <c r="H86" s="3"/>
      <c r="I86" s="3"/>
      <c r="J86" s="3"/>
    </row>
    <row r="87" spans="1:10" ht="20.100000000000001" customHeight="1">
      <c r="A87" s="3"/>
      <c r="C87" s="3"/>
      <c r="D87" s="3"/>
      <c r="E87" s="3"/>
      <c r="F87" s="3"/>
      <c r="G87" s="3"/>
      <c r="H87" s="3"/>
      <c r="I87" s="3"/>
      <c r="J87" s="3"/>
    </row>
    <row r="88" spans="1:10" ht="20.100000000000001" customHeight="1">
      <c r="A88" s="3"/>
      <c r="C88" s="3"/>
      <c r="D88" s="3"/>
      <c r="E88" s="3"/>
      <c r="F88" s="3"/>
      <c r="G88" s="3"/>
      <c r="H88" s="3"/>
      <c r="I88" s="3"/>
      <c r="J88" s="3"/>
    </row>
    <row r="89" spans="1:10" ht="20.100000000000001" customHeight="1">
      <c r="A89" s="3"/>
      <c r="C89" s="3"/>
      <c r="D89" s="3"/>
      <c r="E89" s="3"/>
      <c r="F89" s="3"/>
      <c r="G89" s="3"/>
      <c r="H89" s="3"/>
      <c r="I89" s="3"/>
      <c r="J89" s="3"/>
    </row>
    <row r="90" spans="1:10" ht="20.100000000000001" customHeight="1">
      <c r="A90" s="3"/>
      <c r="C90" s="3"/>
      <c r="D90" s="3"/>
      <c r="E90" s="3"/>
      <c r="F90" s="3"/>
      <c r="G90" s="3"/>
      <c r="H90" s="3"/>
      <c r="I90" s="3"/>
      <c r="J90" s="3"/>
    </row>
    <row r="91" spans="1:10" ht="20.100000000000001" customHeight="1">
      <c r="A91" s="3"/>
      <c r="C91" s="3"/>
      <c r="D91" s="3"/>
      <c r="E91" s="3"/>
      <c r="F91" s="3"/>
      <c r="G91" s="3"/>
      <c r="H91" s="3"/>
      <c r="I91" s="3"/>
      <c r="J91" s="3"/>
    </row>
    <row r="92" spans="1:10" ht="20.100000000000001" customHeight="1">
      <c r="A92" s="3"/>
      <c r="B92" s="3"/>
      <c r="C92" s="3"/>
      <c r="D92" s="3"/>
      <c r="E92" s="3"/>
      <c r="F92" s="3"/>
      <c r="G92" s="3"/>
      <c r="H92" s="3"/>
      <c r="I92" s="3"/>
      <c r="J92" s="3"/>
    </row>
    <row r="93" spans="1:10" ht="20.100000000000001" customHeight="1">
      <c r="A93" s="3"/>
      <c r="B93" s="3"/>
      <c r="C93" s="3"/>
      <c r="D93" s="3"/>
      <c r="E93" s="3"/>
      <c r="F93" s="3"/>
      <c r="G93" s="3"/>
      <c r="H93" s="3"/>
      <c r="I93" s="3"/>
      <c r="J93" s="3"/>
    </row>
    <row r="94" spans="1:10" ht="20.100000000000001" customHeight="1">
      <c r="A94" s="3"/>
      <c r="B94" s="3"/>
      <c r="C94" s="3"/>
      <c r="D94" s="3"/>
      <c r="E94" s="3"/>
      <c r="F94" s="3"/>
      <c r="G94" s="3"/>
      <c r="H94" s="3"/>
      <c r="I94" s="3"/>
      <c r="J94" s="3"/>
    </row>
    <row r="95" spans="1:10" ht="20.100000000000001" customHeight="1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pans="1:10" ht="20.100000000000001" customHeight="1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pans="1:10" ht="20.100000000000001" customHeight="1">
      <c r="A97" s="3"/>
      <c r="C97" s="3"/>
      <c r="D97" s="3"/>
      <c r="E97" s="3"/>
      <c r="F97" s="3"/>
      <c r="G97" s="3"/>
      <c r="H97" s="3"/>
      <c r="I97" s="3"/>
      <c r="J97" s="3"/>
    </row>
    <row r="98" spans="1:10" ht="20.100000000000001" customHeight="1">
      <c r="A98" s="3"/>
      <c r="C98" s="3"/>
      <c r="D98" s="3"/>
      <c r="E98" s="3"/>
      <c r="F98" s="3"/>
      <c r="G98" s="3"/>
      <c r="H98" s="3"/>
      <c r="I98" s="3"/>
      <c r="J98" s="3"/>
    </row>
    <row r="99" spans="1:10" ht="20.100000000000001" customHeight="1">
      <c r="A99" s="3"/>
      <c r="C99" s="3"/>
      <c r="D99" s="3"/>
      <c r="E99" s="3"/>
      <c r="F99" s="3"/>
      <c r="G99" s="3"/>
      <c r="H99" s="3"/>
      <c r="I99" s="3"/>
      <c r="J99" s="3"/>
    </row>
    <row r="100" spans="1:10" ht="20.100000000000001" customHeight="1">
      <c r="A100" s="3"/>
      <c r="C100" s="3"/>
      <c r="D100" s="3"/>
      <c r="E100" s="3"/>
      <c r="F100" s="3"/>
      <c r="G100" s="3"/>
      <c r="H100" s="3"/>
      <c r="I100" s="3"/>
      <c r="J100" s="3"/>
    </row>
    <row r="101" spans="1:10" ht="20.100000000000001" customHeight="1">
      <c r="A101" s="3"/>
      <c r="C101" s="3"/>
      <c r="D101" s="3"/>
      <c r="E101" s="3"/>
      <c r="F101" s="3"/>
      <c r="G101" s="3"/>
      <c r="H101" s="3"/>
      <c r="I101" s="3"/>
      <c r="J101" s="3"/>
    </row>
    <row r="102" spans="1:10" ht="20.100000000000001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pans="1:10" ht="20.100000000000001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pans="1:10" ht="20.100000000000001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pans="1:10" ht="20.100000000000001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pans="1:10" ht="20.100000000000001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pans="1:10" ht="20.100000000000001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pans="1:10" ht="20.100000000000001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pans="1:10" ht="20.100000000000001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pans="1:10" ht="20.100000000000001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pans="1:10" ht="20.100000000000001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pans="1:10" ht="20.100000000000001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pans="1:10" ht="20.100000000000001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pans="1:10" ht="20.100000000000001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pans="1:10" ht="20.100000000000001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pans="1:10" ht="20.100000000000001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pans="1:10" ht="20.100000000000001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pans="1:10" ht="20.100000000000001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pans="1:10" ht="20.100000000000001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pans="1:10" ht="20.100000000000001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pans="1:10" ht="20.100000000000001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pans="1:10" ht="20.100000000000001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pans="1:10" ht="20.100000000000001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pans="1:10" ht="20.100000000000001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pans="1:10" ht="20.100000000000001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</row>
  </sheetData>
  <sheetProtection sheet="1" objects="1" scenarios="1" selectLockedCells="1" selectUnlockedCell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X362"/>
  <sheetViews>
    <sheetView showGridLines="0" showRowColHeaders="0" zoomScaleNormal="100" workbookViewId="0"/>
  </sheetViews>
  <sheetFormatPr defaultColWidth="10.5703125" defaultRowHeight="20.100000000000001" customHeight="1"/>
  <cols>
    <col min="1" max="1" width="10.5703125" style="44"/>
    <col min="2" max="5" width="10.7109375" style="44" bestFit="1" customWidth="1"/>
    <col min="6" max="6" width="10.5703125" style="44"/>
    <col min="7" max="12" width="10.7109375" style="44" bestFit="1" customWidth="1"/>
    <col min="13" max="13" width="10.5703125" style="44"/>
    <col min="14" max="14" width="10.7109375" style="44" bestFit="1" customWidth="1"/>
    <col min="15" max="15" width="11" style="44" bestFit="1" customWidth="1"/>
    <col min="16" max="16" width="10.5703125" style="44"/>
    <col min="17" max="19" width="10.7109375" style="44" bestFit="1" customWidth="1"/>
    <col min="20" max="16384" width="10.5703125" style="44"/>
  </cols>
  <sheetData>
    <row r="1" spans="1:20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0.100000000000001" customHeight="1">
      <c r="A2" s="43"/>
      <c r="B2" s="43"/>
      <c r="C2" s="43"/>
      <c r="D2" s="43"/>
      <c r="E2" s="43"/>
      <c r="F2" s="43"/>
      <c r="G2" s="626" t="s">
        <v>0</v>
      </c>
      <c r="H2" s="627"/>
      <c r="I2" s="626" t="s">
        <v>1</v>
      </c>
      <c r="J2" s="627"/>
      <c r="K2" s="626" t="s">
        <v>2</v>
      </c>
      <c r="L2" s="627"/>
      <c r="M2" s="42"/>
      <c r="N2" s="45" t="s">
        <v>3</v>
      </c>
      <c r="O2" s="46">
        <f>COS(Index!E4*PI()/180)</f>
        <v>0.64278760968653936</v>
      </c>
      <c r="P2" s="43"/>
      <c r="Q2" s="43"/>
      <c r="R2" s="43"/>
      <c r="S2" s="43"/>
      <c r="T2" s="43"/>
    </row>
    <row r="3" spans="1:20" ht="20.100000000000001" customHeight="1">
      <c r="A3" s="43"/>
      <c r="B3" s="43"/>
      <c r="C3" s="43"/>
      <c r="D3" s="43"/>
      <c r="E3" s="43"/>
      <c r="F3" s="43"/>
      <c r="G3" s="47">
        <v>0.7</v>
      </c>
      <c r="H3" s="48">
        <v>24.75</v>
      </c>
      <c r="I3" s="47">
        <v>0.7</v>
      </c>
      <c r="J3" s="48">
        <v>24.75</v>
      </c>
      <c r="K3" s="47">
        <v>0.7</v>
      </c>
      <c r="L3" s="48">
        <v>24.75</v>
      </c>
      <c r="M3" s="42"/>
      <c r="N3" s="49" t="s">
        <v>4</v>
      </c>
      <c r="O3" s="50">
        <f>SIN(Index!E4*PI()/180)</f>
        <v>0.76604444311897801</v>
      </c>
      <c r="P3" s="43"/>
      <c r="Q3" s="43"/>
      <c r="R3" s="43"/>
      <c r="S3" s="43"/>
      <c r="T3" s="43"/>
    </row>
    <row r="4" spans="1:20" ht="20.100000000000001" customHeight="1">
      <c r="A4" s="43"/>
      <c r="B4" s="43"/>
      <c r="C4" s="43"/>
      <c r="D4" s="43"/>
      <c r="E4" s="43"/>
      <c r="F4" s="43"/>
      <c r="G4" s="47">
        <v>0.75</v>
      </c>
      <c r="H4" s="48">
        <v>21</v>
      </c>
      <c r="I4" s="47">
        <v>0.75</v>
      </c>
      <c r="J4" s="48">
        <v>20.75</v>
      </c>
      <c r="K4" s="47">
        <v>0.75</v>
      </c>
      <c r="L4" s="48">
        <v>21</v>
      </c>
      <c r="M4" s="42"/>
      <c r="N4" s="49"/>
      <c r="O4" s="50"/>
      <c r="P4" s="43"/>
      <c r="Q4" s="43"/>
      <c r="R4" s="43"/>
      <c r="S4" s="43"/>
      <c r="T4" s="43"/>
    </row>
    <row r="5" spans="1:20" ht="20.100000000000001" customHeight="1">
      <c r="A5" s="43"/>
      <c r="B5" s="43"/>
      <c r="C5" s="43"/>
      <c r="D5" s="43"/>
      <c r="E5" s="43"/>
      <c r="F5" s="43"/>
      <c r="G5" s="47">
        <v>0.8</v>
      </c>
      <c r="H5" s="48">
        <v>15.6</v>
      </c>
      <c r="I5" s="47">
        <v>0.8</v>
      </c>
      <c r="J5" s="48">
        <v>16</v>
      </c>
      <c r="K5" s="47">
        <v>0.8</v>
      </c>
      <c r="L5" s="48">
        <v>16</v>
      </c>
      <c r="M5" s="42"/>
      <c r="N5" s="51" t="s">
        <v>3</v>
      </c>
      <c r="O5" s="52">
        <f>COS(RADIANS(Index!E4))</f>
        <v>0.64278760968653936</v>
      </c>
      <c r="P5" s="43"/>
      <c r="Q5" s="43"/>
      <c r="R5" s="43"/>
      <c r="S5" s="43"/>
      <c r="T5" s="43"/>
    </row>
    <row r="6" spans="1:20" ht="20.100000000000001" customHeight="1">
      <c r="A6" s="53"/>
      <c r="B6" s="43"/>
      <c r="C6" s="43"/>
      <c r="D6" s="43"/>
      <c r="E6" s="43"/>
      <c r="F6" s="43"/>
      <c r="G6" s="47">
        <v>0.82</v>
      </c>
      <c r="H6" s="54">
        <v>14.6</v>
      </c>
      <c r="I6" s="47">
        <v>0.82</v>
      </c>
      <c r="J6" s="54">
        <v>14.5</v>
      </c>
      <c r="K6" s="47">
        <v>0.82</v>
      </c>
      <c r="L6" s="54">
        <v>15</v>
      </c>
      <c r="M6" s="42"/>
      <c r="N6" s="43"/>
      <c r="O6" s="43"/>
      <c r="P6" s="43"/>
      <c r="Q6" s="43"/>
      <c r="R6" s="43"/>
      <c r="S6" s="43"/>
      <c r="T6" s="43"/>
    </row>
    <row r="7" spans="1:20" ht="20.100000000000001" customHeight="1">
      <c r="A7" s="43"/>
      <c r="B7" s="43"/>
      <c r="C7" s="43"/>
      <c r="D7" s="43"/>
      <c r="E7" s="43"/>
      <c r="F7" s="43"/>
      <c r="G7" s="47">
        <v>0.85</v>
      </c>
      <c r="H7" s="48">
        <v>13</v>
      </c>
      <c r="I7" s="47">
        <v>0.85</v>
      </c>
      <c r="J7" s="48">
        <v>11.75</v>
      </c>
      <c r="K7" s="47">
        <v>0.85</v>
      </c>
      <c r="L7" s="48">
        <v>12</v>
      </c>
      <c r="M7" s="42"/>
      <c r="N7" s="43"/>
      <c r="O7" s="43"/>
      <c r="P7" s="43"/>
      <c r="Q7" s="43"/>
      <c r="R7" s="43"/>
      <c r="S7" s="43"/>
      <c r="T7" s="43"/>
    </row>
    <row r="8" spans="1:20" ht="20.100000000000001" customHeight="1">
      <c r="A8" s="43"/>
      <c r="B8" s="43"/>
      <c r="C8" s="43"/>
      <c r="D8" s="43"/>
      <c r="E8" s="43"/>
      <c r="F8" s="43"/>
      <c r="G8" s="47">
        <v>0.9</v>
      </c>
      <c r="H8" s="48">
        <v>8</v>
      </c>
      <c r="I8" s="47">
        <v>0.9</v>
      </c>
      <c r="J8" s="48">
        <v>7.5</v>
      </c>
      <c r="K8" s="47">
        <v>0.9</v>
      </c>
      <c r="L8" s="48">
        <v>8</v>
      </c>
      <c r="M8" s="42"/>
      <c r="N8" s="43"/>
      <c r="O8" s="43"/>
      <c r="P8" s="43"/>
      <c r="Q8" s="43"/>
      <c r="R8" s="43"/>
      <c r="S8" s="43"/>
      <c r="T8" s="43"/>
    </row>
    <row r="9" spans="1:20" ht="20.100000000000001" customHeight="1">
      <c r="A9" s="43"/>
      <c r="B9" s="43"/>
      <c r="C9" s="43"/>
      <c r="D9" s="43"/>
      <c r="E9" s="43"/>
      <c r="F9" s="43"/>
      <c r="G9" s="47">
        <v>0.92</v>
      </c>
      <c r="H9" s="48">
        <v>6.25</v>
      </c>
      <c r="I9" s="47">
        <v>0.92</v>
      </c>
      <c r="J9" s="48">
        <v>5.9</v>
      </c>
      <c r="K9" s="47">
        <v>0.92</v>
      </c>
      <c r="L9" s="48">
        <v>8.5</v>
      </c>
      <c r="M9" s="42"/>
      <c r="N9" s="42"/>
      <c r="O9" s="42"/>
      <c r="P9" s="43"/>
      <c r="Q9" s="43"/>
      <c r="R9" s="43"/>
      <c r="S9" s="43"/>
      <c r="T9" s="43"/>
    </row>
    <row r="10" spans="1:20" ht="20.100000000000001" customHeight="1">
      <c r="A10" s="43"/>
      <c r="B10" s="43"/>
      <c r="C10" s="43"/>
      <c r="D10" s="43"/>
      <c r="E10" s="43"/>
      <c r="F10" s="43"/>
      <c r="G10" s="47">
        <v>0.95</v>
      </c>
      <c r="H10" s="48">
        <v>4</v>
      </c>
      <c r="I10" s="47">
        <v>0.95</v>
      </c>
      <c r="J10" s="48">
        <v>3.7</v>
      </c>
      <c r="K10" s="47">
        <v>0.95</v>
      </c>
      <c r="L10" s="48">
        <v>4</v>
      </c>
      <c r="M10" s="42"/>
      <c r="N10" s="42"/>
      <c r="O10" s="42"/>
      <c r="P10" s="43"/>
      <c r="Q10" s="43"/>
      <c r="R10" s="43"/>
      <c r="S10" s="43"/>
      <c r="T10" s="43"/>
    </row>
    <row r="11" spans="1:20" ht="20.100000000000001" customHeight="1">
      <c r="A11" s="43"/>
      <c r="B11" s="43"/>
      <c r="C11" s="43"/>
      <c r="D11" s="43"/>
      <c r="E11" s="43"/>
      <c r="F11" s="43"/>
      <c r="G11" s="47">
        <v>0.97</v>
      </c>
      <c r="H11" s="48">
        <v>2.35</v>
      </c>
      <c r="I11" s="47">
        <v>0.97</v>
      </c>
      <c r="J11" s="48">
        <v>2.1</v>
      </c>
      <c r="K11" s="47">
        <v>0.97</v>
      </c>
      <c r="L11" s="48">
        <v>4.5</v>
      </c>
      <c r="M11" s="42"/>
      <c r="N11" s="42"/>
      <c r="O11" s="42"/>
      <c r="P11" s="43"/>
      <c r="Q11" s="43"/>
      <c r="R11" s="43"/>
      <c r="S11" s="43"/>
      <c r="T11" s="43"/>
    </row>
    <row r="12" spans="1:20" ht="20.100000000000001" customHeight="1">
      <c r="A12" s="43"/>
      <c r="B12" s="43"/>
      <c r="C12" s="43"/>
      <c r="D12" s="43"/>
      <c r="E12" s="43"/>
      <c r="F12" s="43"/>
      <c r="G12" s="47">
        <v>0.98</v>
      </c>
      <c r="H12" s="48">
        <v>2</v>
      </c>
      <c r="I12" s="47">
        <v>0.98</v>
      </c>
      <c r="J12" s="48">
        <v>1.45</v>
      </c>
      <c r="K12" s="47">
        <v>0.98</v>
      </c>
      <c r="L12" s="48">
        <v>3.75</v>
      </c>
      <c r="M12" s="42"/>
      <c r="N12" s="42"/>
      <c r="O12" s="42"/>
      <c r="P12" s="43"/>
      <c r="Q12" s="43"/>
      <c r="R12" s="43"/>
      <c r="S12" s="43"/>
      <c r="T12" s="43"/>
    </row>
    <row r="13" spans="1:20" ht="20.100000000000001" customHeight="1">
      <c r="A13" s="43"/>
      <c r="B13" s="43"/>
      <c r="C13" s="43"/>
      <c r="D13" s="43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43"/>
      <c r="R13" s="43"/>
      <c r="S13" s="43"/>
      <c r="T13" s="43"/>
    </row>
    <row r="14" spans="1:20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LOOKUP(Index!H4,I3:I13:J3:J13)+Index!B4-(ABS(Link!C7/0.2/20))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  <c r="Q14" s="43"/>
      <c r="R14" s="43"/>
      <c r="S14" s="43"/>
      <c r="T14" s="43"/>
    </row>
    <row r="15" spans="1:20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26" t="s">
        <v>6</v>
      </c>
      <c r="C18" s="628"/>
      <c r="D18" s="628"/>
      <c r="E18" s="627"/>
      <c r="F18" s="43"/>
      <c r="G18" s="626" t="s">
        <v>6</v>
      </c>
      <c r="H18" s="628"/>
      <c r="I18" s="627"/>
      <c r="J18" s="43"/>
      <c r="K18" s="48" t="s">
        <v>7</v>
      </c>
      <c r="L18" s="53"/>
      <c r="M18" s="42"/>
      <c r="N18" s="48" t="s">
        <v>8</v>
      </c>
      <c r="O18" s="54">
        <f>O19/0.2165</f>
        <v>2.760743963770889</v>
      </c>
      <c r="P18" s="43"/>
      <c r="Q18" s="48">
        <v>1</v>
      </c>
      <c r="R18" s="55">
        <v>0.73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18.938805538759055</v>
      </c>
      <c r="I19" s="54">
        <f>I20/0.2165</f>
        <v>19.33011359669414</v>
      </c>
      <c r="J19" s="43"/>
      <c r="K19" s="57" t="s">
        <v>11</v>
      </c>
      <c r="L19" s="58">
        <f>O19*$O$3*Index!$D$4</f>
        <v>2.289327909537429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0.59770106815639745</v>
      </c>
      <c r="P19" s="43"/>
      <c r="Q19" s="48">
        <v>5</v>
      </c>
      <c r="R19" s="55">
        <f>R18+0.01</f>
        <v>0.74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60">
        <v>281.2</v>
      </c>
      <c r="D20" s="60">
        <v>204</v>
      </c>
      <c r="E20" s="48">
        <f>D20/45*0.2165</f>
        <v>0.9814666666666666</v>
      </c>
      <c r="F20" s="43"/>
      <c r="G20" s="48" t="s">
        <v>7</v>
      </c>
      <c r="H20" s="48">
        <f>L21+O24+N30</f>
        <v>4.1002513991413352</v>
      </c>
      <c r="I20" s="48">
        <f>L22+O24+O30</f>
        <v>4.184969593684281</v>
      </c>
      <c r="J20" s="43"/>
      <c r="K20" s="61" t="s">
        <v>13</v>
      </c>
      <c r="L20" s="62">
        <f>IF(L23&gt;0,L19*O22,L19*O23)</f>
        <v>2.2501117347271338</v>
      </c>
      <c r="M20" s="53"/>
      <c r="N20" s="48" t="s">
        <v>14</v>
      </c>
      <c r="O20" s="48">
        <f>H27*POWER(H26,(C20-O25))</f>
        <v>1.2434791007553161</v>
      </c>
      <c r="P20" s="43"/>
      <c r="Q20" s="48">
        <v>10</v>
      </c>
      <c r="R20" s="55">
        <f>R19+0.01</f>
        <v>0.75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60">
        <v>248.5</v>
      </c>
      <c r="D21" s="60">
        <v>144</v>
      </c>
      <c r="E21" s="48">
        <f>D21/45*0.2165</f>
        <v>0.69280000000000008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86.829867371875309</v>
      </c>
      <c r="I21" s="48">
        <f>100*(L32-C21)*(L32-C22)/((C20-C21)*(C20-C22))+90*(L32-C20)*(L32-C22)/((C21-C20)*(C21-C22))+80*(L32-C20)*(L32-C21)/((C22-C20)*(C22-C21))</f>
        <v>88.054021047785071</v>
      </c>
      <c r="J21" s="43"/>
      <c r="K21" s="61" t="s">
        <v>15</v>
      </c>
      <c r="L21" s="62">
        <f>L20*L29</f>
        <v>2.2241276923321935</v>
      </c>
      <c r="M21" s="53"/>
      <c r="N21" s="48" t="s">
        <v>16</v>
      </c>
      <c r="O21" s="48">
        <f>I27*POWER(I26,(C20-O25))</f>
        <v>1.3196776622346988</v>
      </c>
      <c r="P21" s="43"/>
      <c r="Q21" s="48">
        <v>15</v>
      </c>
      <c r="R21" s="55">
        <f>R20+0.01</f>
        <v>0.76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60">
        <v>217</v>
      </c>
      <c r="D22" s="60">
        <v>102</v>
      </c>
      <c r="E22" s="48">
        <f>D22/45*0.2165</f>
        <v>0.4907333333333333</v>
      </c>
      <c r="F22" s="43"/>
      <c r="G22" s="48" t="s">
        <v>17</v>
      </c>
      <c r="H22" s="48">
        <f>INDEX('R266'!F291:F363,(ROUNDUP(((H21-80)/(20/72))+1,0)),1)</f>
        <v>239.96666666666678</v>
      </c>
      <c r="I22" s="48">
        <f>INDEX('R266'!F291:F363,(ROUNDUP(((I21-80)/(20/72))+1,0)),1)</f>
        <v>243.0333333333335</v>
      </c>
      <c r="J22" s="43"/>
      <c r="K22" s="61" t="s">
        <v>18</v>
      </c>
      <c r="L22" s="62">
        <f>L20/L30</f>
        <v>2.282395728632749</v>
      </c>
      <c r="M22" s="53"/>
      <c r="N22" s="48" t="s">
        <v>19</v>
      </c>
      <c r="O22" s="48">
        <f>IF((O25&gt;0),((100+(L23/-H25))/100))</f>
        <v>0.982870005364055</v>
      </c>
      <c r="P22" s="43"/>
      <c r="Q22" s="48">
        <v>20</v>
      </c>
      <c r="R22" s="55">
        <f>R21+0.01</f>
        <v>0.77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4.7347013846897639</v>
      </c>
      <c r="I23" s="54">
        <f>I19/4</f>
        <v>4.832528399173535</v>
      </c>
      <c r="J23" s="43"/>
      <c r="K23" s="63" t="s">
        <v>21</v>
      </c>
      <c r="L23" s="64">
        <f>IF(Index!$C$4&gt;0,Index!$C$4*O20,Index!$C$4*O21)</f>
        <v>4.9739164030212644</v>
      </c>
      <c r="M23" s="53"/>
      <c r="N23" s="48" t="s">
        <v>22</v>
      </c>
      <c r="O23" s="48">
        <f>IF((O25&gt;0),((100+(L23/-I25))/100))</f>
        <v>0.98135683893526438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0.73777944862155376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266'!C25</f>
        <v>2.903629866050387</v>
      </c>
      <c r="I25" s="48">
        <f>'inf 266'!D25</f>
        <v>2.6679576418130289</v>
      </c>
      <c r="J25" s="43"/>
      <c r="K25" s="48" t="s">
        <v>25</v>
      </c>
      <c r="L25" s="53"/>
      <c r="M25" s="53"/>
      <c r="N25" s="48" t="s">
        <v>26</v>
      </c>
      <c r="O25" s="48">
        <f>'266'!H14</f>
        <v>235.09625</v>
      </c>
      <c r="P25" s="43"/>
      <c r="Q25" s="48">
        <v>-1</v>
      </c>
      <c r="R25" s="55">
        <v>0.7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1.011387145220251</v>
      </c>
      <c r="I26" s="48">
        <f>(1+(I28*S32))</f>
        <v>1.0136258380980758</v>
      </c>
      <c r="J26" s="43"/>
      <c r="K26" s="57" t="s">
        <v>28</v>
      </c>
      <c r="L26" s="58">
        <f>O19*Index!$D$4*$O$2</f>
        <v>1.9209742045367104</v>
      </c>
      <c r="M26" s="53"/>
      <c r="N26" s="43"/>
      <c r="O26" s="43"/>
      <c r="P26" s="43"/>
      <c r="Q26" s="48">
        <v>-10</v>
      </c>
      <c r="R26" s="55">
        <f t="shared" ref="R26:R31" si="0">R25-0.01</f>
        <v>0.69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0.73777944862155376</v>
      </c>
      <c r="I27" s="48">
        <f>R32</f>
        <v>0.70710697527886568</v>
      </c>
      <c r="J27" s="43"/>
      <c r="K27" s="61" t="s">
        <v>30</v>
      </c>
      <c r="L27" s="62">
        <f>O5*Index!D4*O19*0.95*(1-(L23*0.016))</f>
        <v>1.6796930647028414</v>
      </c>
      <c r="M27" s="42"/>
      <c r="N27" s="54" t="s">
        <v>31</v>
      </c>
      <c r="O27" s="48">
        <f>O25+L23</f>
        <v>240.07016640302126</v>
      </c>
      <c r="P27" s="43"/>
      <c r="Q27" s="48">
        <v>-20</v>
      </c>
      <c r="R27" s="55">
        <f t="shared" si="0"/>
        <v>0.67999999999999994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0.8737737171185348</v>
      </c>
      <c r="I28" s="54">
        <f>1*(O25-C21)*(O25-C22)/((C20-C21)*(C20-C22))+0.903*(O25-C20)*(O25-C22)/((C21-C20)*(C21-C22))+0.76*(O25-C20)*(O25-C21)/((C22-C20)*(C22-C21))</f>
        <v>0.84809548481238939</v>
      </c>
      <c r="J28" s="43"/>
      <c r="K28" s="61" t="s">
        <v>32</v>
      </c>
      <c r="L28" s="62">
        <f>O5*Index!D4*O19*1.25*(1-(L23*0.016))</f>
        <v>2.2101224535563704</v>
      </c>
      <c r="M28" s="42"/>
      <c r="N28" s="43"/>
      <c r="O28" s="43"/>
      <c r="P28" s="43"/>
      <c r="Q28" s="48">
        <v>-30</v>
      </c>
      <c r="R28" s="55">
        <f t="shared" si="0"/>
        <v>0.66999999999999993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0.98845211018016799</v>
      </c>
      <c r="M29" s="42"/>
      <c r="N29" s="632" t="s">
        <v>121</v>
      </c>
      <c r="O29" s="632"/>
      <c r="P29" s="43"/>
      <c r="Q29" s="48">
        <v>-40</v>
      </c>
      <c r="R29" s="55">
        <f t="shared" si="0"/>
        <v>0.65999999999999992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INDEX('R266'!G291:G363,(ROUNDUP(((Index!O29-80)/(20/72))+1,0)),1)</f>
        <v>#VALUE!</v>
      </c>
      <c r="I30" s="48">
        <f>INDEX('R266'!G291:G363,(ROUNDUP(((Index!P29-80)/(20/72))+1,0)),1)</f>
        <v>228.80000000000055</v>
      </c>
      <c r="J30" s="43"/>
      <c r="K30" s="61" t="s">
        <v>35</v>
      </c>
      <c r="L30" s="62">
        <f>(100+(L28*4/-6.25))/100</f>
        <v>0.98585521629723927</v>
      </c>
      <c r="M30" s="42"/>
      <c r="N30" s="66">
        <f>H21/100*(O18*0.2165)*Link!$C$7</f>
        <v>1.8761237068091421</v>
      </c>
      <c r="O30" s="72">
        <f>I21/100*(O18*0.2165)*Link!$C$7</f>
        <v>1.9025738650515325</v>
      </c>
      <c r="P30" s="42"/>
      <c r="Q30" s="48">
        <v>-50</v>
      </c>
      <c r="R30" s="55">
        <f t="shared" si="0"/>
        <v>0.64999999999999991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238.39047333831843</v>
      </c>
      <c r="M31" s="43"/>
      <c r="N31" s="43"/>
      <c r="O31" s="43"/>
      <c r="P31" s="43"/>
      <c r="Q31" s="48">
        <v>-60</v>
      </c>
      <c r="R31" s="55">
        <f t="shared" si="0"/>
        <v>0.6399999999999999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242.28028885657764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0.70710697527886568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0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0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0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ht="20.100000000000001" customHeight="1">
      <c r="A36" s="43"/>
      <c r="B36" s="629" t="s">
        <v>38</v>
      </c>
      <c r="C36" s="630"/>
      <c r="D36" s="630"/>
      <c r="E36" s="631"/>
      <c r="F36" s="43"/>
      <c r="G36" s="629" t="s">
        <v>38</v>
      </c>
      <c r="H36" s="630"/>
      <c r="I36" s="631"/>
      <c r="J36" s="53"/>
      <c r="K36" s="48" t="s">
        <v>7</v>
      </c>
      <c r="L36" s="53"/>
      <c r="M36" s="43"/>
      <c r="N36" s="48" t="s">
        <v>8</v>
      </c>
      <c r="O36" s="48">
        <f>O37/0.2165</f>
        <v>4.5274145170895119</v>
      </c>
      <c r="P36" s="42"/>
      <c r="Q36" s="48">
        <v>1</v>
      </c>
      <c r="R36" s="55">
        <v>0.76</v>
      </c>
      <c r="S36" s="56">
        <v>1.2699999999999999E-2</v>
      </c>
      <c r="T36" s="43"/>
    </row>
    <row r="37" spans="1:20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33.140751901037234</v>
      </c>
      <c r="I37" s="54">
        <f>I38/0.2165</f>
        <v>34.247453372224989</v>
      </c>
      <c r="J37" s="53"/>
      <c r="K37" s="57" t="s">
        <v>11</v>
      </c>
      <c r="L37" s="58">
        <f>O37*$O$3*Index!$D$4</f>
        <v>3.7543272929449021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0.9801852429498793</v>
      </c>
      <c r="P37" s="43"/>
      <c r="Q37" s="48">
        <v>5</v>
      </c>
      <c r="R37" s="55">
        <f>R36+0.01</f>
        <v>0.77</v>
      </c>
      <c r="S37" s="56">
        <v>1.3100000000000001E-2</v>
      </c>
      <c r="T37" s="43"/>
    </row>
    <row r="38" spans="1:20" ht="20.100000000000001" customHeight="1">
      <c r="A38" s="43"/>
      <c r="B38" s="54">
        <v>100</v>
      </c>
      <c r="C38" s="60">
        <v>236.8</v>
      </c>
      <c r="D38" s="60">
        <v>208</v>
      </c>
      <c r="E38" s="54">
        <f>D38/45*0.2165</f>
        <v>1.0007111111111111</v>
      </c>
      <c r="F38" s="43"/>
      <c r="G38" s="48" t="s">
        <v>7</v>
      </c>
      <c r="H38" s="48">
        <f>L39+O42+B55</f>
        <v>7.1749727865745605</v>
      </c>
      <c r="I38" s="48">
        <f>L40+O42+C55</f>
        <v>7.4145736550867101</v>
      </c>
      <c r="J38" s="53"/>
      <c r="K38" s="61" t="s">
        <v>13</v>
      </c>
      <c r="L38" s="62">
        <f>IF(L41&gt;0,L37*O40,L37*O41)</f>
        <v>3.7246930906876794</v>
      </c>
      <c r="M38" s="43"/>
      <c r="N38" s="48" t="s">
        <v>14</v>
      </c>
      <c r="O38" s="48">
        <f>H46*POWER((1+(H45)),C38-O43)</f>
        <v>0.78546519916158675</v>
      </c>
      <c r="P38" s="43"/>
      <c r="Q38" s="48">
        <v>10</v>
      </c>
      <c r="R38" s="55">
        <f>R37+0.01</f>
        <v>0.78</v>
      </c>
      <c r="S38" s="56">
        <v>1.3299999999999999E-2</v>
      </c>
      <c r="T38" s="43"/>
    </row>
    <row r="39" spans="1:20" ht="20.100000000000001" customHeight="1">
      <c r="A39" s="43"/>
      <c r="B39" s="54">
        <f>B38-10</f>
        <v>90</v>
      </c>
      <c r="C39" s="60">
        <v>203.4</v>
      </c>
      <c r="D39" s="60">
        <v>139</v>
      </c>
      <c r="E39" s="54">
        <f t="shared" ref="E39:E48" si="1">D39/45*0.2165</f>
        <v>0.66874444444444447</v>
      </c>
      <c r="F39" s="43"/>
      <c r="G39" s="48" t="s">
        <v>5</v>
      </c>
      <c r="H39" s="48">
        <f>IF(O43&gt;(C45-0.0001),H47,H48)</f>
        <v>99.535024958727988</v>
      </c>
      <c r="I39" s="48">
        <f>IF(O43&gt;(C45-0.0001),I47,I48)</f>
        <v>101.55709707201969</v>
      </c>
      <c r="J39" s="53"/>
      <c r="K39" s="61" t="s">
        <v>15</v>
      </c>
      <c r="L39" s="62">
        <f>L38*L47</f>
        <v>3.6480789178184301</v>
      </c>
      <c r="M39" s="43"/>
      <c r="N39" s="48" t="s">
        <v>16</v>
      </c>
      <c r="O39" s="48">
        <f>I46*POWER((1+(I45)),C38-O43)</f>
        <v>0.79249999999999954</v>
      </c>
      <c r="P39" s="43"/>
      <c r="Q39" s="48">
        <v>15</v>
      </c>
      <c r="R39" s="55">
        <f>R38+0.01</f>
        <v>0.79</v>
      </c>
      <c r="S39" s="56">
        <v>1.35E-2</v>
      </c>
      <c r="T39" s="43"/>
    </row>
    <row r="40" spans="1:20" ht="20.100000000000001" customHeight="1">
      <c r="A40" s="43"/>
      <c r="B40" s="54">
        <f t="shared" ref="B40:B47" si="2">B39-10</f>
        <v>80</v>
      </c>
      <c r="C40" s="60">
        <v>171.7</v>
      </c>
      <c r="D40" s="60">
        <v>94</v>
      </c>
      <c r="E40" s="54">
        <f t="shared" si="1"/>
        <v>0.45224444444444445</v>
      </c>
      <c r="F40" s="43"/>
      <c r="G40" s="48" t="s">
        <v>17</v>
      </c>
      <c r="H40" s="48">
        <f>IF(N53=0,INDEX('R266'!E39:E363,(ROUNDDOWN(((H39-10)/(20/72)+1),0)),1),INDEX('R266'!E39:E363,(ROUNDUP(((H39-10)/(20/72))+1,0)),1))</f>
        <v>265.26111111111112</v>
      </c>
      <c r="I40" s="48" t="e">
        <f>IF(O53=0,INDEX('R266'!E39:E363,(ROUNDDOWN(((I39-10)/(20/72)+1),0)),1),INDEX('R266'!E39:E363,(ROUNDUP(((I39-10)/(20/72))+1,0)),1))</f>
        <v>#REF!</v>
      </c>
      <c r="J40" s="53"/>
      <c r="K40" s="61" t="s">
        <v>18</v>
      </c>
      <c r="L40" s="62">
        <f>L38/L48</f>
        <v>3.8160302967010913</v>
      </c>
      <c r="M40" s="43"/>
      <c r="N40" s="48" t="s">
        <v>19</v>
      </c>
      <c r="O40" s="48">
        <f>IF((O43&gt;0),((100+(L41/-H44))/100))</f>
        <v>0.99210665454956182</v>
      </c>
      <c r="P40" s="42"/>
      <c r="Q40" s="48">
        <v>20</v>
      </c>
      <c r="R40" s="55">
        <f>R39+0.01</f>
        <v>0.8</v>
      </c>
      <c r="S40" s="56">
        <v>1.38E-2</v>
      </c>
      <c r="T40" s="43"/>
    </row>
    <row r="41" spans="1:20" ht="20.100000000000001" customHeight="1">
      <c r="A41" s="43"/>
      <c r="B41" s="54">
        <f t="shared" si="2"/>
        <v>70</v>
      </c>
      <c r="C41" s="60">
        <v>143</v>
      </c>
      <c r="D41" s="60">
        <v>64</v>
      </c>
      <c r="E41" s="54">
        <f t="shared" si="1"/>
        <v>0.30791111111111114</v>
      </c>
      <c r="F41" s="43"/>
      <c r="G41" s="48" t="s">
        <v>39</v>
      </c>
      <c r="H41" s="48">
        <f>N54</f>
        <v>10</v>
      </c>
      <c r="I41" s="48">
        <f>O54</f>
        <v>10</v>
      </c>
      <c r="J41" s="53"/>
      <c r="K41" s="63" t="s">
        <v>21</v>
      </c>
      <c r="L41" s="64">
        <f>IF(Index!$C$4&gt;0,Index!$C$4*O38,Index!$C$4*O39)</f>
        <v>3.141860796646347</v>
      </c>
      <c r="M41" s="43"/>
      <c r="N41" s="48" t="s">
        <v>22</v>
      </c>
      <c r="O41" s="48">
        <f>IF((O43&gt;0),((100+(L41/-I44))/100))</f>
        <v>0.99177858827407461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0.76777944862155378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</row>
    <row r="42" spans="1:20" ht="20.100000000000001" customHeight="1">
      <c r="A42" s="43"/>
      <c r="B42" s="54">
        <f t="shared" si="2"/>
        <v>60</v>
      </c>
      <c r="C42" s="60">
        <v>117.7</v>
      </c>
      <c r="D42" s="60">
        <v>44</v>
      </c>
      <c r="E42" s="54">
        <f t="shared" si="1"/>
        <v>0.21168888888888887</v>
      </c>
      <c r="F42" s="43"/>
      <c r="G42" s="54" t="s">
        <v>20</v>
      </c>
      <c r="H42" s="54">
        <f>H37/4</f>
        <v>8.2851879752593085</v>
      </c>
      <c r="I42" s="54">
        <f>I37/4</f>
        <v>8.5618633430562472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</row>
    <row r="43" spans="1:20" ht="20.100000000000001" customHeight="1">
      <c r="A43" s="43"/>
      <c r="B43" s="54">
        <f t="shared" si="2"/>
        <v>50</v>
      </c>
      <c r="C43" s="60">
        <v>95.5</v>
      </c>
      <c r="D43" s="60">
        <v>31</v>
      </c>
      <c r="E43" s="54">
        <f t="shared" si="1"/>
        <v>0.14914444444444444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0.77</v>
      </c>
      <c r="S43" s="56">
        <v>1.2699999999999999E-2</v>
      </c>
      <c r="T43" s="43"/>
    </row>
    <row r="44" spans="1:20" ht="20.100000000000001" customHeight="1">
      <c r="A44" s="43"/>
      <c r="B44" s="54">
        <f t="shared" si="2"/>
        <v>40</v>
      </c>
      <c r="C44" s="60">
        <v>75.7</v>
      </c>
      <c r="D44" s="60">
        <v>22</v>
      </c>
      <c r="E44" s="54">
        <f t="shared" si="1"/>
        <v>0.10584444444444444</v>
      </c>
      <c r="F44" s="43"/>
      <c r="G44" s="48" t="s">
        <v>24</v>
      </c>
      <c r="H44" s="48">
        <f>IF('266'!O43&gt;('266'!C45-0.0001),'inf 266'!C11,'inf 266'!C19)</f>
        <v>3.9803918584001026</v>
      </c>
      <c r="I44" s="48">
        <f>IF('266'!O43&gt;('266'!C45-0.0001),'inf 266'!D11,'inf 266'!D19)</f>
        <v>3.8215587558263389</v>
      </c>
      <c r="J44" s="43"/>
      <c r="K44" s="57" t="s">
        <v>28</v>
      </c>
      <c r="L44" s="58">
        <f>O37*Index!$D$4*$O$2</f>
        <v>3.1502546468288637</v>
      </c>
      <c r="M44" s="53"/>
      <c r="N44" s="43"/>
      <c r="O44" s="43"/>
      <c r="P44" s="42"/>
      <c r="Q44" s="54">
        <v>-5</v>
      </c>
      <c r="R44" s="69">
        <f>R43-0.01</f>
        <v>0.76</v>
      </c>
      <c r="S44" s="56">
        <v>1.26E-2</v>
      </c>
      <c r="T44" s="43"/>
    </row>
    <row r="45" spans="1:20" ht="20.100000000000001" customHeight="1">
      <c r="A45" s="43"/>
      <c r="B45" s="54">
        <f t="shared" si="2"/>
        <v>30</v>
      </c>
      <c r="C45" s="60">
        <v>57.5</v>
      </c>
      <c r="D45" s="60">
        <v>15</v>
      </c>
      <c r="E45" s="54">
        <f t="shared" si="1"/>
        <v>7.2166666666666657E-2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1.3456506213727897E-2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$O$5*Index!$D$4*O37*1*(1-(L41*0.016))</f>
        <v>2.9918920616396703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0.98094614034574701</v>
      </c>
      <c r="P45" s="43"/>
      <c r="Q45" s="54">
        <v>-10</v>
      </c>
      <c r="R45" s="69">
        <f>R44-0.01</f>
        <v>0.75</v>
      </c>
      <c r="S45" s="56">
        <v>1.2500000000000001E-2</v>
      </c>
      <c r="T45" s="43"/>
    </row>
    <row r="46" spans="1:20" ht="20.100000000000001" customHeight="1">
      <c r="A46" s="43"/>
      <c r="B46" s="54">
        <f t="shared" si="2"/>
        <v>20</v>
      </c>
      <c r="C46" s="60">
        <v>39.799999999999997</v>
      </c>
      <c r="D46" s="60">
        <v>10</v>
      </c>
      <c r="E46" s="54">
        <f t="shared" si="1"/>
        <v>4.8111111111111111E-2</v>
      </c>
      <c r="F46" s="43"/>
      <c r="G46" s="48" t="s">
        <v>29</v>
      </c>
      <c r="H46" s="48">
        <f>R41</f>
        <v>0.76777944862155378</v>
      </c>
      <c r="I46" s="48">
        <f>IF(Index!C4&gt;(-25+0.0001),'266'!R49,'266'!R57)</f>
        <v>0.79249999999999954</v>
      </c>
      <c r="J46" s="43"/>
      <c r="K46" s="61" t="s">
        <v>32</v>
      </c>
      <c r="L46" s="62">
        <f>O5*Index!D4*O37*1.25*(1-(L41*0.016))</f>
        <v>3.7398650770495876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0.9801852429498793</v>
      </c>
      <c r="P46" s="43"/>
      <c r="Q46" s="54">
        <v>-15</v>
      </c>
      <c r="R46" s="69">
        <f>R45-0.01</f>
        <v>0.74</v>
      </c>
      <c r="S46" s="56">
        <v>1.24E-2</v>
      </c>
      <c r="T46" s="43"/>
    </row>
    <row r="47" spans="1:20" ht="20.100000000000001" customHeight="1">
      <c r="A47" s="43"/>
      <c r="B47" s="54">
        <f t="shared" si="2"/>
        <v>10</v>
      </c>
      <c r="C47" s="60">
        <v>21.3</v>
      </c>
      <c r="D47" s="60">
        <v>5</v>
      </c>
      <c r="E47" s="54">
        <f t="shared" si="1"/>
        <v>2.4055555555555556E-2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99.535024958727988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101.55709707201969</v>
      </c>
      <c r="J47" s="43"/>
      <c r="K47" s="61" t="s">
        <v>33</v>
      </c>
      <c r="L47" s="62">
        <f>(100+(L45*2.75/-4))/100</f>
        <v>0.97943074207622727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0.97952943884318588</v>
      </c>
      <c r="P47" s="43"/>
      <c r="Q47" s="54">
        <v>-20</v>
      </c>
      <c r="R47" s="69">
        <f>R46-0.01</f>
        <v>0.73</v>
      </c>
      <c r="S47" s="56">
        <v>1.23E-2</v>
      </c>
      <c r="T47" s="43"/>
    </row>
    <row r="48" spans="1:20" ht="20.100000000000001" customHeight="1">
      <c r="A48" s="43"/>
      <c r="B48" s="54">
        <f>B47-10</f>
        <v>0</v>
      </c>
      <c r="C48" s="60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-13.724061093180353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-26.9565357078136</v>
      </c>
      <c r="J48" s="43"/>
      <c r="K48" s="61" t="s">
        <v>35</v>
      </c>
      <c r="L48" s="62">
        <f>(100+(L46*4/-6.25))/100</f>
        <v>0.9760648635068826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6.2019674365222031</v>
      </c>
      <c r="P48" s="43"/>
      <c r="Q48" s="54">
        <v>-25</v>
      </c>
      <c r="R48" s="69">
        <f>R47-0.01</f>
        <v>0.72</v>
      </c>
      <c r="S48" s="56">
        <v>1.2200000000000001E-2</v>
      </c>
      <c r="T48" s="43"/>
    </row>
    <row r="49" spans="1:20" ht="20.100000000000001" customHeight="1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235.24621873500666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0.79249999999999954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60">
        <v>228.5</v>
      </c>
      <c r="D50" s="60">
        <v>188</v>
      </c>
      <c r="E50" s="54">
        <f>D50/45*0.2165</f>
        <v>0.9044888888888889</v>
      </c>
      <c r="F50" s="43"/>
      <c r="G50" s="48">
        <v>107.5</v>
      </c>
      <c r="H50" s="54">
        <v>261.8</v>
      </c>
      <c r="I50" s="54">
        <v>1.2799</v>
      </c>
      <c r="J50" s="43"/>
      <c r="K50" s="63" t="s">
        <v>37</v>
      </c>
      <c r="L50" s="52">
        <f>O43+L41+L46</f>
        <v>241.97797587369593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60">
        <v>220.1</v>
      </c>
      <c r="D51" s="60">
        <v>170</v>
      </c>
      <c r="E51" s="54">
        <f>D51/45*0.2165</f>
        <v>0.81788888888888889</v>
      </c>
      <c r="F51" s="43"/>
      <c r="G51" s="54">
        <v>105</v>
      </c>
      <c r="H51" s="54">
        <v>253.5</v>
      </c>
      <c r="I51" s="54">
        <v>1.1884999999999999</v>
      </c>
      <c r="J51" s="43"/>
      <c r="K51" s="43"/>
      <c r="L51" s="43"/>
      <c r="M51" s="43"/>
      <c r="N51" s="61">
        <f>MOD(H39,20/72)</f>
        <v>9.0580514283538749E-2</v>
      </c>
      <c r="O51" s="62">
        <f>MOD(I39,20/72)</f>
        <v>0.16820818313079344</v>
      </c>
      <c r="P51" s="43"/>
      <c r="Q51" s="54">
        <v>-30</v>
      </c>
      <c r="R51" s="69">
        <f>R48-0.01</f>
        <v>0.71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60">
        <v>211.7</v>
      </c>
      <c r="D52" s="60">
        <v>154</v>
      </c>
      <c r="E52" s="54">
        <f>D52/45*0.2165</f>
        <v>0.74091111111111108</v>
      </c>
      <c r="F52" s="43"/>
      <c r="G52" s="54">
        <v>102.5</v>
      </c>
      <c r="H52" s="54">
        <v>245.1</v>
      </c>
      <c r="I52" s="54">
        <v>1.0971</v>
      </c>
      <c r="J52" s="53"/>
      <c r="K52" s="54" t="s">
        <v>31</v>
      </c>
      <c r="L52" s="48">
        <f>O43+L41</f>
        <v>238.23811079664634</v>
      </c>
      <c r="M52" s="53"/>
      <c r="N52" s="61">
        <f>N51/(20/72)</f>
        <v>0.32608985142073948</v>
      </c>
      <c r="O52" s="62">
        <f>O51/(20/72)</f>
        <v>0.60554945927085635</v>
      </c>
      <c r="P52" s="53"/>
      <c r="Q52" s="54">
        <v>-35</v>
      </c>
      <c r="R52" s="69">
        <f>R51-0.01</f>
        <v>0.7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1</v>
      </c>
      <c r="O53" s="62">
        <f>IF(O52&lt;0.288,ROUNDDOWN(O52,0),ROUNDUP(O52,0))</f>
        <v>1</v>
      </c>
      <c r="P53" s="53"/>
      <c r="Q53" s="54">
        <v>-40</v>
      </c>
      <c r="R53" s="69">
        <f>R52-0.01</f>
        <v>0.69</v>
      </c>
      <c r="S53" s="56">
        <v>1.115E-2</v>
      </c>
      <c r="T53" s="43"/>
    </row>
    <row r="54" spans="1:20" ht="20.100000000000001" customHeight="1">
      <c r="A54" s="43"/>
      <c r="B54" s="632" t="s">
        <v>121</v>
      </c>
      <c r="C54" s="632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1.0325627035024851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1.0925679603147622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1.0921933886453139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1.0275161828408192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1.0371306593347429</v>
      </c>
      <c r="M54" s="43"/>
      <c r="N54" s="61">
        <f>IF(N51&lt;0.08,11,N55)</f>
        <v>10</v>
      </c>
      <c r="O54" s="62">
        <f>IF(O51&lt;0.08,11,O55)</f>
        <v>10</v>
      </c>
      <c r="P54" s="42"/>
      <c r="Q54" s="54">
        <v>-45</v>
      </c>
      <c r="R54" s="69">
        <f>R53-0.01</f>
        <v>0.67999999999999994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3.5268938687561304</v>
      </c>
      <c r="C55" s="48">
        <f>I39/100*(O36*0.2165)*Link!$C$7</f>
        <v>3.5985433583856188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1.0960153480256802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1.0026287546323331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1.0006319293796313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1.1211682170251625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1.1987010756761614</v>
      </c>
      <c r="M55" s="43"/>
      <c r="N55" s="63">
        <f>IF(N51&gt;(20/72)-0.08,11,10)</f>
        <v>10</v>
      </c>
      <c r="O55" s="64">
        <f>IF(O51&gt;(20/72)-0.08,11,10)</f>
        <v>10</v>
      </c>
      <c r="P55" s="42"/>
      <c r="Q55" s="54">
        <v>-50</v>
      </c>
      <c r="R55" s="69">
        <f>R54-0.01</f>
        <v>0.66999999999999993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0.65999999999999992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IF(Index!C4&gt;(-25+0.0001),'266'!S49,'266'!S57)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0.77800000000121372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26" t="s">
        <v>64</v>
      </c>
      <c r="C61" s="628"/>
      <c r="D61" s="628"/>
      <c r="E61" s="627"/>
      <c r="F61" s="43"/>
      <c r="G61" s="626" t="s">
        <v>64</v>
      </c>
      <c r="H61" s="628"/>
      <c r="I61" s="627"/>
      <c r="J61" s="43"/>
      <c r="K61" s="48" t="s">
        <v>7</v>
      </c>
      <c r="L61" s="53"/>
      <c r="M61" s="42"/>
      <c r="N61" s="48" t="s">
        <v>8</v>
      </c>
      <c r="O61" s="54">
        <f>O62/0.2165</f>
        <v>3.503272786891487</v>
      </c>
      <c r="P61" s="43"/>
      <c r="Q61" s="48">
        <v>1</v>
      </c>
      <c r="R61" s="55">
        <v>0.65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23.35547955784353</v>
      </c>
      <c r="I62" s="54">
        <f>I63/0.2165</f>
        <v>23.997818669012062</v>
      </c>
      <c r="J62" s="43"/>
      <c r="K62" s="57" t="s">
        <v>11</v>
      </c>
      <c r="L62" s="58">
        <f>O62*$O$3*Index!$D$4</f>
        <v>2.9050648198462325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0.75845855836200693</v>
      </c>
      <c r="P62" s="43"/>
      <c r="Q62" s="48">
        <v>5</v>
      </c>
      <c r="R62" s="55">
        <f>R61+0.01</f>
        <v>0.66</v>
      </c>
      <c r="S62" s="56">
        <v>1.3599999999999999E-2</v>
      </c>
    </row>
    <row r="63" spans="1:20" ht="20.100000000000001" customHeight="1">
      <c r="B63" s="59">
        <v>100</v>
      </c>
      <c r="C63" s="60">
        <v>264.89999999999998</v>
      </c>
      <c r="D63" s="60">
        <v>217</v>
      </c>
      <c r="E63" s="48">
        <f>D63/45*0.2165</f>
        <v>1.044011111111111</v>
      </c>
      <c r="F63" s="43"/>
      <c r="G63" s="48" t="s">
        <v>7</v>
      </c>
      <c r="H63" s="48">
        <f>L64+O67+N73</f>
        <v>5.0564613242731244</v>
      </c>
      <c r="I63" s="48">
        <f>L65+O67+O73</f>
        <v>5.1955277418411114</v>
      </c>
      <c r="J63" s="43"/>
      <c r="K63" s="61" t="s">
        <v>13</v>
      </c>
      <c r="L63" s="62">
        <f>IF(L66&gt;0,L62*O65,L62*O66)</f>
        <v>2.8663829888542258</v>
      </c>
      <c r="M63" s="53"/>
      <c r="N63" s="48" t="s">
        <v>14</v>
      </c>
      <c r="O63" s="48">
        <f>H70*POWER(H69,(C63-O68))</f>
        <v>0.94855625082925132</v>
      </c>
      <c r="P63" s="43"/>
      <c r="Q63" s="48">
        <v>10</v>
      </c>
      <c r="R63" s="55">
        <f>R62+0.01</f>
        <v>0.67</v>
      </c>
      <c r="S63" s="56">
        <v>1.38E-2</v>
      </c>
    </row>
    <row r="64" spans="1:20" ht="20.100000000000001" customHeight="1">
      <c r="B64" s="59">
        <v>90</v>
      </c>
      <c r="C64" s="60">
        <v>235.3</v>
      </c>
      <c r="D64" s="60">
        <v>158</v>
      </c>
      <c r="E64" s="48">
        <f>D64/45*0.2165</f>
        <v>0.76015555555555558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90.488834384127529</v>
      </c>
      <c r="I64" s="48">
        <f>100*(L75-C64)*(L75-C65)/((C63-C64)*(C63-C65))+90*(L75-C63)*(L75-C65)/((C64-C63)*(C64-C65))+80*(L75-C63)*(L75-C64)/((C65-C63)*(C65-C64))</f>
        <v>92.219946946068688</v>
      </c>
      <c r="J64" s="43"/>
      <c r="K64" s="61" t="s">
        <v>15</v>
      </c>
      <c r="L64" s="62">
        <f>L63*L72</f>
        <v>2.8235181997600822</v>
      </c>
      <c r="M64" s="53"/>
      <c r="N64" s="48" t="s">
        <v>16</v>
      </c>
      <c r="O64" s="48">
        <f>I70*POWER(I69,(C63-O68))</f>
        <v>1.0090138084103404</v>
      </c>
      <c r="P64" s="43"/>
      <c r="Q64" s="48">
        <v>15</v>
      </c>
      <c r="R64" s="55">
        <f>R63+0.01</f>
        <v>0.68</v>
      </c>
      <c r="S64" s="56">
        <v>1.4E-2</v>
      </c>
    </row>
    <row r="65" spans="2:24" ht="20.100000000000001" customHeight="1">
      <c r="B65" s="59">
        <v>80</v>
      </c>
      <c r="C65" s="60">
        <v>207</v>
      </c>
      <c r="D65" s="60">
        <v>116</v>
      </c>
      <c r="E65" s="48">
        <f>D65/45*0.2165</f>
        <v>0.55808888888888897</v>
      </c>
      <c r="F65" s="43"/>
      <c r="G65" s="48" t="s">
        <v>17</v>
      </c>
      <c r="H65" s="48">
        <f>INDEX('R266'!I291:I363,(ROUNDUP(((H64-80)/(20/72))+1,0)),1)</f>
        <v>231.82222222222231</v>
      </c>
      <c r="I65" s="48">
        <f>INDEX('R266'!I291:I363,(ROUNDUP(((I64-80)/(20/72))+1,0)),1)</f>
        <v>236.08888888888896</v>
      </c>
      <c r="J65" s="43"/>
      <c r="K65" s="61" t="s">
        <v>18</v>
      </c>
      <c r="L65" s="62">
        <f>L63/L73</f>
        <v>2.9198669061402378</v>
      </c>
      <c r="M65" s="53"/>
      <c r="N65" s="48" t="s">
        <v>19</v>
      </c>
      <c r="O65" s="48">
        <f>IF((O68&gt;0),((100+(L66/-H68))/100))</f>
        <v>0.98668469263482594</v>
      </c>
      <c r="P65" s="43"/>
      <c r="Q65" s="48">
        <v>20</v>
      </c>
      <c r="R65" s="55">
        <f>R64+0.01</f>
        <v>0.69000000000000006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5.8388698894608826</v>
      </c>
      <c r="I66" s="54">
        <f>I62/4</f>
        <v>5.9994546672530156</v>
      </c>
      <c r="J66" s="43"/>
      <c r="K66" s="63" t="s">
        <v>21</v>
      </c>
      <c r="L66" s="64">
        <f>IF(Index!$C$4&gt;0,Index!$C$4*O63,Index!$C$4*O64)</f>
        <v>3.7942250033170053</v>
      </c>
      <c r="M66" s="53"/>
      <c r="N66" s="48" t="s">
        <v>22</v>
      </c>
      <c r="O66" s="48">
        <f>IF((O68&gt;0),((100+(L66/-I68))/100))</f>
        <v>0.98629056214167832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0.6577794486215538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266'!G25</f>
        <v>2.8495211558095432</v>
      </c>
      <c r="I68" s="48">
        <f>'inf 266'!H25</f>
        <v>2.7676007160380269</v>
      </c>
      <c r="J68" s="43"/>
      <c r="K68" s="48" t="s">
        <v>25</v>
      </c>
      <c r="L68" s="53"/>
      <c r="M68" s="53"/>
      <c r="N68" s="48" t="s">
        <v>26</v>
      </c>
      <c r="O68" s="48">
        <f>'266'!H14</f>
        <v>235.09625</v>
      </c>
      <c r="P68" s="43"/>
      <c r="Q68" s="48">
        <v>-1</v>
      </c>
      <c r="R68" s="55">
        <v>0.65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1.012358472102487</v>
      </c>
      <c r="I69" s="48">
        <f>(1+(I71*S75))</f>
        <v>1.0144942357740769</v>
      </c>
      <c r="J69" s="43"/>
      <c r="K69" s="57" t="s">
        <v>28</v>
      </c>
      <c r="L69" s="58">
        <f>O62*Index!$D$4*$O$2</f>
        <v>2.4376388188790652</v>
      </c>
      <c r="M69" s="53"/>
      <c r="N69" s="43"/>
      <c r="O69" s="43"/>
      <c r="P69" s="43"/>
      <c r="Q69" s="48">
        <v>-10</v>
      </c>
      <c r="R69" s="55">
        <f t="shared" ref="R69:R74" si="3">R68-0.01</f>
        <v>0.64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0.6577794486215538</v>
      </c>
      <c r="I70" s="48">
        <f>R75</f>
        <v>0.65710697527886663</v>
      </c>
      <c r="J70" s="43"/>
      <c r="K70" s="61" t="s">
        <v>30</v>
      </c>
      <c r="L70" s="62">
        <f>O5*Index!D4*O62*0.95*(1-(L66*0.016))</f>
        <v>2.1751728355692759</v>
      </c>
      <c r="M70" s="42"/>
      <c r="N70" s="54" t="s">
        <v>31</v>
      </c>
      <c r="O70" s="48">
        <f>O68+L66</f>
        <v>238.89047500331699</v>
      </c>
      <c r="P70" s="43"/>
      <c r="Q70" s="48">
        <v>-20</v>
      </c>
      <c r="R70" s="55">
        <f t="shared" si="3"/>
        <v>0.63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0.91326782902152437</v>
      </c>
      <c r="I71" s="54">
        <f>1*(O68-C64)*(O68-C65)/((C63-C64)*(C63-C65))+0.903*(O68-C63)*(O68-C65)/((C64-C63)*(C64-C65))+0.76*(O68-C63)*(O68-C64)/((C65-C63)*(C65-C64))</f>
        <v>0.90214604249090047</v>
      </c>
      <c r="J71" s="43"/>
      <c r="K71" s="61" t="s">
        <v>32</v>
      </c>
      <c r="L71" s="62">
        <f>O5*Index!D4*O62*1.25*(1-(L66*0.016))</f>
        <v>2.8620695204858899</v>
      </c>
      <c r="M71" s="42"/>
      <c r="N71" s="43"/>
      <c r="O71" s="43"/>
      <c r="P71" s="43"/>
      <c r="Q71" s="48">
        <v>-30</v>
      </c>
      <c r="R71" s="55">
        <f t="shared" si="3"/>
        <v>0.62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0.98504568675546123</v>
      </c>
      <c r="M72" s="42"/>
      <c r="N72" s="632" t="s">
        <v>121</v>
      </c>
      <c r="O72" s="632"/>
      <c r="P72" s="43"/>
      <c r="Q72" s="48">
        <v>-40</v>
      </c>
      <c r="R72" s="55">
        <f t="shared" si="3"/>
        <v>0.61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0.98168275506889036</v>
      </c>
      <c r="M73" s="42"/>
      <c r="N73" s="60">
        <f>H64/100*(O61*0.2165)*Link!$C$7*0.9</f>
        <v>2.2329431245130418</v>
      </c>
      <c r="O73" s="48">
        <f>I64/100*(O61*0.2165)*Link!$C$7*0.9</f>
        <v>2.2756608357008732</v>
      </c>
      <c r="P73" s="42"/>
      <c r="Q73" s="48">
        <v>-50</v>
      </c>
      <c r="R73" s="55">
        <f t="shared" si="3"/>
        <v>0.6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236.71530216774772</v>
      </c>
      <c r="M74" s="43"/>
      <c r="N74" s="43"/>
      <c r="O74" s="43"/>
      <c r="P74" s="43"/>
      <c r="Q74" s="48">
        <v>-60</v>
      </c>
      <c r="R74" s="55">
        <f t="shared" si="3"/>
        <v>0.59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241.7525445238029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0.65710697527886663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26" t="s">
        <v>65</v>
      </c>
      <c r="C79" s="628"/>
      <c r="D79" s="628"/>
      <c r="E79" s="627"/>
      <c r="F79" s="43"/>
      <c r="G79" s="626" t="s">
        <v>65</v>
      </c>
      <c r="H79" s="628"/>
      <c r="I79" s="627"/>
      <c r="J79" s="43"/>
      <c r="K79" s="48" t="s">
        <v>7</v>
      </c>
      <c r="L79" s="53"/>
      <c r="M79" s="42"/>
      <c r="N79" s="48" t="s">
        <v>8</v>
      </c>
      <c r="O79" s="54">
        <f>O80/0.2165</f>
        <v>4.4030549681040059</v>
      </c>
      <c r="P79" s="43"/>
      <c r="Q79" s="48">
        <v>1</v>
      </c>
      <c r="R79" s="55">
        <v>0.56999999999999995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28.376232907277217</v>
      </c>
      <c r="I80" s="54">
        <f>I81/0.2165</f>
        <v>29.394551978587195</v>
      </c>
      <c r="J80" s="43"/>
      <c r="K80" s="57" t="s">
        <v>11</v>
      </c>
      <c r="L80" s="58">
        <f>O80*$O$3*Index!$D$4</f>
        <v>3.6512029938262196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0.95326140059451725</v>
      </c>
      <c r="P80" s="43"/>
      <c r="Q80" s="48">
        <v>5</v>
      </c>
      <c r="R80" s="55">
        <f>R79+0.01</f>
        <v>0.57999999999999996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60">
        <v>247.7</v>
      </c>
      <c r="D81" s="60">
        <v>227</v>
      </c>
      <c r="E81" s="48">
        <f>D81/45*0.2165</f>
        <v>1.0921222222222222</v>
      </c>
      <c r="F81" s="43"/>
      <c r="G81" s="48" t="s">
        <v>7</v>
      </c>
      <c r="H81" s="48">
        <f>L82+O85+N91</f>
        <v>6.1434544244255171</v>
      </c>
      <c r="I81" s="48">
        <f>L83+O85+O91</f>
        <v>6.3639205033641275</v>
      </c>
      <c r="J81" s="43"/>
      <c r="K81" s="61" t="s">
        <v>13</v>
      </c>
      <c r="L81" s="62">
        <f>IF(L84&gt;0,L80*O83,L80*O84)</f>
        <v>3.616130878139471</v>
      </c>
      <c r="M81" s="53"/>
      <c r="N81" s="48" t="s">
        <v>14</v>
      </c>
      <c r="O81" s="48">
        <f>H88*POWER(H87,(C81-O86))</f>
        <v>0.68587284274312166</v>
      </c>
      <c r="P81" s="43"/>
      <c r="Q81" s="48">
        <v>10</v>
      </c>
      <c r="R81" s="55">
        <f>R80+0.01</f>
        <v>0.59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60">
        <v>220.7</v>
      </c>
      <c r="D82" s="60">
        <v>169</v>
      </c>
      <c r="E82" s="48">
        <f>D82/45*0.2165</f>
        <v>0.81307777777777779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95.376615718442693</v>
      </c>
      <c r="I82" s="48">
        <f>100*(L93-C82)*(L93-C83)/((C81-C82)*(C81-C83))+90*(L93-C81)*(L93-C83)/((C82-C81)*(C82-C83))+80*(L93-C81)*(L93-C82)/((C83-C81)*(C83-C82))</f>
        <v>97.746249561263625</v>
      </c>
      <c r="J82" s="43"/>
      <c r="K82" s="61" t="s">
        <v>15</v>
      </c>
      <c r="L82" s="62">
        <f>L81*L90</f>
        <v>3.5469485528316786</v>
      </c>
      <c r="M82" s="53"/>
      <c r="N82" s="48" t="s">
        <v>16</v>
      </c>
      <c r="O82" s="48">
        <f>I88*POWER(I87,(C81-O86))</f>
        <v>0.74862548510975535</v>
      </c>
      <c r="P82" s="43"/>
      <c r="Q82" s="48">
        <v>15</v>
      </c>
      <c r="R82" s="55">
        <f>R81+0.01</f>
        <v>0.6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60">
        <v>194.9</v>
      </c>
      <c r="D83" s="60">
        <v>127</v>
      </c>
      <c r="E83" s="48">
        <f>D83/45*0.2165</f>
        <v>0.61101111111111117</v>
      </c>
      <c r="F83" s="43"/>
      <c r="G83" s="48" t="s">
        <v>17</v>
      </c>
      <c r="H83" s="48">
        <f>INDEX('R266'!L291:L363,(ROUNDUP(((H82-80)/(20/72))+1,0)),1)</f>
        <v>225.51111111111095</v>
      </c>
      <c r="I83" s="48">
        <f>INDEX('R266'!L291:L363,(ROUNDUP(((I82-80)/(20/72))+1,0)),1)</f>
        <v>230.75555555555547</v>
      </c>
      <c r="J83" s="43"/>
      <c r="K83" s="61" t="s">
        <v>18</v>
      </c>
      <c r="L83" s="62">
        <f>L81/L91</f>
        <v>3.7029043936991952</v>
      </c>
      <c r="M83" s="53"/>
      <c r="N83" s="48" t="s">
        <v>19</v>
      </c>
      <c r="O83" s="48">
        <f>IF((O86&gt;0),((100+(L84/-H86))/100))</f>
        <v>0.99039436707680961</v>
      </c>
      <c r="P83" s="43"/>
      <c r="Q83" s="48">
        <v>20</v>
      </c>
      <c r="R83" s="55">
        <f>R82+0.01</f>
        <v>0.61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7.0940582268193042</v>
      </c>
      <c r="I84" s="54">
        <f>I80/4</f>
        <v>7.3486379946467988</v>
      </c>
      <c r="J84" s="43"/>
      <c r="K84" s="63" t="s">
        <v>21</v>
      </c>
      <c r="L84" s="64">
        <f>IF(Index!$C$4&gt;0,Index!$C$4*O81,Index!$C$4*O82)</f>
        <v>2.7434913709724866</v>
      </c>
      <c r="M84" s="53"/>
      <c r="N84" s="48" t="s">
        <v>22</v>
      </c>
      <c r="O84" s="48">
        <f>IF((O86&gt;0),((100+(L84/-I86))/100))</f>
        <v>0.99031446537772694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0.57777944862155373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266'!K25</f>
        <v>2.8561276418850055</v>
      </c>
      <c r="I86" s="48">
        <f>'inf 266'!L25</f>
        <v>2.8325657570450358</v>
      </c>
      <c r="J86" s="43"/>
      <c r="K86" s="48" t="s">
        <v>25</v>
      </c>
      <c r="L86" s="53"/>
      <c r="M86" s="53"/>
      <c r="N86" s="48" t="s">
        <v>26</v>
      </c>
      <c r="O86" s="48">
        <f>'266'!H14</f>
        <v>235.09625</v>
      </c>
      <c r="P86" s="43"/>
      <c r="Q86" s="48">
        <v>-1</v>
      </c>
      <c r="R86" s="55">
        <v>0.61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1.0137000612749369</v>
      </c>
      <c r="I87" s="48">
        <f>(1+(I89*S93))</f>
        <v>1.015446573410407</v>
      </c>
      <c r="J87" s="43"/>
      <c r="K87" s="57" t="s">
        <v>28</v>
      </c>
      <c r="L87" s="58">
        <f>O80*Index!$D$4*$O$2</f>
        <v>3.063723085472962</v>
      </c>
      <c r="M87" s="53"/>
      <c r="N87" s="43"/>
      <c r="O87" s="43"/>
      <c r="P87" s="43"/>
      <c r="Q87" s="48">
        <v>-10</v>
      </c>
      <c r="R87" s="55">
        <f t="shared" ref="R87:R92" si="4">R86-0.01</f>
        <v>0.6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0.57777944862155373</v>
      </c>
      <c r="I88" s="48">
        <f>R93</f>
        <v>0.61710697527886438</v>
      </c>
      <c r="J88" s="43"/>
      <c r="K88" s="61" t="s">
        <v>30</v>
      </c>
      <c r="L88" s="62">
        <f>O5*Index!D4*O80*0.95*(1-(L84*0.016))</f>
        <v>2.7827764039090406</v>
      </c>
      <c r="M88" s="42"/>
      <c r="N88" s="54" t="s">
        <v>31</v>
      </c>
      <c r="O88" s="48">
        <f>O86+L84</f>
        <v>237.83974137097249</v>
      </c>
      <c r="P88" s="43"/>
      <c r="Q88" s="48">
        <v>-20</v>
      </c>
      <c r="R88" s="55">
        <f t="shared" si="4"/>
        <v>0.59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0.97633411705123563</v>
      </c>
      <c r="I89" s="54">
        <f>1*(O86-C82)*(O86-C83)/((C81-C82)*(C81-C83))+0.903*(O86-C81)*(O86-C83)/((C82-C81)*(C82-C83))+0.76*(O86-C81)*(O86-C82)/((C83-C81)*(C83-C82))</f>
        <v>0.96142116696947699</v>
      </c>
      <c r="J89" s="43"/>
      <c r="K89" s="61" t="s">
        <v>32</v>
      </c>
      <c r="L89" s="62">
        <f>O5*Index!D4*O80*1.25*(1-(L84*0.016))</f>
        <v>3.6615478998803166</v>
      </c>
      <c r="M89" s="42"/>
      <c r="N89" s="43"/>
      <c r="O89" s="43"/>
      <c r="P89" s="43"/>
      <c r="Q89" s="48">
        <v>-30</v>
      </c>
      <c r="R89" s="55">
        <f t="shared" si="4"/>
        <v>0.57999999999999996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0.98086841222312526</v>
      </c>
      <c r="M90" s="42"/>
      <c r="N90" s="632" t="s">
        <v>121</v>
      </c>
      <c r="O90" s="632"/>
      <c r="P90" s="43"/>
      <c r="Q90" s="48">
        <v>-40</v>
      </c>
      <c r="R90" s="55">
        <f t="shared" si="4"/>
        <v>0.56999999999999995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0.97656609344076595</v>
      </c>
      <c r="M91" s="42"/>
      <c r="N91" s="60">
        <f>H82/100*(O79*0.2165)*Link!$C$7*0.79</f>
        <v>2.5965058715938385</v>
      </c>
      <c r="O91" s="48">
        <f>I82/100*(O79*0.2165)*Link!$C$7*0.79</f>
        <v>2.6610161096649327</v>
      </c>
      <c r="P91" s="42"/>
      <c r="Q91" s="48">
        <v>-50</v>
      </c>
      <c r="R91" s="55">
        <f t="shared" si="4"/>
        <v>0.55999999999999994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235.05696496706344</v>
      </c>
      <c r="M92" s="43"/>
      <c r="N92" s="43"/>
      <c r="O92" s="43"/>
      <c r="P92" s="43"/>
      <c r="Q92" s="48">
        <v>-60</v>
      </c>
      <c r="R92" s="55">
        <f t="shared" si="4"/>
        <v>0.54999999999999993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241.50128927085279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0.61710697527886438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29" t="s">
        <v>66</v>
      </c>
      <c r="C97" s="630"/>
      <c r="D97" s="630"/>
      <c r="E97" s="631"/>
      <c r="F97" s="43"/>
      <c r="G97" s="629" t="s">
        <v>66</v>
      </c>
      <c r="H97" s="630"/>
      <c r="I97" s="631"/>
      <c r="J97" s="53"/>
      <c r="K97" s="48" t="s">
        <v>7</v>
      </c>
      <c r="L97" s="53"/>
      <c r="M97" s="43"/>
      <c r="N97" s="48" t="s">
        <v>8</v>
      </c>
      <c r="O97" s="48">
        <f>O98/0.2165</f>
        <v>5.627189900540869</v>
      </c>
      <c r="P97" s="42"/>
      <c r="Q97" s="48">
        <v>1</v>
      </c>
      <c r="R97" s="55">
        <v>0.7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40.058777285061971</v>
      </c>
      <c r="I98" s="54">
        <f>I99/0.2165</f>
        <v>41.766775731363069</v>
      </c>
      <c r="J98" s="53"/>
      <c r="K98" s="57" t="s">
        <v>11</v>
      </c>
      <c r="L98" s="58">
        <f>O98*$O$3*Index!$D$4</f>
        <v>4.6663084518635447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1.2182866134670982</v>
      </c>
      <c r="P98" s="43"/>
      <c r="Q98" s="48">
        <v>5</v>
      </c>
      <c r="R98" s="55">
        <f>R97+0.01</f>
        <v>0.71</v>
      </c>
      <c r="S98" s="56">
        <v>1.3599999999999999E-2</v>
      </c>
    </row>
    <row r="99" spans="2:19" ht="20.100000000000001" customHeight="1">
      <c r="B99" s="54">
        <v>100</v>
      </c>
      <c r="C99" s="60">
        <v>219.8</v>
      </c>
      <c r="D99" s="60">
        <v>216</v>
      </c>
      <c r="E99" s="54">
        <f>D99/45*0.2165</f>
        <v>1.0391999999999999</v>
      </c>
      <c r="F99" s="43"/>
      <c r="G99" s="48" t="s">
        <v>7</v>
      </c>
      <c r="H99" s="48">
        <f>L100+O103+B116</f>
        <v>8.6727252822159162</v>
      </c>
      <c r="I99" s="48">
        <f>L101+O103+C116</f>
        <v>9.0425069458401044</v>
      </c>
      <c r="J99" s="53"/>
      <c r="K99" s="61" t="s">
        <v>13</v>
      </c>
      <c r="L99" s="62">
        <f>IF(L102&gt;0,L98*O101,L98*O102)</f>
        <v>4.6561127902598152</v>
      </c>
      <c r="M99" s="43"/>
      <c r="N99" s="48" t="s">
        <v>14</v>
      </c>
      <c r="O99" s="48">
        <f>H107*POWER((1+(H106)),C99-O104)</f>
        <v>0.56060705452141213</v>
      </c>
      <c r="P99" s="43"/>
      <c r="Q99" s="48">
        <v>10</v>
      </c>
      <c r="R99" s="55">
        <f>R98+0.01</f>
        <v>0.72</v>
      </c>
      <c r="S99" s="56">
        <v>1.38E-2</v>
      </c>
    </row>
    <row r="100" spans="2:19" ht="20.100000000000001" customHeight="1">
      <c r="B100" s="54">
        <f>B99-10</f>
        <v>90</v>
      </c>
      <c r="C100" s="60">
        <v>189.6</v>
      </c>
      <c r="D100" s="60">
        <v>149</v>
      </c>
      <c r="E100" s="54">
        <f t="shared" ref="E100:E109" si="5">D100/45*0.2165</f>
        <v>0.71685555555555547</v>
      </c>
      <c r="F100" s="43"/>
      <c r="G100" s="48" t="s">
        <v>5</v>
      </c>
      <c r="H100" s="48">
        <f>IF(O104&gt;(C106-0.0001),H108,H109)</f>
        <v>104.38374050380523</v>
      </c>
      <c r="I100" s="48">
        <f>IF(O104&gt;(C106-0.0001),I108,I109)</f>
        <v>107.00620649819402</v>
      </c>
      <c r="J100" s="53"/>
      <c r="K100" s="61" t="s">
        <v>15</v>
      </c>
      <c r="L100" s="62">
        <f>L99*L108</f>
        <v>4.5352716603549368</v>
      </c>
      <c r="M100" s="43"/>
      <c r="N100" s="48" t="s">
        <v>16</v>
      </c>
      <c r="O100" s="48">
        <f>I107*POWER((1+(I106)),C99-O104)</f>
        <v>0.76250000000000229</v>
      </c>
      <c r="P100" s="43"/>
      <c r="Q100" s="48">
        <v>15</v>
      </c>
      <c r="R100" s="55">
        <f>R99+0.01</f>
        <v>0.73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60">
        <v>161.30000000000001</v>
      </c>
      <c r="D101" s="60">
        <v>104</v>
      </c>
      <c r="E101" s="54">
        <f t="shared" si="5"/>
        <v>0.50035555555555555</v>
      </c>
      <c r="F101" s="43"/>
      <c r="G101" s="48" t="s">
        <v>17</v>
      </c>
      <c r="H101" s="48" t="e">
        <f>IF(N114=0,INDEX('R266'!H39:H363,(ROUNDDOWN(((H100-10)/(20/72)+1),0)),1),INDEX('R266'!H39:H363,(ROUNDUP(((H100-10)/(20/72))+1,0)),1))</f>
        <v>#REF!</v>
      </c>
      <c r="I101" s="48" t="e">
        <f>IF(O114=0,INDEX('R266'!H39:H363,(ROUNDDOWN(((I100-10)/(20/72)+1),0)),1),INDEX('R266'!H39:H363,(ROUNDUP(((I100-10)/(20/72))+1,0)),1))</f>
        <v>#REF!</v>
      </c>
      <c r="J101" s="53"/>
      <c r="K101" s="61" t="s">
        <v>18</v>
      </c>
      <c r="L101" s="62">
        <f>L99/L109</f>
        <v>4.8011067574514037</v>
      </c>
      <c r="M101" s="43"/>
      <c r="N101" s="48" t="s">
        <v>19</v>
      </c>
      <c r="O101" s="48">
        <f>IF((O104&gt;0),((100+(L102/-H105))/100))</f>
        <v>0.997815047652999</v>
      </c>
      <c r="P101" s="42"/>
      <c r="Q101" s="48">
        <v>20</v>
      </c>
      <c r="R101" s="55">
        <f>R100+0.01</f>
        <v>0.74</v>
      </c>
      <c r="S101" s="56">
        <v>1.43E-2</v>
      </c>
    </row>
    <row r="102" spans="2:19" ht="20.100000000000001" customHeight="1">
      <c r="B102" s="54">
        <f t="shared" si="6"/>
        <v>70</v>
      </c>
      <c r="C102" s="60">
        <v>135.6</v>
      </c>
      <c r="D102" s="60">
        <v>73</v>
      </c>
      <c r="E102" s="54">
        <f t="shared" si="5"/>
        <v>0.35121111111111109</v>
      </c>
      <c r="F102" s="43"/>
      <c r="G102" s="48" t="s">
        <v>39</v>
      </c>
      <c r="H102" s="48">
        <f>N115</f>
        <v>11</v>
      </c>
      <c r="I102" s="48">
        <f>O115</f>
        <v>11</v>
      </c>
      <c r="J102" s="53"/>
      <c r="K102" s="63" t="s">
        <v>21</v>
      </c>
      <c r="L102" s="64">
        <f>IF(Index!$C$4&gt;0,Index!$C$4*O99,Index!$C$4*O100)</f>
        <v>2.2424282180856485</v>
      </c>
      <c r="M102" s="43"/>
      <c r="N102" s="48" t="s">
        <v>22</v>
      </c>
      <c r="O102" s="48">
        <f>IF((O104&gt;0),((100+(L102/-I105))/100))</f>
        <v>0.99450111225691884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0.70777944862155384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60">
        <v>112.7</v>
      </c>
      <c r="D103" s="60">
        <v>53</v>
      </c>
      <c r="E103" s="54">
        <f t="shared" si="5"/>
        <v>0.25498888888888888</v>
      </c>
      <c r="F103" s="43"/>
      <c r="G103" s="54" t="s">
        <v>20</v>
      </c>
      <c r="H103" s="54">
        <f>H98/4</f>
        <v>10.014694321265493</v>
      </c>
      <c r="I103" s="54">
        <f>I98/4</f>
        <v>10.441693932840767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60">
        <v>92.3</v>
      </c>
      <c r="D104" s="60">
        <v>38</v>
      </c>
      <c r="E104" s="54">
        <f t="shared" si="5"/>
        <v>0.18282222222222222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0.74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60">
        <v>73.8</v>
      </c>
      <c r="D105" s="60">
        <v>28</v>
      </c>
      <c r="E105" s="54">
        <f t="shared" si="5"/>
        <v>0.13471111111111111</v>
      </c>
      <c r="F105" s="43"/>
      <c r="G105" s="48" t="s">
        <v>24</v>
      </c>
      <c r="H105" s="48">
        <f>IF('266'!O104&gt;('266'!C106-0.0001),'inf 266'!G11,'inf 266'!G19)</f>
        <v>10.26305320188583</v>
      </c>
      <c r="I105" s="48">
        <f>IF('266'!O104&gt;('266'!C106-0.0001),'inf 266'!H11,'inf 266'!H19)</f>
        <v>4.0779668959548223</v>
      </c>
      <c r="J105" s="43"/>
      <c r="K105" s="57" t="s">
        <v>28</v>
      </c>
      <c r="L105" s="58">
        <f>O98*Index!$D$4*$O$2</f>
        <v>3.9154977009181251</v>
      </c>
      <c r="M105" s="53"/>
      <c r="N105" s="43"/>
      <c r="O105" s="43"/>
      <c r="P105" s="42"/>
      <c r="Q105" s="54">
        <v>-5</v>
      </c>
      <c r="R105" s="69">
        <f>R104-0.01</f>
        <v>0.73</v>
      </c>
      <c r="S105" s="56">
        <v>1.26E-2</v>
      </c>
    </row>
    <row r="106" spans="2:19" ht="20.100000000000001" customHeight="1">
      <c r="B106" s="54">
        <f t="shared" si="6"/>
        <v>30</v>
      </c>
      <c r="C106" s="60">
        <v>56.4</v>
      </c>
      <c r="D106" s="60">
        <v>20</v>
      </c>
      <c r="E106" s="54">
        <f t="shared" si="5"/>
        <v>9.6222222222222223E-2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1.5356552344435134E-2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3.7750141403999118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1.4914607905881829</v>
      </c>
      <c r="P106" s="43"/>
      <c r="Q106" s="54">
        <v>-10</v>
      </c>
      <c r="R106" s="69">
        <f>R105-0.01</f>
        <v>0.72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60">
        <v>39.200000000000003</v>
      </c>
      <c r="D107" s="60">
        <v>13</v>
      </c>
      <c r="E107" s="54">
        <f t="shared" si="5"/>
        <v>6.2544444444444444E-2</v>
      </c>
      <c r="F107" s="43"/>
      <c r="G107" s="48" t="s">
        <v>29</v>
      </c>
      <c r="H107" s="48">
        <f>R102</f>
        <v>0.70777944862155384</v>
      </c>
      <c r="I107" s="48">
        <f>IF(Index!C4&gt;(-25+0.0001),'266'!R110,'266'!R118)</f>
        <v>0.76250000000000229</v>
      </c>
      <c r="J107" s="43"/>
      <c r="K107" s="61" t="s">
        <v>32</v>
      </c>
      <c r="L107" s="62">
        <f>O5*Index!D4*O98*1.25*(1-(L102*0.016))</f>
        <v>4.7187676754998895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1.3116298534628563</v>
      </c>
      <c r="P107" s="43"/>
      <c r="Q107" s="54">
        <v>-15</v>
      </c>
      <c r="R107" s="69">
        <f>R106-0.01</f>
        <v>0.71</v>
      </c>
      <c r="S107" s="56">
        <v>1.24E-2</v>
      </c>
    </row>
    <row r="108" spans="2:19" ht="20.100000000000001" customHeight="1">
      <c r="B108" s="54">
        <f t="shared" si="6"/>
        <v>10</v>
      </c>
      <c r="C108" s="60">
        <v>21.1</v>
      </c>
      <c r="D108" s="60">
        <v>6</v>
      </c>
      <c r="E108" s="54">
        <f t="shared" si="5"/>
        <v>2.8866666666666665E-2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104.38374050380523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107.00620649819402</v>
      </c>
      <c r="J108" s="43"/>
      <c r="K108" s="61" t="s">
        <v>33</v>
      </c>
      <c r="L108" s="62">
        <f>(100+(L106*2.75/-4))/100</f>
        <v>0.97404677778475057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1.2182866134670982</v>
      </c>
      <c r="P108" s="43"/>
      <c r="Q108" s="54">
        <v>-20</v>
      </c>
      <c r="R108" s="69">
        <f>R107-0.01</f>
        <v>0.7</v>
      </c>
      <c r="S108" s="56">
        <v>1.23E-2</v>
      </c>
    </row>
    <row r="109" spans="2:19" ht="20.100000000000001" customHeight="1">
      <c r="B109" s="54">
        <f>B108-10</f>
        <v>0</v>
      </c>
      <c r="C109" s="60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49.279688990165596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43.204442684582318</v>
      </c>
      <c r="J109" s="43"/>
      <c r="K109" s="61" t="s">
        <v>35</v>
      </c>
      <c r="L109" s="62">
        <f>(100+(L107*4/-6.25))/100</f>
        <v>0.96979988687680074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5.4648496266449271</v>
      </c>
      <c r="P109" s="43"/>
      <c r="Q109" s="54">
        <v>-25</v>
      </c>
      <c r="R109" s="69">
        <f>R108-0.01</f>
        <v>0.69</v>
      </c>
      <c r="S109" s="56">
        <v>1.2200000000000001E-2</v>
      </c>
    </row>
    <row r="110" spans="2:19" ht="20.100000000000001" customHeight="1">
      <c r="B110" s="43"/>
      <c r="C110" s="43"/>
      <c r="D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233.56366407768573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0.76250000000000229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60">
        <v>212.2</v>
      </c>
      <c r="D111" s="60">
        <v>197</v>
      </c>
      <c r="E111" s="54">
        <f>D111/45*0.2165</f>
        <v>0.94778888888888901</v>
      </c>
      <c r="F111" s="43"/>
      <c r="G111" s="48">
        <v>107.5</v>
      </c>
      <c r="H111" s="54">
        <v>242.6</v>
      </c>
      <c r="I111" s="54">
        <v>1.3038000000000001</v>
      </c>
      <c r="J111" s="43"/>
      <c r="K111" s="63" t="s">
        <v>37</v>
      </c>
      <c r="L111" s="52">
        <f>O104+L102+L107</f>
        <v>242.05744589358554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60">
        <v>204.6</v>
      </c>
      <c r="D112" s="60">
        <v>180</v>
      </c>
      <c r="E112" s="54">
        <f>D112/45*0.2165</f>
        <v>0.86599999999999999</v>
      </c>
      <c r="F112" s="43"/>
      <c r="G112" s="54">
        <v>105</v>
      </c>
      <c r="H112" s="54">
        <v>235</v>
      </c>
      <c r="I112" s="54">
        <v>1.2172000000000001</v>
      </c>
      <c r="J112" s="43"/>
      <c r="K112" s="43"/>
      <c r="L112" s="43"/>
      <c r="M112" s="43"/>
      <c r="N112" s="61">
        <f>MOD(H100,20/72)</f>
        <v>0.21707383713855688</v>
      </c>
      <c r="O112" s="62">
        <f>MOD(I100,20/72)</f>
        <v>6.1762053749569001E-2</v>
      </c>
      <c r="P112" s="43"/>
      <c r="Q112" s="54">
        <v>-30</v>
      </c>
      <c r="R112" s="69">
        <f>R109-0.01</f>
        <v>0.67999999999999994</v>
      </c>
      <c r="S112" s="56">
        <v>1.1350000000000001E-2</v>
      </c>
    </row>
    <row r="113" spans="1:20" ht="20.100000000000001" customHeight="1">
      <c r="B113" s="54">
        <v>92.5</v>
      </c>
      <c r="C113" s="60">
        <v>197.1</v>
      </c>
      <c r="D113" s="60">
        <v>164</v>
      </c>
      <c r="E113" s="54">
        <f>D113/45*0.2165</f>
        <v>0.78902222222222218</v>
      </c>
      <c r="F113" s="43"/>
      <c r="G113" s="54">
        <v>102.5</v>
      </c>
      <c r="H113" s="54">
        <v>227.4</v>
      </c>
      <c r="I113" s="54">
        <v>1.1306</v>
      </c>
      <c r="J113" s="53"/>
      <c r="K113" s="54" t="s">
        <v>31</v>
      </c>
      <c r="L113" s="48">
        <f>O104+L102</f>
        <v>237.33867821808565</v>
      </c>
      <c r="M113" s="53"/>
      <c r="N113" s="61">
        <f>N112/(20/72)</f>
        <v>0.78146581369880475</v>
      </c>
      <c r="O113" s="62">
        <f>O112/(20/72)</f>
        <v>0.22234339349844839</v>
      </c>
      <c r="P113" s="53"/>
      <c r="Q113" s="54">
        <v>-35</v>
      </c>
      <c r="R113" s="69">
        <f>R112-0.01</f>
        <v>0.66999999999999993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0</v>
      </c>
      <c r="P114" s="53"/>
      <c r="Q114" s="54">
        <v>-40</v>
      </c>
      <c r="R114" s="69">
        <f>R113-0.01</f>
        <v>0.65999999999999992</v>
      </c>
      <c r="S114" s="56">
        <v>1.115E-2</v>
      </c>
    </row>
    <row r="115" spans="1:20" ht="20.100000000000001" customHeight="1">
      <c r="B115" s="632" t="s">
        <v>121</v>
      </c>
      <c r="C115" s="632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1.1348203163427706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1.1838594331922527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1.1903732478029996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1.0519054993913914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1.0651055256497433</v>
      </c>
      <c r="M115" s="43"/>
      <c r="N115" s="61">
        <f>IF(N112&lt;0.08,11,N116)</f>
        <v>11</v>
      </c>
      <c r="O115" s="62">
        <f>IF(O112&lt;0.08,11,O116)</f>
        <v>11</v>
      </c>
      <c r="P115" s="42"/>
      <c r="Q115" s="54">
        <v>-45</v>
      </c>
      <c r="R115" s="69">
        <f>R114-0.01</f>
        <v>0.64999999999999991</v>
      </c>
      <c r="S115" s="56">
        <v>1.1050000000000001E-2</v>
      </c>
    </row>
    <row r="116" spans="1:20" ht="20.100000000000001" customHeight="1">
      <c r="B116" s="60">
        <f>H100/100*(O97*0.2165)*Link!$C$7*0.9</f>
        <v>4.1374536218609794</v>
      </c>
      <c r="C116" s="48">
        <f>I100/100*(O97*0.2165)*Link!$C$7*0.9</f>
        <v>4.2414001883887007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1.1355079878210834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0.9480764981056552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0.97931291467369264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1.2296420929296314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1.1589735045425313</v>
      </c>
      <c r="M116" s="43"/>
      <c r="N116" s="63">
        <f>IF(N112&gt;(20/72)-0.08,11,10)</f>
        <v>11</v>
      </c>
      <c r="O116" s="64">
        <f>IF(O112&gt;(20/72)-0.08,11,10)</f>
        <v>10</v>
      </c>
      <c r="P116" s="42"/>
      <c r="Q116" s="54">
        <v>-50</v>
      </c>
      <c r="R116" s="69">
        <f>R115-0.01</f>
        <v>0.6399999999999999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0.62999999999999989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IF(Index!C4&gt;(-25+0.0001),'266'!S110,'266'!S118)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0.74799999999981992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29" t="s">
        <v>67</v>
      </c>
      <c r="C122" s="630"/>
      <c r="D122" s="630"/>
      <c r="E122" s="631"/>
      <c r="F122" s="43"/>
      <c r="G122" s="629" t="s">
        <v>67</v>
      </c>
      <c r="H122" s="630"/>
      <c r="I122" s="631"/>
      <c r="J122" s="53"/>
      <c r="K122" s="48" t="s">
        <v>7</v>
      </c>
      <c r="L122" s="53"/>
      <c r="M122" s="43"/>
      <c r="N122" s="48" t="s">
        <v>8</v>
      </c>
      <c r="O122" s="48">
        <f>O123/0.2165</f>
        <v>6.7737754819967559</v>
      </c>
      <c r="P122" s="42"/>
      <c r="Q122" s="48">
        <v>1</v>
      </c>
      <c r="R122" s="55">
        <v>0.68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43.95010675887432</v>
      </c>
      <c r="I123" s="54">
        <f>I124/0.2165</f>
        <v>42.978125290112551</v>
      </c>
      <c r="J123" s="53"/>
      <c r="K123" s="57" t="s">
        <v>11</v>
      </c>
      <c r="L123" s="58">
        <f>O123*$O$3*Index!$D$4</f>
        <v>5.6171066449400255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1.4665223918522976</v>
      </c>
      <c r="P123" s="43"/>
      <c r="Q123" s="48">
        <v>5</v>
      </c>
      <c r="R123" s="55">
        <f>R122+0.01</f>
        <v>0.69000000000000006</v>
      </c>
      <c r="S123" s="56">
        <v>1.41E-2</v>
      </c>
    </row>
    <row r="124" spans="1:20" ht="20.100000000000001" customHeight="1">
      <c r="B124" s="54">
        <v>100</v>
      </c>
      <c r="C124" s="60">
        <v>202</v>
      </c>
      <c r="D124" s="60">
        <v>220</v>
      </c>
      <c r="E124" s="54">
        <f>D124/45*0.2165</f>
        <v>1.0584444444444445</v>
      </c>
      <c r="F124" s="43"/>
      <c r="G124" s="48" t="s">
        <v>7</v>
      </c>
      <c r="H124" s="48">
        <f>L125+O128+B141</f>
        <v>9.5151981132962895</v>
      </c>
      <c r="I124" s="48">
        <f>L126+O128+C141</f>
        <v>9.3047641253093669</v>
      </c>
      <c r="J124" s="53"/>
      <c r="K124" s="61" t="s">
        <v>13</v>
      </c>
      <c r="L124" s="62">
        <f>IF(L127&gt;0,L123*O126,L123*O127)</f>
        <v>5.615216892037501</v>
      </c>
      <c r="M124" s="43"/>
      <c r="N124" s="48" t="s">
        <v>14</v>
      </c>
      <c r="O124" s="48">
        <f>H132*POWER((1+(H131)),C124-O129)</f>
        <v>0.36840877342861805</v>
      </c>
      <c r="P124" s="43"/>
      <c r="Q124" s="48">
        <v>10</v>
      </c>
      <c r="R124" s="55">
        <f>R123+0.01</f>
        <v>0.70000000000000007</v>
      </c>
      <c r="S124" s="56">
        <v>1.43E-2</v>
      </c>
    </row>
    <row r="125" spans="1:20" ht="20.100000000000001" customHeight="1">
      <c r="B125" s="54">
        <f>B124-10</f>
        <v>90</v>
      </c>
      <c r="C125" s="60">
        <v>174.6</v>
      </c>
      <c r="D125" s="60">
        <v>156</v>
      </c>
      <c r="E125" s="54">
        <f t="shared" ref="E125:E134" si="7">D125/45*0.2165</f>
        <v>0.75053333333333339</v>
      </c>
      <c r="F125" s="43"/>
      <c r="G125" s="48" t="s">
        <v>5</v>
      </c>
      <c r="H125" s="48">
        <f>IF(O129&gt;(C131-0.0001),H133,H134)</f>
        <v>97.361105715153599</v>
      </c>
      <c r="I125" s="48">
        <f>IF(O129&gt;(C131-0.0001),I133,I134)</f>
        <v>82.969613238949364</v>
      </c>
      <c r="J125" s="53"/>
      <c r="K125" s="61" t="s">
        <v>15</v>
      </c>
      <c r="L125" s="62">
        <f>L124*L133</f>
        <v>5.4375514657981361</v>
      </c>
      <c r="M125" s="43"/>
      <c r="N125" s="48" t="s">
        <v>16</v>
      </c>
      <c r="O125" s="48">
        <f>I132*POWER((1+(I131)),C124-O129)</f>
        <v>0.71250000000000058</v>
      </c>
      <c r="P125" s="43"/>
      <c r="Q125" s="48">
        <v>15</v>
      </c>
      <c r="R125" s="55">
        <f>R124+0.01</f>
        <v>0.71000000000000008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60">
        <v>149.1</v>
      </c>
      <c r="D126" s="60">
        <v>111</v>
      </c>
      <c r="E126" s="54">
        <f t="shared" si="7"/>
        <v>0.53403333333333336</v>
      </c>
      <c r="F126" s="43"/>
      <c r="G126" s="48" t="s">
        <v>17</v>
      </c>
      <c r="H126" s="48">
        <f>IF(N139=0,INDEX('R266'!K39:K363,(ROUNDDOWN(((H125-10)/(20/72)+1),0)),1),INDEX('R266'!K39:K363,(ROUNDUP(((H125-10)/(20/72))+1,0)),1))</f>
        <v>220.35000000000011</v>
      </c>
      <c r="I126" s="48">
        <f>IF(O139=0,INDEX('R266'!K39:K363,(ROUNDDOWN(((I125-10)/(20/72)+1),0)),1),INDEX('R266'!K39:K363,(ROUNDUP(((I125-10)/(20/72))+1,0)),1))</f>
        <v>187.70555555555629</v>
      </c>
      <c r="J126" s="53"/>
      <c r="K126" s="61" t="s">
        <v>18</v>
      </c>
      <c r="L126" s="62">
        <f>L124/L134</f>
        <v>5.8298573565034033</v>
      </c>
      <c r="M126" s="43"/>
      <c r="N126" s="48" t="s">
        <v>19</v>
      </c>
      <c r="O126" s="48">
        <f>IF((O129&gt;0),((100+(L127/-H130))/100))</f>
        <v>0.99966357183119769</v>
      </c>
      <c r="P126" s="42"/>
      <c r="Q126" s="48">
        <v>20</v>
      </c>
      <c r="R126" s="55">
        <f>R125+0.01</f>
        <v>0.72000000000000008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60">
        <v>126</v>
      </c>
      <c r="D127" s="60">
        <v>74</v>
      </c>
      <c r="E127" s="54">
        <f t="shared" si="7"/>
        <v>0.35602222222222218</v>
      </c>
      <c r="F127" s="43"/>
      <c r="G127" s="48" t="s">
        <v>39</v>
      </c>
      <c r="H127" s="48">
        <f>N140</f>
        <v>10</v>
      </c>
      <c r="I127" s="48">
        <f>O140</f>
        <v>10</v>
      </c>
      <c r="J127" s="53"/>
      <c r="K127" s="63" t="s">
        <v>21</v>
      </c>
      <c r="L127" s="64">
        <f>IF(Index!$C$4&gt;0,Index!$C$4*O124,Index!$C$4*O125)</f>
        <v>1.4736350937144722</v>
      </c>
      <c r="M127" s="43"/>
      <c r="N127" s="48" t="s">
        <v>22</v>
      </c>
      <c r="O127" s="48">
        <f>IF((O129&gt;0),((100+(L127/-I130))/100))</f>
        <v>0.99569477958033337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0.68777944862155382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60">
        <v>105.4</v>
      </c>
      <c r="D128" s="60">
        <v>59</v>
      </c>
      <c r="E128" s="54">
        <f t="shared" si="7"/>
        <v>0.28385555555555553</v>
      </c>
      <c r="F128" s="43"/>
      <c r="G128" s="54" t="s">
        <v>20</v>
      </c>
      <c r="H128" s="54">
        <f>H123/4</f>
        <v>10.98752668971858</v>
      </c>
      <c r="I128" s="54">
        <f>I123/4</f>
        <v>10.744531322528138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60">
        <v>86.7</v>
      </c>
      <c r="D129" s="60">
        <v>44</v>
      </c>
      <c r="E129" s="54">
        <f t="shared" si="7"/>
        <v>0.21168888888888887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0.69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60">
        <v>69.599999999999994</v>
      </c>
      <c r="D130" s="60">
        <v>32</v>
      </c>
      <c r="E130" s="54">
        <f t="shared" si="7"/>
        <v>0.15395555555555557</v>
      </c>
      <c r="F130" s="43"/>
      <c r="G130" s="48" t="s">
        <v>24</v>
      </c>
      <c r="H130" s="48">
        <f>IF('266'!O129&gt;('266'!C131-0.0001),'inf 266'!K11,'inf 266'!K19)</f>
        <v>43.802369431801267</v>
      </c>
      <c r="I130" s="48">
        <f>IF('266'!O129&gt;('266'!C131-0.0001),'inf 266'!L11,'inf 266'!L19)</f>
        <v>3.4229027786422748</v>
      </c>
      <c r="J130" s="43"/>
      <c r="K130" s="57" t="s">
        <v>28</v>
      </c>
      <c r="L130" s="58">
        <f>O123*Index!$D$4*$O$2</f>
        <v>4.7133121140526244</v>
      </c>
      <c r="M130" s="53"/>
      <c r="N130" s="43"/>
      <c r="O130" s="43"/>
      <c r="P130" s="42"/>
      <c r="Q130" s="54">
        <v>-5</v>
      </c>
      <c r="R130" s="69">
        <f>R129-0.01</f>
        <v>0.67999999999999994</v>
      </c>
      <c r="S130" s="56">
        <v>1.26E-2</v>
      </c>
    </row>
    <row r="131" spans="2:19" ht="20.100000000000001" customHeight="1">
      <c r="B131" s="54">
        <f t="shared" si="8"/>
        <v>30</v>
      </c>
      <c r="C131" s="60">
        <v>53.3</v>
      </c>
      <c r="D131" s="60">
        <v>23</v>
      </c>
      <c r="E131" s="54">
        <f t="shared" si="7"/>
        <v>0.11065555555555555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1.9041430959626307E-2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4.6021808798302635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11.528683068805611</v>
      </c>
      <c r="P131" s="43"/>
      <c r="Q131" s="54">
        <v>-10</v>
      </c>
      <c r="R131" s="69">
        <f>R130-0.01</f>
        <v>0.66999999999999993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60">
        <v>37.1</v>
      </c>
      <c r="D132" s="60">
        <v>14</v>
      </c>
      <c r="E132" s="54">
        <f t="shared" si="7"/>
        <v>6.7355555555555557E-2</v>
      </c>
      <c r="F132" s="43"/>
      <c r="G132" s="48" t="s">
        <v>29</v>
      </c>
      <c r="H132" s="48">
        <f>R127</f>
        <v>0.68777944862155382</v>
      </c>
      <c r="I132" s="48">
        <f>IF(Index!C4&gt;(-25+0.0001),'266'!R135,'266'!R143)</f>
        <v>0.71250000000000058</v>
      </c>
      <c r="J132" s="43"/>
      <c r="K132" s="61" t="s">
        <v>32</v>
      </c>
      <c r="L132" s="62">
        <f>O5*Index!D4*O123*1.25*(1-(L127*0.016))</f>
        <v>5.7527260997878296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0.74673047731138098</v>
      </c>
      <c r="P132" s="43"/>
      <c r="Q132" s="54">
        <v>-15</v>
      </c>
      <c r="R132" s="69">
        <f>R131-0.01</f>
        <v>0.65999999999999992</v>
      </c>
      <c r="S132" s="56">
        <v>1.24E-2</v>
      </c>
    </row>
    <row r="133" spans="2:19" ht="20.100000000000001" customHeight="1">
      <c r="B133" s="54">
        <f t="shared" si="8"/>
        <v>10</v>
      </c>
      <c r="C133" s="60">
        <v>20</v>
      </c>
      <c r="D133" s="60">
        <v>8</v>
      </c>
      <c r="E133" s="54">
        <f t="shared" si="7"/>
        <v>3.8488888888888892E-2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97.361105715153599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82.969613238949364</v>
      </c>
      <c r="J133" s="43"/>
      <c r="K133" s="61" t="s">
        <v>33</v>
      </c>
      <c r="L133" s="62">
        <f>(100+(L131*2.75/-4))/100</f>
        <v>0.96836000645116693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1.4665223918522976</v>
      </c>
      <c r="P133" s="43"/>
      <c r="Q133" s="54">
        <v>-20</v>
      </c>
      <c r="R133" s="69">
        <f>R132-0.01</f>
        <v>0.64999999999999991</v>
      </c>
      <c r="S133" s="56">
        <v>1.23E-2</v>
      </c>
    </row>
    <row r="134" spans="2:19" ht="20.100000000000001" customHeight="1">
      <c r="B134" s="54">
        <f>B133-10</f>
        <v>0</v>
      </c>
      <c r="C134" s="60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55.788990965302219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49.366898547472374</v>
      </c>
      <c r="J134" s="43"/>
      <c r="K134" s="61" t="s">
        <v>35</v>
      </c>
      <c r="L134" s="62">
        <f>(100+(L132*4/-6.25))/100</f>
        <v>0.96318255296135791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-26.611447794600764</v>
      </c>
      <c r="P134" s="43"/>
      <c r="Q134" s="54">
        <v>-25</v>
      </c>
      <c r="R134" s="69">
        <f>R133-0.01</f>
        <v>0.6399999999999999</v>
      </c>
      <c r="S134" s="56">
        <v>1.2200000000000001E-2</v>
      </c>
    </row>
    <row r="135" spans="2:19" ht="20.100000000000001" customHeight="1">
      <c r="B135" s="43"/>
      <c r="C135" s="43"/>
      <c r="D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231.96770421388422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0.71250000000000058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60">
        <v>195</v>
      </c>
      <c r="D136" s="60">
        <v>202</v>
      </c>
      <c r="E136" s="54">
        <f>D136/45*0.2165</f>
        <v>0.9718444444444444</v>
      </c>
      <c r="F136" s="43"/>
      <c r="G136" s="48">
        <v>107.5</v>
      </c>
      <c r="H136" s="54">
        <v>222.9</v>
      </c>
      <c r="I136" s="54">
        <v>1.3158000000000001</v>
      </c>
      <c r="J136" s="43"/>
      <c r="K136" s="63" t="s">
        <v>37</v>
      </c>
      <c r="L136" s="52">
        <f>O129+L127+L132</f>
        <v>242.3226111935023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60">
        <v>188.1</v>
      </c>
      <c r="D137" s="60">
        <v>185</v>
      </c>
      <c r="E137" s="54">
        <f>D137/45*0.2165</f>
        <v>0.89005555555555549</v>
      </c>
      <c r="F137" s="43"/>
      <c r="G137" s="54">
        <v>105</v>
      </c>
      <c r="H137" s="54">
        <v>215.9</v>
      </c>
      <c r="I137" s="54">
        <v>1.2316</v>
      </c>
      <c r="J137" s="43"/>
      <c r="K137" s="43"/>
      <c r="L137" s="43"/>
      <c r="M137" s="43"/>
      <c r="N137" s="61">
        <f>MOD(H125,20/72)</f>
        <v>0.13888349293137225</v>
      </c>
      <c r="O137" s="62">
        <f>MOD(I125,20/72)</f>
        <v>0.19183546117158268</v>
      </c>
      <c r="P137" s="43"/>
      <c r="Q137" s="54">
        <v>-30</v>
      </c>
      <c r="R137" s="69">
        <f>R134-0.01</f>
        <v>0.62999999999999989</v>
      </c>
      <c r="S137" s="56">
        <v>1.1350000000000001E-2</v>
      </c>
    </row>
    <row r="138" spans="2:19" ht="20.100000000000001" customHeight="1">
      <c r="B138" s="54">
        <v>92.5</v>
      </c>
      <c r="C138" s="60">
        <v>181.3</v>
      </c>
      <c r="D138" s="60">
        <v>170</v>
      </c>
      <c r="E138" s="54">
        <f>D138/45*0.2165</f>
        <v>0.81788888888888889</v>
      </c>
      <c r="F138" s="43"/>
      <c r="G138" s="54">
        <v>102.5</v>
      </c>
      <c r="H138" s="54">
        <v>209</v>
      </c>
      <c r="I138" s="54">
        <v>1.1474</v>
      </c>
      <c r="J138" s="53"/>
      <c r="K138" s="54" t="s">
        <v>31</v>
      </c>
      <c r="L138" s="48">
        <f>O129+L127</f>
        <v>236.56988509371448</v>
      </c>
      <c r="M138" s="53"/>
      <c r="N138" s="61">
        <f>N137/(20/72)</f>
        <v>0.49998057455294009</v>
      </c>
      <c r="O138" s="62">
        <f>O137/(20/72)</f>
        <v>0.69060766021769759</v>
      </c>
      <c r="P138" s="53"/>
      <c r="Q138" s="54">
        <v>-35</v>
      </c>
      <c r="R138" s="69">
        <f>R137-0.01</f>
        <v>0.61999999999999988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1</v>
      </c>
      <c r="O139" s="62">
        <f>IF(O138&lt;0.288,ROUNDDOWN(O138,0),ROUNDUP(O138,0))</f>
        <v>1</v>
      </c>
      <c r="P139" s="53"/>
      <c r="Q139" s="54">
        <v>-40</v>
      </c>
      <c r="R139" s="69">
        <f>R138-0.01</f>
        <v>0.60999999999999988</v>
      </c>
      <c r="S139" s="56">
        <v>1.115E-2</v>
      </c>
    </row>
    <row r="140" spans="2:19" ht="20.100000000000001" customHeight="1">
      <c r="B140" s="632" t="s">
        <v>121</v>
      </c>
      <c r="C140" s="632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1.3569865353353561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1.3326854873719391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1.3560064380870263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1.0615585026298293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1.077111345067169</v>
      </c>
      <c r="M140" s="43"/>
      <c r="N140" s="61">
        <f>IF(N137&lt;0.08,11,N141)</f>
        <v>10</v>
      </c>
      <c r="O140" s="62">
        <f>IF(O137&lt;0.08,11,O141)</f>
        <v>10</v>
      </c>
      <c r="P140" s="42"/>
      <c r="Q140" s="54">
        <v>-45</v>
      </c>
      <c r="R140" s="69">
        <f>R139-0.01</f>
        <v>0.59999999999999987</v>
      </c>
      <c r="S140" s="56">
        <v>1.1050000000000001E-2</v>
      </c>
    </row>
    <row r="141" spans="2:19" ht="20.100000000000001" customHeight="1">
      <c r="B141" s="60">
        <f>H125/100*(O122*0.2165)*Link!$C$7*0.79</f>
        <v>4.0776466474981525</v>
      </c>
      <c r="C141" s="48">
        <f>I125/100*(O122*0.2165)*Link!$C$7*0.79</f>
        <v>3.4749067688059636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1.1510644636731016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0.75485174022707746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0.88105167478635205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1.4076852982626242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0.84111032214780646</v>
      </c>
      <c r="M141" s="43"/>
      <c r="N141" s="63">
        <f>IF(N137&gt;(20/72)-0.08,11,10)</f>
        <v>10</v>
      </c>
      <c r="O141" s="64">
        <f>IF(O137&gt;(20/72)-0.08,11,10)</f>
        <v>10</v>
      </c>
      <c r="P141" s="42"/>
      <c r="Q141" s="54">
        <v>-50</v>
      </c>
      <c r="R141" s="69">
        <f>R140-0.01</f>
        <v>0.58999999999999986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0.57999999999999985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IF(Index!C4&gt;(-25+0.0001),'266'!S135,'266'!S143)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0.69800000000003593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26" t="s">
        <v>48</v>
      </c>
      <c r="C147" s="628"/>
      <c r="D147" s="628"/>
      <c r="E147" s="627"/>
      <c r="F147" s="43"/>
      <c r="G147" s="629" t="s">
        <v>48</v>
      </c>
      <c r="H147" s="630"/>
      <c r="I147" s="631"/>
      <c r="J147" s="43"/>
      <c r="K147" s="48" t="s">
        <v>7</v>
      </c>
      <c r="L147" s="53"/>
      <c r="M147" s="43"/>
      <c r="N147" s="54" t="s">
        <v>8</v>
      </c>
      <c r="O147" s="54">
        <f>O148/0.2165</f>
        <v>5.2652635769863076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29.636982817951253</v>
      </c>
      <c r="I148" s="48">
        <f>I149/0.2165</f>
        <v>30.049575042643362</v>
      </c>
      <c r="J148" s="43"/>
      <c r="K148" s="57" t="s">
        <v>11</v>
      </c>
      <c r="L148" s="58">
        <f>O148*$O$3*Index!$D$4</f>
        <v>4.3661835418454507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1.1399295644175356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60">
        <v>279.7</v>
      </c>
      <c r="D149" s="60">
        <v>266</v>
      </c>
      <c r="E149" s="48">
        <f>D149/45*0.2165</f>
        <v>1.2797555555555555</v>
      </c>
      <c r="F149" s="42"/>
      <c r="G149" s="48" t="s">
        <v>7</v>
      </c>
      <c r="H149" s="48">
        <f>L150+O153+N158</f>
        <v>6.4164067800864464</v>
      </c>
      <c r="I149" s="48">
        <f>L151+O153+O158</f>
        <v>6.5057329967322879</v>
      </c>
      <c r="J149" s="43"/>
      <c r="K149" s="61" t="s">
        <v>13</v>
      </c>
      <c r="L149" s="62">
        <f>IF(L152&gt;0,L148*O151,L148*O152)</f>
        <v>4.2530678503091339</v>
      </c>
      <c r="M149" s="43"/>
      <c r="N149" s="48" t="s">
        <v>14</v>
      </c>
      <c r="O149" s="48">
        <f>R152*POWER(1.001,(C149-Index!B4))</f>
        <v>2.1049618847312801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60">
        <v>257.7</v>
      </c>
      <c r="D150" s="60">
        <v>251</v>
      </c>
      <c r="E150" s="48">
        <f>D150/45*0.2165</f>
        <v>1.2075888888888888</v>
      </c>
      <c r="F150" s="42"/>
      <c r="G150" s="48" t="s">
        <v>5</v>
      </c>
      <c r="H150" s="48">
        <f>IF(L160&lt;=C150,80+(L160-C151)/((C150-C151)/10),90+(L160-C150)/((C149-C150)/10))</f>
        <v>82.155640990421446</v>
      </c>
      <c r="I150" s="48">
        <f>IF(L161&lt;=C150,80+(L161-C151)/((C150-C151)/10),90+(L161-C150)/((C149-C150)/10))</f>
        <v>85.547921545620341</v>
      </c>
      <c r="J150" s="43"/>
      <c r="K150" s="61" t="s">
        <v>15</v>
      </c>
      <c r="L150" s="62">
        <f>L149*L158</f>
        <v>4.2530678503091339</v>
      </c>
      <c r="M150" s="43"/>
      <c r="N150" s="48" t="s">
        <v>16</v>
      </c>
      <c r="O150" s="48">
        <f>R161*POWER(1.001,(C149-Index!B4))</f>
        <v>1.530965288116346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60">
        <v>236.1</v>
      </c>
      <c r="D151" s="60">
        <v>237</v>
      </c>
      <c r="E151" s="48">
        <f>D151/45*0.2165</f>
        <v>1.1402333333333332</v>
      </c>
      <c r="F151" s="42"/>
      <c r="G151" s="48" t="s">
        <v>17</v>
      </c>
      <c r="H151" s="48">
        <f>INDEX('R266'!F291:F363,(ROUNDUP(((H150-80)/(20/72))+1,0)),1)</f>
        <v>226.93333333333322</v>
      </c>
      <c r="I151" s="48">
        <f>INDEX('R266'!F291:F363,(ROUNDUP(((I150-80)/(20/72))+1,0)),1)</f>
        <v>236.13333333333338</v>
      </c>
      <c r="J151" s="43"/>
      <c r="K151" s="61" t="s">
        <v>18</v>
      </c>
      <c r="L151" s="62">
        <f>L149/L159</f>
        <v>4.2530678503091339</v>
      </c>
      <c r="M151" s="43"/>
      <c r="N151" s="48" t="s">
        <v>19</v>
      </c>
      <c r="O151" s="48">
        <f>IF((Index!B4&gt;0),((100+(L152/-3.25))/100))</f>
        <v>0.9740927768033073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7.4092457044878133</v>
      </c>
      <c r="I152" s="48">
        <f>I148/4</f>
        <v>7.5123937606608404</v>
      </c>
      <c r="J152" s="43"/>
      <c r="K152" s="63" t="s">
        <v>21</v>
      </c>
      <c r="L152" s="64">
        <f>IF(Index!C4&gt;0,Index!C4*O149,Index!C4*O150)</f>
        <v>8.4198475389251204</v>
      </c>
      <c r="M152" s="43"/>
      <c r="N152" s="48" t="s">
        <v>22</v>
      </c>
      <c r="O152" s="48">
        <f>IF((Index!B4&gt;0),((100+(L152/-3.25))/100))</f>
        <v>0.9740927768033073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INDEX('R266'!G291:G363,(ROUNDUP(((Index!K17-80)/(20/72))+1,0)),1)</f>
        <v>#VALUE!</v>
      </c>
      <c r="I154" s="48" t="e">
        <f>INDEX('R266'!G291:G363,(ROUNDUP(((Index!L17-80)/(20/72))+1,0)),1)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1.43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3.6636629996148282</v>
      </c>
      <c r="M155" s="43"/>
      <c r="N155" s="48">
        <f>100*(L160-C150)*(L160-C151)/((C149-C150)*(C149-C151))+90*(L160-C149)*(L160-C151)/((C150-C149)*(C150-C151))+80*(L160-C149)*(L160-C150)/((C151-C149)*(C151-C150))</f>
        <v>82.170872342857308</v>
      </c>
      <c r="O155" s="48">
        <f>100*(L161-C150)*(L161-C151)/((C149-C150)*(C149-C151))+90*(L161-C149)*(L161-C151)/((C150-C149)*(C150-C151))+80*(L161-C149)*(L161-C150)/((C151-C149)*(C151-C150))</f>
        <v>85.570169889688927</v>
      </c>
      <c r="P155" s="53"/>
      <c r="Q155" s="48">
        <v>-10</v>
      </c>
      <c r="R155" s="55">
        <f t="shared" ref="R155:R160" si="9">R154-0.05</f>
        <v>1.38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3.6636629996148282</v>
      </c>
      <c r="M156" s="43"/>
      <c r="N156" s="53"/>
      <c r="O156" s="43"/>
      <c r="P156" s="53"/>
      <c r="Q156" s="48">
        <v>-20</v>
      </c>
      <c r="R156" s="55">
        <f t="shared" si="9"/>
        <v>1.3299999999999998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3.6636629996148282</v>
      </c>
      <c r="M157" s="43"/>
      <c r="N157" s="632" t="s">
        <v>121</v>
      </c>
      <c r="O157" s="632"/>
      <c r="P157" s="42"/>
      <c r="Q157" s="48">
        <v>-30</v>
      </c>
      <c r="R157" s="55">
        <f t="shared" si="9"/>
        <v>1.2799999999999998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2.1633389297773125</v>
      </c>
      <c r="O158" s="48">
        <f>I150/100*(O147*0.2165)*Link!$C$7*0.639</f>
        <v>2.2526651464231544</v>
      </c>
      <c r="P158" s="42"/>
      <c r="Q158" s="48">
        <v>-40</v>
      </c>
      <c r="R158" s="55">
        <f t="shared" si="9"/>
        <v>1.2299999999999998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1.1799999999999997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240.75618453931031</v>
      </c>
      <c r="M160" s="42"/>
      <c r="N160" s="42"/>
      <c r="O160" s="42"/>
      <c r="P160" s="42"/>
      <c r="Q160" s="48">
        <v>-60</v>
      </c>
      <c r="R160" s="55">
        <f t="shared" si="9"/>
        <v>1.1299999999999997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248.08351053853994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1.4655348763943321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26" t="s">
        <v>47</v>
      </c>
      <c r="C165" s="628"/>
      <c r="D165" s="628"/>
      <c r="E165" s="627"/>
      <c r="F165" s="43"/>
      <c r="G165" s="629" t="s">
        <v>47</v>
      </c>
      <c r="H165" s="630"/>
      <c r="I165" s="631"/>
      <c r="J165" s="43"/>
      <c r="K165" s="48" t="s">
        <v>7</v>
      </c>
      <c r="L165" s="53"/>
      <c r="M165" s="43"/>
      <c r="N165" s="48" t="s">
        <v>8</v>
      </c>
      <c r="O165" s="48">
        <f>O166/0.2165</f>
        <v>4.6634576790533551</v>
      </c>
      <c r="P165" s="42"/>
      <c r="Q165" s="48">
        <v>1</v>
      </c>
      <c r="R165" s="55">
        <v>0.7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33.848312615313915</v>
      </c>
      <c r="I166" s="48">
        <f>I167/0.2165</f>
        <v>35.008373060187374</v>
      </c>
      <c r="J166" s="43"/>
      <c r="K166" s="57" t="s">
        <v>11</v>
      </c>
      <c r="L166" s="58">
        <f>O166*$O$3*Index!$D$4</f>
        <v>3.8671401476219951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1.0096385875150513</v>
      </c>
      <c r="P166" s="42"/>
      <c r="Q166" s="48">
        <v>5</v>
      </c>
      <c r="R166" s="55">
        <f>R165+0.01</f>
        <v>0.71</v>
      </c>
      <c r="S166" s="56">
        <v>1.3100000000000001E-2</v>
      </c>
    </row>
    <row r="167" spans="2:19" ht="20.100000000000001" customHeight="1">
      <c r="B167" s="59">
        <v>100</v>
      </c>
      <c r="C167" s="60">
        <v>249.4</v>
      </c>
      <c r="D167" s="60">
        <v>249</v>
      </c>
      <c r="E167" s="48">
        <f t="shared" ref="E167:E172" si="10">D167/45*0.2165</f>
        <v>1.1979666666666666</v>
      </c>
      <c r="F167" s="43"/>
      <c r="G167" s="48" t="s">
        <v>7</v>
      </c>
      <c r="H167" s="48">
        <f>L168+O171+B179</f>
        <v>7.3281596812154621</v>
      </c>
      <c r="I167" s="48">
        <f>L169+O171+C179</f>
        <v>7.5793127675305669</v>
      </c>
      <c r="J167" s="43"/>
      <c r="K167" s="61" t="s">
        <v>13</v>
      </c>
      <c r="L167" s="62">
        <f>IF(L170&gt;0,L166*O169,L166*O170)</f>
        <v>3.8302782448160433</v>
      </c>
      <c r="M167" s="43"/>
      <c r="N167" s="48" t="s">
        <v>14</v>
      </c>
      <c r="O167" s="48">
        <f>H175*POWER((1+(H174)),C167-O172)</f>
        <v>0.85368454384635339</v>
      </c>
      <c r="P167" s="42"/>
      <c r="Q167" s="48">
        <v>10</v>
      </c>
      <c r="R167" s="55">
        <f>R166+0.01</f>
        <v>0.72</v>
      </c>
      <c r="S167" s="56">
        <v>1.3299999999999999E-2</v>
      </c>
    </row>
    <row r="168" spans="2:19" ht="20.100000000000001" customHeight="1">
      <c r="B168" s="59">
        <v>90</v>
      </c>
      <c r="C168" s="60">
        <v>213.7</v>
      </c>
      <c r="D168" s="60">
        <v>163</v>
      </c>
      <c r="E168" s="48">
        <f t="shared" si="10"/>
        <v>0.78421111111111108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96.105489681072726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98.051434512123691</v>
      </c>
      <c r="J168" s="43"/>
      <c r="K168" s="61" t="s">
        <v>15</v>
      </c>
      <c r="L168" s="62">
        <f>L167*L176</f>
        <v>3.7503057195944227</v>
      </c>
      <c r="M168" s="43"/>
      <c r="N168" s="48" t="s">
        <v>16</v>
      </c>
      <c r="O168" s="48">
        <f>I175*POWER((1+(I174)),C167-O172)</f>
        <v>0.6871069752788671</v>
      </c>
      <c r="P168" s="42"/>
      <c r="Q168" s="48">
        <v>15</v>
      </c>
      <c r="R168" s="55">
        <f>R167+0.01</f>
        <v>0.73</v>
      </c>
      <c r="S168" s="56">
        <v>1.35E-2</v>
      </c>
    </row>
    <row r="169" spans="2:19" ht="20.100000000000001" customHeight="1">
      <c r="B169" s="59">
        <v>80</v>
      </c>
      <c r="C169" s="60">
        <v>179.4</v>
      </c>
      <c r="D169" s="60">
        <v>107</v>
      </c>
      <c r="E169" s="48">
        <f t="shared" si="10"/>
        <v>0.51478888888888885</v>
      </c>
      <c r="F169" s="42"/>
      <c r="G169" s="48" t="s">
        <v>17</v>
      </c>
      <c r="H169" s="48">
        <f>IF(N180=0,INDEX('R266'!E183:E363,(ROUNDDOWN(((H168-50)/(20/72)+1),0)),1),INDEX('R266'!E183:E363,(ROUNDUP(((H168-50)/(20/72))+1,0)),1))</f>
        <v>255.65555555555568</v>
      </c>
      <c r="I169" s="48">
        <f>IF(O180=0,INDEX('R266'!E183:E363,(ROUNDDOWN(((I168-50)/(20/72)+1),0)),1),INDEX('R266'!E183:E363,(ROUNDUP(((I168-50)/(20/72))+1,0)),1))</f>
        <v>260.82777777777784</v>
      </c>
      <c r="J169" s="43"/>
      <c r="K169" s="61" t="s">
        <v>18</v>
      </c>
      <c r="L169" s="62">
        <f>L167/L177</f>
        <v>3.9290143862829674</v>
      </c>
      <c r="M169" s="43"/>
      <c r="N169" s="48" t="s">
        <v>19</v>
      </c>
      <c r="O169" s="48">
        <f>IF((O172&gt;0),((100+(L170/-H173))/100))</f>
        <v>0.99046791649673749</v>
      </c>
      <c r="P169" s="42"/>
      <c r="Q169" s="48">
        <v>20</v>
      </c>
      <c r="R169" s="55">
        <f>R168+0.01</f>
        <v>0.74</v>
      </c>
      <c r="S169" s="56">
        <v>1.38E-2</v>
      </c>
    </row>
    <row r="170" spans="2:19" ht="20.100000000000001" customHeight="1">
      <c r="B170" s="59">
        <v>70</v>
      </c>
      <c r="C170" s="60">
        <v>148.5</v>
      </c>
      <c r="D170" s="60">
        <v>71</v>
      </c>
      <c r="E170" s="48">
        <f t="shared" si="10"/>
        <v>0.34158888888888889</v>
      </c>
      <c r="F170" s="42"/>
      <c r="G170" s="48" t="s">
        <v>39</v>
      </c>
      <c r="H170" s="48">
        <f>N181</f>
        <v>30</v>
      </c>
      <c r="I170" s="48">
        <f>O181</f>
        <v>30</v>
      </c>
      <c r="J170" s="43"/>
      <c r="K170" s="63" t="s">
        <v>21</v>
      </c>
      <c r="L170" s="64">
        <f>IF(Index!$C$4&gt;0,Index!$C$4*O167,Index!$C$4*O168)</f>
        <v>3.4147381753854136</v>
      </c>
      <c r="M170" s="43"/>
      <c r="N170" s="48" t="s">
        <v>22</v>
      </c>
      <c r="O170" s="48">
        <f>IF((O172&gt;0),((100+(L170/-I173))/100))</f>
        <v>0.99076091744813666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0.70777944862155384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60">
        <v>121.6</v>
      </c>
      <c r="D171" s="60">
        <v>48</v>
      </c>
      <c r="E171" s="48">
        <f t="shared" si="10"/>
        <v>0.23093333333333332</v>
      </c>
      <c r="F171" s="42"/>
      <c r="G171" s="54" t="s">
        <v>20</v>
      </c>
      <c r="H171" s="54">
        <f>H166/4</f>
        <v>8.4620781538284788</v>
      </c>
      <c r="I171" s="48">
        <f>I166/4</f>
        <v>8.7520932650468435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60">
        <v>98.2</v>
      </c>
      <c r="D172" s="60">
        <v>33</v>
      </c>
      <c r="E172" s="48">
        <f t="shared" si="10"/>
        <v>0.15876666666666667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'266'!$J$14</f>
        <v>235.09625</v>
      </c>
      <c r="P172" s="42"/>
      <c r="Q172" s="48">
        <v>-1</v>
      </c>
      <c r="R172" s="55">
        <v>0.68</v>
      </c>
      <c r="S172" s="56">
        <v>1.2699999999999999E-2</v>
      </c>
    </row>
    <row r="173" spans="2:19" ht="20.100000000000001" customHeight="1">
      <c r="B173" s="43"/>
      <c r="C173" s="43"/>
      <c r="D173" s="43"/>
      <c r="E173" s="43"/>
      <c r="F173" s="42"/>
      <c r="G173" s="54" t="s">
        <v>24</v>
      </c>
      <c r="H173" s="48">
        <f>'inf 266'!O9</f>
        <v>3.5823628425167127</v>
      </c>
      <c r="I173" s="48">
        <f>'inf 266'!P9</f>
        <v>3.6959710622963446</v>
      </c>
      <c r="J173" s="43"/>
      <c r="K173" s="57" t="s">
        <v>28</v>
      </c>
      <c r="L173" s="58">
        <f>O166*Index!$D$4*$O$2</f>
        <v>3.2449158715804689</v>
      </c>
      <c r="M173" s="43"/>
      <c r="N173" s="42"/>
      <c r="O173" s="42"/>
      <c r="P173" s="43"/>
      <c r="Q173" s="48">
        <v>-10</v>
      </c>
      <c r="R173" s="55">
        <f t="shared" ref="R173:R178" si="11">R172-0.01</f>
        <v>0.67</v>
      </c>
      <c r="S173" s="56">
        <v>1.2500000000000001E-2</v>
      </c>
    </row>
    <row r="174" spans="2:19" ht="20.100000000000001" customHeight="1">
      <c r="B174" s="54">
        <v>97.5</v>
      </c>
      <c r="C174" s="60">
        <v>240.5</v>
      </c>
      <c r="D174" s="60">
        <v>224</v>
      </c>
      <c r="E174" s="54">
        <f>D174/45*0.2165</f>
        <v>1.0776888888888889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1.3189728409428652E-2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$O$5*Index!$D$4*O166*0.99*(1-(L170*0.016))</f>
        <v>3.0369509893194819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1.0110824762070021</v>
      </c>
      <c r="P174" s="43"/>
      <c r="Q174" s="48">
        <v>-20</v>
      </c>
      <c r="R174" s="55">
        <f t="shared" si="11"/>
        <v>0.66</v>
      </c>
      <c r="S174" s="56">
        <v>1.23E-2</v>
      </c>
    </row>
    <row r="175" spans="2:19" ht="20.100000000000001" customHeight="1">
      <c r="B175" s="54">
        <v>95</v>
      </c>
      <c r="C175" s="60">
        <v>231.5</v>
      </c>
      <c r="D175" s="60">
        <v>201</v>
      </c>
      <c r="E175" s="54">
        <f>D175/45*0.2165</f>
        <v>0.9670333333333333</v>
      </c>
      <c r="F175" s="43"/>
      <c r="G175" s="54" t="s">
        <v>29</v>
      </c>
      <c r="H175" s="54">
        <f>R170</f>
        <v>0.70777944862155384</v>
      </c>
      <c r="I175" s="48">
        <f>R179</f>
        <v>0.6871069752788671</v>
      </c>
      <c r="J175" s="43"/>
      <c r="K175" s="61" t="s">
        <v>32</v>
      </c>
      <c r="L175" s="62">
        <f>O5*Index!D4*O166*1.28*(1-(L170*0.016))</f>
        <v>3.9265628952817546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1.0096385875150513</v>
      </c>
      <c r="P175" s="43"/>
      <c r="Q175" s="48">
        <v>-30</v>
      </c>
      <c r="R175" s="55">
        <f t="shared" si="11"/>
        <v>0.65</v>
      </c>
      <c r="S175" s="56">
        <v>1.1350000000000001E-2</v>
      </c>
    </row>
    <row r="176" spans="2:19" ht="20.100000000000001" customHeight="1">
      <c r="B176" s="54">
        <v>92.5</v>
      </c>
      <c r="C176" s="60">
        <v>222.6</v>
      </c>
      <c r="D176" s="60">
        <v>181</v>
      </c>
      <c r="E176" s="54">
        <f>D176/45*0.2165</f>
        <v>0.87081111111111109</v>
      </c>
      <c r="F176" s="43"/>
      <c r="J176" s="42"/>
      <c r="K176" s="61" t="s">
        <v>33</v>
      </c>
      <c r="L176" s="62">
        <f>(100+(L174*2.75/-4))/100</f>
        <v>0.97912096194842857</v>
      </c>
      <c r="M176" s="42"/>
      <c r="N176" s="43"/>
      <c r="O176" s="43"/>
      <c r="P176" s="43"/>
      <c r="Q176" s="48">
        <v>-40</v>
      </c>
      <c r="R176" s="55">
        <f t="shared" si="11"/>
        <v>0.64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1.0120919508073565</v>
      </c>
      <c r="I177" s="48">
        <f>1.1*(O172-C169)*(O172-C171)/((C167-C169)*(C167-C171))+0.911*(O172-C167)*(O172-C171)/((C169-C167)*(C169-C171))+0.772*(O172-C167)*(O172-C169)/((C171-C167)*(C171-C169))</f>
        <v>1.0595399666054641</v>
      </c>
      <c r="J177" s="43"/>
      <c r="K177" s="61" t="s">
        <v>35</v>
      </c>
      <c r="L177" s="62">
        <f>(100+(L175*4/-6.25))/100</f>
        <v>0.97486999747019676</v>
      </c>
      <c r="M177" s="43"/>
      <c r="N177" s="57" t="s">
        <v>43</v>
      </c>
      <c r="O177" s="46"/>
      <c r="P177" s="43"/>
      <c r="Q177" s="48">
        <v>-50</v>
      </c>
      <c r="R177" s="55">
        <f t="shared" si="11"/>
        <v>0.63</v>
      </c>
      <c r="S177" s="56">
        <v>1.095E-2</v>
      </c>
    </row>
    <row r="178" spans="2:19" ht="20.100000000000001" customHeight="1">
      <c r="B178" s="632" t="s">
        <v>121</v>
      </c>
      <c r="C178" s="632"/>
      <c r="D178" s="65"/>
      <c r="E178" s="65"/>
      <c r="F178" s="43"/>
      <c r="G178" s="43"/>
      <c r="H178" s="48">
        <f>1.1*(O172-C169)*(O172-C171)/((C167-C169)*(C167-C171))+0.912*(O172-C167)*(O172-C171)/((C169-C167)*(C169-C171))+0.835*(O172-C167)*(O172-C169)/((C171-C167)*(C171-C169))</f>
        <v>1.053146704377963</v>
      </c>
      <c r="I178" s="54">
        <f>1*(O172-C169)*(O172-C171)/((C167-C169)*(C167-C171))+0.903*(O172-C167)*(O172-C171)/((C169-C167)*(C169-C171))+0.76*(O172-C167)*(O172-C169)/((C171-C167)*(C171-C169))</f>
        <v>0.98696342409102278</v>
      </c>
      <c r="J178" s="43"/>
      <c r="K178" s="61" t="s">
        <v>36</v>
      </c>
      <c r="L178" s="62">
        <f>O172+L170-L174</f>
        <v>235.47403718606594</v>
      </c>
      <c r="M178" s="43"/>
      <c r="N178" s="61">
        <f>MOD(H168,20/72)</f>
        <v>0.27215634773938813</v>
      </c>
      <c r="O178" s="62">
        <f>MOD(I168,20/72)</f>
        <v>0.27365673434590931</v>
      </c>
      <c r="P178" s="43"/>
      <c r="Q178" s="48">
        <v>-60</v>
      </c>
      <c r="R178" s="55">
        <f t="shared" si="11"/>
        <v>0.62</v>
      </c>
      <c r="S178" s="56">
        <v>1.0749999999999999E-2</v>
      </c>
    </row>
    <row r="179" spans="2:19" ht="20.100000000000001" customHeight="1">
      <c r="B179" s="60">
        <f>H168/100*(O165*0.2165)*Link!$C$7*1.02</f>
        <v>3.5778539616210394</v>
      </c>
      <c r="C179" s="48">
        <f>I168/100*(O165*0.2165)*Link!$C$7*1.02</f>
        <v>3.6502983812475991</v>
      </c>
      <c r="D179" s="65"/>
      <c r="E179" s="65"/>
      <c r="F179" s="43"/>
      <c r="G179" s="43"/>
      <c r="H179" s="48">
        <f>1.04*(O172-C169)*(O172-C171)/((C167-C169)*(C167-C171))+0.909*(O172-C167)*(O172-C171)/((C169-C167)*(C169-C171))+0.853*(O172-C167)*(O172-C169)/((C171-C167)*(C171-C169))</f>
        <v>1.007605211689695</v>
      </c>
      <c r="I179" s="48">
        <f>1*(O172-C169)*(O172-C171)/((C167-C169)*(C167-C171))+0.9*(O172-C167)*(O172-C171)/((C169-C167)*(C169-C171))+0.752*(O172-C167)*(O172-C169)/((C171-C167)*(C171-C169))</f>
        <v>0.98662249451262318</v>
      </c>
      <c r="J179" s="43"/>
      <c r="K179" s="63" t="s">
        <v>37</v>
      </c>
      <c r="L179" s="64">
        <f>O172+L170+L175</f>
        <v>242.43755107066718</v>
      </c>
      <c r="M179" s="43"/>
      <c r="N179" s="61">
        <f>N178/(20/72)</f>
        <v>0.97976285186179723</v>
      </c>
      <c r="O179" s="62">
        <f>O178/(20/72)</f>
        <v>0.98516424364527344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0.6871069752788671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1.6066396227884815E-2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1.0049939353531627</v>
      </c>
      <c r="I180" s="48">
        <f>1.13*(O172-C169)*(O172-C171)/((C167-C169)*(C167-C171))+0.886*(O172-C167)*(O172-C171)/((C169-C167)*(C169-C171))+0.721*(O172-C167)*(O172-C169)/((C171-C167)*(C171-C169))</f>
        <v>1.0762074895219149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1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1.0119371934956245</v>
      </c>
      <c r="I181" s="54">
        <f>1.2*(O172-C169)*(O172-C171)/((C167-C169)*(C167-C171))+0.85*(O172-C167)*(O172-C171)/((C169-C167)*(C169-C171))+0.64*(O172-C167)*(O172-C169)/((C171-C167)*(C171-C169))</f>
        <v>1.119961158372313</v>
      </c>
      <c r="J181" s="43"/>
      <c r="K181" s="48" t="s">
        <v>31</v>
      </c>
      <c r="L181" s="48">
        <f>O172+L170</f>
        <v>238.51098817538542</v>
      </c>
      <c r="M181" s="43"/>
      <c r="N181" s="61">
        <f>IF(N178&lt;0.08,30,N182)</f>
        <v>30</v>
      </c>
      <c r="O181" s="62">
        <f>IF(O178&lt;0.08,30,O182)</f>
        <v>30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30</v>
      </c>
      <c r="O182" s="64">
        <f>IF(O178&gt;(20/72)-0.08,30,29)</f>
        <v>30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26" t="s">
        <v>49</v>
      </c>
      <c r="C186" s="628"/>
      <c r="D186" s="628"/>
      <c r="E186" s="627"/>
      <c r="F186" s="43"/>
      <c r="G186" s="629" t="s">
        <v>49</v>
      </c>
      <c r="H186" s="630"/>
      <c r="I186" s="631"/>
      <c r="J186" s="43"/>
      <c r="K186" s="48" t="s">
        <v>7</v>
      </c>
      <c r="L186" s="53"/>
      <c r="M186" s="43"/>
      <c r="N186" s="48" t="s">
        <v>8</v>
      </c>
      <c r="O186" s="54">
        <f>O187/0.2165</f>
        <v>4.3032666408323061</v>
      </c>
      <c r="P186" s="43"/>
      <c r="Q186" s="48">
        <v>1</v>
      </c>
      <c r="R186" s="55">
        <v>0.73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30.945427387578242</v>
      </c>
      <c r="I187" s="48">
        <f>I188/0.2165</f>
        <v>31.911086215294183</v>
      </c>
      <c r="J187" s="43"/>
      <c r="K187" s="57" t="s">
        <v>11</v>
      </c>
      <c r="L187" s="58">
        <f>O187*$O$3*Index!$D$4</f>
        <v>3.5684542110100406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0.93165722774019433</v>
      </c>
      <c r="P187" s="43"/>
      <c r="Q187" s="48">
        <v>5</v>
      </c>
      <c r="R187" s="55">
        <f>R186+0.01</f>
        <v>0.74</v>
      </c>
      <c r="S187" s="56">
        <v>1.3100000000000001E-2</v>
      </c>
    </row>
    <row r="188" spans="2:19" ht="20.100000000000001" customHeight="1">
      <c r="B188" s="59">
        <v>100</v>
      </c>
      <c r="C188" s="60">
        <v>257</v>
      </c>
      <c r="D188" s="60">
        <v>249</v>
      </c>
      <c r="E188" s="54">
        <f>D188/45*0.2165</f>
        <v>1.1979666666666666</v>
      </c>
      <c r="F188" s="43"/>
      <c r="G188" s="48" t="s">
        <v>7</v>
      </c>
      <c r="H188" s="48">
        <f>L189+O192+B194</f>
        <v>6.6996850294106896</v>
      </c>
      <c r="I188" s="48">
        <f>L190+O192+C194</f>
        <v>6.9087501656111909</v>
      </c>
      <c r="J188" s="43"/>
      <c r="K188" s="61" t="s">
        <v>13</v>
      </c>
      <c r="L188" s="62">
        <f>IF(L191&gt;0,L187*O190,L187*O191)</f>
        <v>3.5316011593137926</v>
      </c>
      <c r="M188" s="43"/>
      <c r="N188" s="48" t="s">
        <v>14</v>
      </c>
      <c r="O188" s="48">
        <f>H196*POWER(H195,(C188-O193))</f>
        <v>0.96824879337925485</v>
      </c>
      <c r="P188" s="42"/>
      <c r="Q188" s="48">
        <v>10</v>
      </c>
      <c r="R188" s="55">
        <f>R187+0.01</f>
        <v>0.75</v>
      </c>
      <c r="S188" s="56">
        <v>1.3299999999999999E-2</v>
      </c>
    </row>
    <row r="189" spans="2:19" ht="20.100000000000001" customHeight="1">
      <c r="B189" s="59">
        <v>90</v>
      </c>
      <c r="C189" s="60">
        <v>221.2</v>
      </c>
      <c r="D189" s="60">
        <v>164</v>
      </c>
      <c r="E189" s="54">
        <f>D189/45*0.2165</f>
        <v>0.78902222222222218</v>
      </c>
      <c r="F189" s="43"/>
      <c r="G189" s="48" t="s">
        <v>5</v>
      </c>
      <c r="H189" s="48">
        <f>IF(L199&lt;=C189,80+(L199-C190)/((C189-C190)/10),90+(L199-C189)/((C188-C189)/10))</f>
        <v>94.186758043115262</v>
      </c>
      <c r="I189" s="48">
        <f>IF(L200&lt;=C189,80+(L200-C190)/((C189-C190)/10),90+(L200-C189)/((C188-C189)/10))</f>
        <v>95.944181182139076</v>
      </c>
      <c r="J189" s="43"/>
      <c r="K189" s="61" t="s">
        <v>15</v>
      </c>
      <c r="L189" s="62">
        <f>L188*L197</f>
        <v>3.4640876168279493</v>
      </c>
      <c r="M189" s="43"/>
      <c r="N189" s="48" t="s">
        <v>16</v>
      </c>
      <c r="O189" s="48">
        <f>I196*POWER(I195,(C188-O193))</f>
        <v>0.94254029150379592</v>
      </c>
      <c r="P189" s="42"/>
      <c r="Q189" s="48">
        <v>15</v>
      </c>
      <c r="R189" s="55">
        <f>R188+0.01</f>
        <v>0.76</v>
      </c>
      <c r="S189" s="56">
        <v>1.35E-2</v>
      </c>
    </row>
    <row r="190" spans="2:19" ht="20.100000000000001" customHeight="1">
      <c r="B190" s="59">
        <v>80</v>
      </c>
      <c r="C190" s="60">
        <v>186.9</v>
      </c>
      <c r="D190" s="60">
        <v>109</v>
      </c>
      <c r="E190" s="54">
        <f>D190/45*0.2165</f>
        <v>0.52441111111111105</v>
      </c>
      <c r="F190" s="43"/>
      <c r="G190" s="48" t="s">
        <v>17</v>
      </c>
      <c r="H190" s="48">
        <f>IF(N200=0,INDEX('R266'!F255:F363,(ROUNDDOWN(((H189-70)/(20/72)+1),0)),1),INDEX('R266'!F255:F363,(ROUNDUP(((H189-70)/(20/72))+1,0)),1))</f>
        <v>259.90000000000032</v>
      </c>
      <c r="I190" s="48">
        <f>IF(O200=0,INDEX('R266'!F255:F363,(ROUNDDOWN(((I189-70)/(20/72)+1),0)),1),INDEX('R266'!F255:F363,(ROUNDUP(((I189-70)/(20/72))+1,0)),1))</f>
        <v>265.26666666666688</v>
      </c>
      <c r="J190" s="43"/>
      <c r="K190" s="61" t="s">
        <v>18</v>
      </c>
      <c r="L190" s="62">
        <f>L188/L198</f>
        <v>3.6127800012788307</v>
      </c>
      <c r="M190" s="43"/>
      <c r="N190" s="48" t="s">
        <v>19</v>
      </c>
      <c r="O190" s="48">
        <f>IF((O193&gt;0),((100+(L191/-H194))/100))</f>
        <v>0.98967254460417564</v>
      </c>
      <c r="P190" s="42"/>
      <c r="Q190" s="48">
        <v>20</v>
      </c>
      <c r="R190" s="55">
        <f>R189+0.01</f>
        <v>0.77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30</v>
      </c>
      <c r="I191" s="48">
        <f>O201</f>
        <v>29</v>
      </c>
      <c r="J191" s="43"/>
      <c r="K191" s="63" t="s">
        <v>21</v>
      </c>
      <c r="L191" s="64">
        <f>IF(Index!$C$4&gt;0,Index!$C$4*O188,Index!$C$4*O189)</f>
        <v>3.8729951735170194</v>
      </c>
      <c r="M191" s="43"/>
      <c r="N191" s="48" t="s">
        <v>22</v>
      </c>
      <c r="O191" s="48">
        <f>IF((O193&gt;0),((100+(L191/-I194))/100))</f>
        <v>0.98957109236950291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0.73777944862155376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7.7363568468945605</v>
      </c>
      <c r="I192" s="48">
        <f>I187/4</f>
        <v>7.9777715538235459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32" t="s">
        <v>121</v>
      </c>
      <c r="C193" s="632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'266'!$J$14</f>
        <v>235.09625</v>
      </c>
      <c r="P193" s="42"/>
      <c r="Q193" s="48">
        <v>-1</v>
      </c>
      <c r="R193" s="55">
        <v>0.67</v>
      </c>
      <c r="S193" s="56">
        <v>1.2699999999999999E-2</v>
      </c>
    </row>
    <row r="194" spans="2:19" ht="20.100000000000001" customHeight="1">
      <c r="B194" s="60">
        <f>H189/100*(O186*0.2165)*Link!$C$7*1.02</f>
        <v>3.2355974125827403</v>
      </c>
      <c r="C194" s="48">
        <f>I189/100*(O186*0.2165)*Link!$C$7*1.02</f>
        <v>3.2959701643323602</v>
      </c>
      <c r="D194" s="43"/>
      <c r="E194" s="43"/>
      <c r="F194" s="43"/>
      <c r="G194" s="54" t="s">
        <v>24</v>
      </c>
      <c r="H194" s="48">
        <f>'inf 266'!C31</f>
        <v>3.7501930776510157</v>
      </c>
      <c r="I194" s="48">
        <f>'inf 266'!D31</f>
        <v>3.7137112636718048</v>
      </c>
      <c r="J194" s="43"/>
      <c r="K194" s="57" t="s">
        <v>28</v>
      </c>
      <c r="L194" s="58">
        <f>O187*Index!$D$4*$O$2</f>
        <v>2.9942886123315371</v>
      </c>
      <c r="M194" s="43"/>
      <c r="N194" s="43"/>
      <c r="O194" s="42"/>
      <c r="P194" s="42"/>
      <c r="Q194" s="48">
        <v>-10</v>
      </c>
      <c r="R194" s="55">
        <f t="shared" ref="R194:R199" si="12">R193-0.01</f>
        <v>0.66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1.0124881835801505</v>
      </c>
      <c r="I195" s="48">
        <f>(1+(I197*S200))</f>
        <v>1.0152147093324153</v>
      </c>
      <c r="J195" s="43"/>
      <c r="K195" s="61" t="s">
        <v>30</v>
      </c>
      <c r="L195" s="62">
        <f>$O$5*Index!$D$4*O187*0.99*(1-(L191*0.016))</f>
        <v>2.7806513791643774</v>
      </c>
      <c r="M195" s="42"/>
      <c r="N195" s="54" t="s">
        <v>31</v>
      </c>
      <c r="O195" s="48">
        <f>O193+L191</f>
        <v>238.96924517351701</v>
      </c>
      <c r="P195" s="42"/>
      <c r="Q195" s="48">
        <v>-20</v>
      </c>
      <c r="R195" s="55">
        <f t="shared" si="12"/>
        <v>0.65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0.73777944862155376</v>
      </c>
      <c r="I196" s="48">
        <f>R200</f>
        <v>0.67710697527886643</v>
      </c>
      <c r="J196" s="43"/>
      <c r="K196" s="61" t="s">
        <v>32</v>
      </c>
      <c r="L196" s="62">
        <f>$O$5*Index!$D$4*O187*1.25*(1-(L191*0.016))</f>
        <v>3.5109234585408808</v>
      </c>
      <c r="M196" s="42"/>
      <c r="N196" s="43"/>
      <c r="O196" s="43"/>
      <c r="P196" s="53"/>
      <c r="Q196" s="48">
        <v>-30</v>
      </c>
      <c r="R196" s="55">
        <f t="shared" si="12"/>
        <v>0.64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0.95826007096853316</v>
      </c>
      <c r="I197" s="54">
        <f>1*(O193-C189)*(O193-C190)/((C188-C189)*(C188-C190))+0.903*(O193-C188)*(O193-C190)/((C189-C188)*(C189-C190))+0.76*(O193-C188)*(O193-C189)/((C190-C188)*(C190-C189))</f>
        <v>0.94698954990346695</v>
      </c>
      <c r="J197" s="43"/>
      <c r="K197" s="61" t="s">
        <v>33</v>
      </c>
      <c r="L197" s="62">
        <f>(100+(L195*2.75/-4))/100</f>
        <v>0.98088302176824482</v>
      </c>
      <c r="M197" s="42"/>
      <c r="N197" s="57" t="s">
        <v>43</v>
      </c>
      <c r="O197" s="58"/>
      <c r="P197" s="53"/>
      <c r="Q197" s="48">
        <v>-40</v>
      </c>
      <c r="R197" s="55">
        <f t="shared" si="12"/>
        <v>0.63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0.9775300898653384</v>
      </c>
      <c r="M198" s="42"/>
      <c r="N198" s="61">
        <f>MOD(H189,20/72)</f>
        <v>2.0091376448590936E-2</v>
      </c>
      <c r="O198" s="62">
        <f>MOD(I189,20/72)</f>
        <v>0.11084784880573817</v>
      </c>
      <c r="P198" s="53"/>
      <c r="Q198" s="48">
        <v>-50</v>
      </c>
      <c r="R198" s="55">
        <f t="shared" si="12"/>
        <v>0.62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236.18859379435264</v>
      </c>
      <c r="M199" s="42"/>
      <c r="N199" s="61">
        <f>N198/(20/72)</f>
        <v>7.2328955214927368E-2</v>
      </c>
      <c r="O199" s="62">
        <f>O198/(20/72)</f>
        <v>0.39905225570065739</v>
      </c>
      <c r="P199" s="53"/>
      <c r="Q199" s="48">
        <v>-60</v>
      </c>
      <c r="R199" s="55">
        <f t="shared" si="12"/>
        <v>0.61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242.48016863205788</v>
      </c>
      <c r="M200" s="43"/>
      <c r="N200" s="61">
        <f>IF(N199&lt;0.288,ROUNDDOWN(N199,0),ROUNDUP(N199,0))</f>
        <v>0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0.67710697527886643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30</v>
      </c>
      <c r="O201" s="62">
        <f>IF(O198&lt;0.08,30,O202)</f>
        <v>29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29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26" t="s">
        <v>68</v>
      </c>
      <c r="C206" s="628"/>
      <c r="D206" s="628"/>
      <c r="E206" s="627"/>
      <c r="F206" s="43"/>
      <c r="G206" s="629" t="s">
        <v>68</v>
      </c>
      <c r="H206" s="630"/>
      <c r="I206" s="631"/>
      <c r="J206" s="43"/>
      <c r="K206" s="48" t="s">
        <v>7</v>
      </c>
      <c r="L206" s="53"/>
      <c r="M206" s="43"/>
      <c r="N206" s="48" t="s">
        <v>8</v>
      </c>
      <c r="O206" s="54">
        <f>O207/0.2165</f>
        <v>3.9857174963403734</v>
      </c>
      <c r="P206" s="43"/>
      <c r="Q206" s="48">
        <v>1</v>
      </c>
      <c r="R206" s="55">
        <v>0.73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28.394419723936927</v>
      </c>
      <c r="I207" s="48">
        <f>I208/0.2165</f>
        <v>29.217780308522354</v>
      </c>
      <c r="J207" s="43"/>
      <c r="K207" s="57" t="s">
        <v>11</v>
      </c>
      <c r="L207" s="58">
        <f>O207*$O$3*Index!$D$4</f>
        <v>3.3051287709565029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0.86290783795769088</v>
      </c>
      <c r="P207" s="43"/>
      <c r="Q207" s="48">
        <v>5</v>
      </c>
      <c r="R207" s="55">
        <f>R206+0.01</f>
        <v>0.74</v>
      </c>
      <c r="S207" s="56">
        <v>1.3100000000000001E-2</v>
      </c>
    </row>
    <row r="208" spans="2:19" ht="20.100000000000001" customHeight="1">
      <c r="B208" s="59">
        <v>100</v>
      </c>
      <c r="C208" s="60">
        <v>264.2</v>
      </c>
      <c r="D208" s="60">
        <v>249</v>
      </c>
      <c r="E208" s="54">
        <f>D208/45*0.2165</f>
        <v>1.1979666666666666</v>
      </c>
      <c r="F208" s="43"/>
      <c r="G208" s="48" t="s">
        <v>7</v>
      </c>
      <c r="H208" s="48">
        <f>L209+O212+B214</f>
        <v>6.1473918702323447</v>
      </c>
      <c r="I208" s="48">
        <f>L210+O212+C214</f>
        <v>6.3256494367950893</v>
      </c>
      <c r="J208" s="43"/>
      <c r="K208" s="61" t="s">
        <v>13</v>
      </c>
      <c r="L208" s="62">
        <f>IF(L211&gt;0,L207*O210,L207*O211)</f>
        <v>3.2679444239240776</v>
      </c>
      <c r="M208" s="43"/>
      <c r="N208" s="48" t="s">
        <v>14</v>
      </c>
      <c r="O208" s="48">
        <f>H216*POWER(H215,(C208-O213))</f>
        <v>1.0492982429757745</v>
      </c>
      <c r="P208" s="42"/>
      <c r="Q208" s="48">
        <v>10</v>
      </c>
      <c r="R208" s="55">
        <f>R207+0.01</f>
        <v>0.75</v>
      </c>
      <c r="S208" s="56">
        <v>1.3299999999999999E-2</v>
      </c>
    </row>
    <row r="209" spans="2:19" ht="20.100000000000001" customHeight="1">
      <c r="B209" s="59">
        <v>90</v>
      </c>
      <c r="C209" s="60">
        <v>228.5</v>
      </c>
      <c r="D209" s="60">
        <v>166</v>
      </c>
      <c r="E209" s="54">
        <f>D209/45*0.2165</f>
        <v>0.79864444444444449</v>
      </c>
      <c r="F209" s="43"/>
      <c r="G209" s="48" t="s">
        <v>5</v>
      </c>
      <c r="H209" s="48">
        <f>IF(L219&lt;=C209,80+(L219-C210)/((C209-C210)/10),90+(L219-C209)/((C208-C209)/10))</f>
        <v>92.305945351366987</v>
      </c>
      <c r="I209" s="48">
        <f>IF(L220&lt;=C209,80+(L220-C210)/((C209-C210)/10),90+(L220-C209)/((C208-C209)/10))</f>
        <v>93.929216853857255</v>
      </c>
      <c r="J209" s="43"/>
      <c r="K209" s="61" t="s">
        <v>15</v>
      </c>
      <c r="L209" s="62">
        <f>L208*L217</f>
        <v>3.2104012355963483</v>
      </c>
      <c r="M209" s="43"/>
      <c r="N209" s="48" t="s">
        <v>16</v>
      </c>
      <c r="O209" s="48">
        <f>I216*POWER(I215,(C208-O213))</f>
        <v>1.0247941195587618</v>
      </c>
      <c r="P209" s="42"/>
      <c r="Q209" s="48">
        <v>15</v>
      </c>
      <c r="R209" s="55">
        <f>R208+0.01</f>
        <v>0.76</v>
      </c>
      <c r="S209" s="56">
        <v>1.35E-2</v>
      </c>
    </row>
    <row r="210" spans="2:19" ht="20.100000000000001" customHeight="1">
      <c r="B210" s="59">
        <v>80</v>
      </c>
      <c r="C210" s="60">
        <v>194.2</v>
      </c>
      <c r="D210" s="60">
        <v>111</v>
      </c>
      <c r="E210" s="54">
        <f>D210/45*0.2165</f>
        <v>0.53403333333333336</v>
      </c>
      <c r="F210" s="43"/>
      <c r="G210" s="48" t="s">
        <v>17</v>
      </c>
      <c r="H210" s="48">
        <f>IF(N220=0,INDEX('R266'!G255:G363,(ROUNDDOWN(((H209-70)/(20/72)+1),0)),1),INDEX('R266'!G255:G363,(ROUNDUP(((H209-70)/(20/72))+1,0)),1))</f>
        <v>264.55000000000058</v>
      </c>
      <c r="I210" s="48">
        <f>IF(O220=0,INDEX('R266'!G255:G363,(ROUNDDOWN(((I209-70)/(20/72)+1),0)),1),INDEX('R266'!G255:G363,(ROUNDUP(((I209-70)/(20/72))+1,0)),1))</f>
        <v>268.52222222222269</v>
      </c>
      <c r="J210" s="43"/>
      <c r="K210" s="61" t="s">
        <v>18</v>
      </c>
      <c r="L210" s="62">
        <f>L208/L218</f>
        <v>3.3370095483419351</v>
      </c>
      <c r="M210" s="43"/>
      <c r="N210" s="48" t="s">
        <v>19</v>
      </c>
      <c r="O210" s="48">
        <f>IF((O213&gt;0),((100+(L211/-H214))/100))</f>
        <v>0.98874950127233197</v>
      </c>
      <c r="P210" s="42"/>
      <c r="Q210" s="48">
        <v>20</v>
      </c>
      <c r="R210" s="55">
        <f>R209+0.01</f>
        <v>0.77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29</v>
      </c>
      <c r="I211" s="48">
        <f>O221</f>
        <v>30</v>
      </c>
      <c r="J211" s="43"/>
      <c r="K211" s="63" t="s">
        <v>21</v>
      </c>
      <c r="L211" s="64">
        <f>IF(Index!$C$4&gt;0,Index!$C$4*O208,Index!$C$4*O209)</f>
        <v>4.1971929719030978</v>
      </c>
      <c r="M211" s="43"/>
      <c r="N211" s="48" t="s">
        <v>22</v>
      </c>
      <c r="O211" s="48">
        <f>IF((O213&gt;0),((100+(L211/-I214))/100))</f>
        <v>0.98857142313594726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0.73777944862155376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7.0986049309842318</v>
      </c>
      <c r="I212" s="48">
        <f>I207/4</f>
        <v>7.3044450771305884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32" t="s">
        <v>121</v>
      </c>
      <c r="C213" s="632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'266'!$J$14</f>
        <v>235.09625</v>
      </c>
      <c r="P213" s="42"/>
      <c r="Q213" s="48">
        <v>-1</v>
      </c>
      <c r="R213" s="55">
        <v>0.66</v>
      </c>
      <c r="S213" s="56">
        <v>1.2699999999999999E-2</v>
      </c>
    </row>
    <row r="214" spans="2:19" ht="20.100000000000001" customHeight="1">
      <c r="B214" s="60">
        <f>H209/100*(O206*0.2165)*Link!$C$7*1.02</f>
        <v>2.9369906346359964</v>
      </c>
      <c r="C214" s="48">
        <f>I209/100*(O206*0.2165)*Link!$C$7*1.02</f>
        <v>2.9886398884531538</v>
      </c>
      <c r="D214" s="43"/>
      <c r="E214" s="43"/>
      <c r="F214" s="43"/>
      <c r="G214" s="54" t="s">
        <v>24</v>
      </c>
      <c r="H214" s="48">
        <f>'inf 266'!C37</f>
        <v>3.7306728114914915</v>
      </c>
      <c r="I214" s="48">
        <f>'inf 266'!D37</f>
        <v>3.6725421037372192</v>
      </c>
      <c r="J214" s="43"/>
      <c r="K214" s="57" t="s">
        <v>28</v>
      </c>
      <c r="L214" s="58">
        <f>O207*Index!$D$4*$O$2</f>
        <v>2.7733323327030188</v>
      </c>
      <c r="M214" s="43"/>
      <c r="N214" s="43"/>
      <c r="O214" s="42"/>
      <c r="P214" s="42"/>
      <c r="Q214" s="48">
        <v>-10</v>
      </c>
      <c r="R214" s="55">
        <f t="shared" ref="R214:R219" si="13">R213-0.01</f>
        <v>0.65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1.0121761642881242</v>
      </c>
      <c r="I215" s="48">
        <f>(1+(I217*S220))</f>
        <v>1.0148598859040687</v>
      </c>
      <c r="J215" s="43"/>
      <c r="K215" s="61" t="s">
        <v>30</v>
      </c>
      <c r="L215" s="62">
        <f>$O$5*Index!$D$4*O207*0.99*(1-(L211*0.016))</f>
        <v>2.5612180675229168</v>
      </c>
      <c r="M215" s="42"/>
      <c r="N215" s="54" t="s">
        <v>31</v>
      </c>
      <c r="O215" s="48">
        <f>O213+L211</f>
        <v>239.29344297190309</v>
      </c>
      <c r="P215" s="42"/>
      <c r="Q215" s="48">
        <v>-20</v>
      </c>
      <c r="R215" s="55">
        <f t="shared" si="13"/>
        <v>0.64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0.73777944862155376</v>
      </c>
      <c r="I216" s="48">
        <f>R220</f>
        <v>0.66710697527886564</v>
      </c>
      <c r="J216" s="43"/>
      <c r="K216" s="61" t="s">
        <v>32</v>
      </c>
      <c r="L216" s="62">
        <f>$O$5*Index!$D$4*O207*1.25*(1-(L211*0.016))</f>
        <v>3.2338611963673189</v>
      </c>
      <c r="M216" s="42"/>
      <c r="N216" s="43"/>
      <c r="O216" s="43"/>
      <c r="P216" s="53"/>
      <c r="Q216" s="48">
        <v>-30</v>
      </c>
      <c r="R216" s="55">
        <f t="shared" si="13"/>
        <v>0.63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0.93431778768918294</v>
      </c>
      <c r="I217" s="54">
        <f>1*(O213-C209)*(O213-C210)/((C208-C209)*(C208-C210))+0.903*(O213-C208)*(O213-C210)/((C209-C208)*(C209-C210))+0.76*(O213-C208)*(O213-C209)/((C210-C208)*(C210-C209))</f>
        <v>0.92490473241771198</v>
      </c>
      <c r="J217" s="43"/>
      <c r="K217" s="61" t="s">
        <v>33</v>
      </c>
      <c r="L217" s="62">
        <f>(100+(L215*2.75/-4))/100</f>
        <v>0.98239162578577988</v>
      </c>
      <c r="M217" s="42"/>
      <c r="N217" s="57" t="s">
        <v>43</v>
      </c>
      <c r="O217" s="58"/>
      <c r="P217" s="53"/>
      <c r="Q217" s="48">
        <v>-40</v>
      </c>
      <c r="R217" s="55">
        <f t="shared" si="13"/>
        <v>0.62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0.97930328834324909</v>
      </c>
      <c r="M218" s="42"/>
      <c r="N218" s="61">
        <f>MOD(H209,20/72)</f>
        <v>8.3723129144760211E-2</v>
      </c>
      <c r="O218" s="62">
        <f>MOD(I209,20/72)</f>
        <v>4.0327964968362329E-2</v>
      </c>
      <c r="P218" s="53"/>
      <c r="Q218" s="48">
        <v>-50</v>
      </c>
      <c r="R218" s="55">
        <f t="shared" si="13"/>
        <v>0.61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236.73222490438016</v>
      </c>
      <c r="M219" s="42"/>
      <c r="N219" s="61">
        <f>N218/(20/72)</f>
        <v>0.30140326492113673</v>
      </c>
      <c r="O219" s="62">
        <f>O218/(20/72)</f>
        <v>0.14518067388610437</v>
      </c>
      <c r="P219" s="53"/>
      <c r="Q219" s="48">
        <v>-60</v>
      </c>
      <c r="R219" s="55">
        <f t="shared" si="13"/>
        <v>0.6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242.5273041682704</v>
      </c>
      <c r="M220" s="43"/>
      <c r="N220" s="61">
        <f>IF(N219&lt;0.288,ROUNDDOWN(N219,0),ROUNDUP(N219,0))</f>
        <v>1</v>
      </c>
      <c r="O220" s="62">
        <f>IF(O219&lt;0.288,ROUNDDOWN(O219,0),ROUNDUP(O219,0))</f>
        <v>0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0.66710697527886564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29</v>
      </c>
      <c r="O221" s="62">
        <f>IF(O218&lt;0.08,30,O222)</f>
        <v>30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29</v>
      </c>
      <c r="O222" s="64">
        <f>IF(O218&gt;(20/72)-0.08,30,29)</f>
        <v>29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26" t="s">
        <v>69</v>
      </c>
      <c r="C226" s="628"/>
      <c r="D226" s="628"/>
      <c r="E226" s="627"/>
      <c r="F226" s="43"/>
      <c r="G226" s="629" t="s">
        <v>69</v>
      </c>
      <c r="H226" s="630"/>
      <c r="I226" s="631"/>
      <c r="J226" s="43"/>
      <c r="K226" s="48" t="s">
        <v>7</v>
      </c>
      <c r="L226" s="53"/>
      <c r="M226" s="43"/>
      <c r="N226" s="48" t="s">
        <v>8</v>
      </c>
      <c r="O226" s="54">
        <f>O227/0.2165</f>
        <v>5.9333766730004474</v>
      </c>
      <c r="P226" s="43"/>
      <c r="Q226" s="48">
        <v>1</v>
      </c>
      <c r="R226" s="55">
        <v>0.65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38.866470002549633</v>
      </c>
      <c r="I227" s="48">
        <f>I228/0.2165</f>
        <v>40.698160180915792</v>
      </c>
      <c r="J227" s="43"/>
      <c r="K227" s="57" t="s">
        <v>11</v>
      </c>
      <c r="L227" s="58">
        <f>O227*$O$3*Index!$D$4</f>
        <v>4.9202117231996727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1.2845760497045968</v>
      </c>
      <c r="P227" s="43"/>
      <c r="Q227" s="48">
        <v>5</v>
      </c>
      <c r="R227" s="55">
        <f>R226+0.01</f>
        <v>0.66</v>
      </c>
      <c r="S227" s="56">
        <v>1.3599999999999999E-2</v>
      </c>
      <c r="T227" s="43"/>
    </row>
    <row r="228" spans="2:20" ht="20.100000000000001" customHeight="1">
      <c r="B228" s="59">
        <v>100</v>
      </c>
      <c r="C228" s="60">
        <v>231.1</v>
      </c>
      <c r="D228" s="60">
        <v>255</v>
      </c>
      <c r="E228" s="54">
        <f>D228/45*0.2165</f>
        <v>1.2268333333333334</v>
      </c>
      <c r="F228" s="43"/>
      <c r="G228" s="48" t="s">
        <v>7</v>
      </c>
      <c r="H228" s="48">
        <f>L229+O232+B234</f>
        <v>8.4145907555519948</v>
      </c>
      <c r="I228" s="48">
        <f>L230+O232+C234</f>
        <v>8.8111516791682689</v>
      </c>
      <c r="J228" s="43"/>
      <c r="K228" s="61" t="s">
        <v>13</v>
      </c>
      <c r="L228" s="62">
        <f>IF(L231&gt;0,L227*O230,L227*O231)</f>
        <v>4.8815567497694117</v>
      </c>
      <c r="M228" s="43"/>
      <c r="N228" s="48" t="s">
        <v>14</v>
      </c>
      <c r="O228" s="48">
        <f>H236*POWER(H235,(C228-O233))</f>
        <v>0.62144745468161389</v>
      </c>
      <c r="P228" s="42"/>
      <c r="Q228" s="48">
        <v>10</v>
      </c>
      <c r="R228" s="55">
        <f>R227+0.01</f>
        <v>0.67</v>
      </c>
      <c r="S228" s="56">
        <v>1.38E-2</v>
      </c>
      <c r="T228" s="43"/>
    </row>
    <row r="229" spans="2:20" ht="20.100000000000001" customHeight="1">
      <c r="B229" s="59">
        <v>90</v>
      </c>
      <c r="C229" s="60">
        <v>198.7</v>
      </c>
      <c r="D229" s="60">
        <v>172</v>
      </c>
      <c r="E229" s="54">
        <f>D229/45*0.2165</f>
        <v>0.8275111111111112</v>
      </c>
      <c r="F229" s="43"/>
      <c r="G229" s="48" t="s">
        <v>5</v>
      </c>
      <c r="H229" s="48">
        <f>IF(L239&lt;=C229,80+(L239-C230)/((C229-C230)/10),90+(L239-C229)/((C228-C229)/10))</f>
        <v>100.78930205482268</v>
      </c>
      <c r="I229" s="48">
        <f>IF(L240&lt;=C229,80+(L240-C230)/((C229-C230)/10),90+(L240-C229)/((C228-C229)/10))</f>
        <v>103.56679040614429</v>
      </c>
      <c r="J229" s="43"/>
      <c r="K229" s="61" t="s">
        <v>15</v>
      </c>
      <c r="L229" s="62">
        <f>L228*L237</f>
        <v>4.7498410210932853</v>
      </c>
      <c r="M229" s="43"/>
      <c r="N229" s="48" t="s">
        <v>16</v>
      </c>
      <c r="O229" s="48">
        <f>I236*POWER(I235,(C228-O233))</f>
        <v>0.60686455133010575</v>
      </c>
      <c r="P229" s="42"/>
      <c r="Q229" s="48">
        <v>15</v>
      </c>
      <c r="R229" s="55">
        <f>R228+0.01</f>
        <v>0.68</v>
      </c>
      <c r="S229" s="56">
        <v>1.4E-2</v>
      </c>
      <c r="T229" s="43"/>
    </row>
    <row r="230" spans="2:20" ht="20.100000000000001" customHeight="1">
      <c r="B230" s="59">
        <v>80</v>
      </c>
      <c r="C230" s="60">
        <v>168.1</v>
      </c>
      <c r="D230" s="60">
        <v>117</v>
      </c>
      <c r="E230" s="54">
        <f>D230/45*0.2165</f>
        <v>0.56290000000000007</v>
      </c>
      <c r="F230" s="43"/>
      <c r="G230" s="48" t="s">
        <v>17</v>
      </c>
      <c r="H230" s="48" t="e">
        <f>IF(N240=0,INDEX('R266'!H255:H363,(ROUNDDOWN(((H229-70)/(20/72)+1),0)),1),INDEX('R266'!H255:H363,(ROUNDUP(((H229-70)/(20/72))+1,0)),1))</f>
        <v>#REF!</v>
      </c>
      <c r="I230" s="48" t="e">
        <f>IF(O240=0,INDEX('R266'!H255:H363,(ROUNDDOWN(((I229-70)/(20/72)+1),0)),1),INDEX('R266'!H255:H363,(ROUNDUP(((I229-70)/(20/72))+1,0)),1))</f>
        <v>#REF!</v>
      </c>
      <c r="J230" s="43"/>
      <c r="K230" s="61" t="s">
        <v>18</v>
      </c>
      <c r="L230" s="62">
        <f>L228/L238</f>
        <v>5.0454110707730422</v>
      </c>
      <c r="M230" s="43"/>
      <c r="N230" s="48" t="s">
        <v>19</v>
      </c>
      <c r="O230" s="48">
        <f>IF((O233&gt;0),((100+(L231/-H234))/100))</f>
        <v>0.99214363616752588</v>
      </c>
      <c r="P230" s="42"/>
      <c r="Q230" s="48">
        <v>20</v>
      </c>
      <c r="R230" s="55">
        <f>R229+0.01</f>
        <v>0.69000000000000006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2.4857898187264555</v>
      </c>
      <c r="M231" s="43"/>
      <c r="N231" s="48" t="s">
        <v>22</v>
      </c>
      <c r="O231" s="48">
        <f>IF((O233&gt;0),((100+(L231/-I234))/100))</f>
        <v>0.99223822820867158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0.6577794486215538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9.7166175006374083</v>
      </c>
      <c r="I232" s="48">
        <f>I227/4</f>
        <v>10.174540045228948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32" t="s">
        <v>121</v>
      </c>
      <c r="C233" s="632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'266'!$J$14</f>
        <v>235.09625</v>
      </c>
      <c r="P233" s="42"/>
      <c r="Q233" s="48">
        <v>-1</v>
      </c>
      <c r="R233" s="55">
        <v>0.64</v>
      </c>
      <c r="S233" s="56">
        <v>1.2699999999999999E-2</v>
      </c>
      <c r="T233" s="43"/>
    </row>
    <row r="234" spans="2:20" ht="20.100000000000001" customHeight="1">
      <c r="B234" s="60">
        <f>H229/100*(O226*0.2165*0.9)*Link!$C$7*0.87</f>
        <v>3.6647497344587103</v>
      </c>
      <c r="C234" s="48">
        <f>I229/100*(O226*0.2165*0.9)*Link!$C$7*0.87</f>
        <v>3.7657406083952267</v>
      </c>
      <c r="D234" s="43"/>
      <c r="E234" s="43"/>
      <c r="F234" s="43"/>
      <c r="G234" s="54" t="s">
        <v>24</v>
      </c>
      <c r="H234" s="48">
        <f>'inf 266'!G31</f>
        <v>3.1640462072943878</v>
      </c>
      <c r="I234" s="48">
        <f>'inf 266'!H31</f>
        <v>3.2026061646177486</v>
      </c>
      <c r="J234" s="43"/>
      <c r="K234" s="57" t="s">
        <v>28</v>
      </c>
      <c r="L234" s="58">
        <f>O227*Index!$D$4*$O$2</f>
        <v>4.1285478422509749</v>
      </c>
      <c r="M234" s="43"/>
      <c r="N234" s="43"/>
      <c r="O234" s="42"/>
      <c r="P234" s="42"/>
      <c r="Q234" s="48">
        <v>-10</v>
      </c>
      <c r="R234" s="55">
        <f t="shared" ref="R234:R239" si="14">R233-0.01</f>
        <v>0.63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1.0143194668434508</v>
      </c>
      <c r="I235" s="48">
        <f>(1+(I237*S240))</f>
        <v>1.016196323513592</v>
      </c>
      <c r="J235" s="43"/>
      <c r="K235" s="61" t="s">
        <v>30</v>
      </c>
      <c r="L235" s="62">
        <f>$O$5*Index!$D$4*O227*0.99*(1-(L231*0.016))</f>
        <v>3.924701161100967</v>
      </c>
      <c r="M235" s="42"/>
      <c r="N235" s="54" t="s">
        <v>31</v>
      </c>
      <c r="O235" s="48">
        <f>O233+L231</f>
        <v>237.58203981872646</v>
      </c>
      <c r="P235" s="42"/>
      <c r="Q235" s="48">
        <v>-20</v>
      </c>
      <c r="R235" s="55">
        <f t="shared" si="14"/>
        <v>0.62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0.6577794486215538</v>
      </c>
      <c r="I236" s="48">
        <f>R240</f>
        <v>0.64710697527886696</v>
      </c>
      <c r="J236" s="43"/>
      <c r="K236" s="61" t="s">
        <v>32</v>
      </c>
      <c r="L236" s="62">
        <f>$O$5*Index!$D$4*O227*1.28*(1-(L231*0.016))</f>
        <v>5.0743610971810487</v>
      </c>
      <c r="M236" s="42"/>
      <c r="N236" s="43"/>
      <c r="O236" s="43"/>
      <c r="P236" s="53"/>
      <c r="Q236" s="48">
        <v>-30</v>
      </c>
      <c r="R236" s="55">
        <f t="shared" si="14"/>
        <v>0.61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1.0581816496743377</v>
      </c>
      <c r="I237" s="54">
        <f>1*(O233-C229)*(O233-C230)/((C228-C229)*(C228-C230))+0.903*(O233-C228)*(O233-C230)/((C229-C228)*(C229-C230))+0.76*(O233-C228)*(O233-C229)/((C230-C228)*(C230-C229))</f>
        <v>1.0080868966421765</v>
      </c>
      <c r="J237" s="43"/>
      <c r="K237" s="61" t="s">
        <v>33</v>
      </c>
      <c r="L237" s="62">
        <f>(100+(L235*2.75/-4))/100</f>
        <v>0.9730176795174309</v>
      </c>
      <c r="M237" s="42"/>
      <c r="N237" s="57" t="s">
        <v>43</v>
      </c>
      <c r="O237" s="58"/>
      <c r="P237" s="53"/>
      <c r="Q237" s="48">
        <v>-40</v>
      </c>
      <c r="R237" s="55">
        <f t="shared" si="14"/>
        <v>0.6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0.96752408897804132</v>
      </c>
      <c r="M238" s="42"/>
      <c r="N238" s="61">
        <f>MOD(H229,20/72)</f>
        <v>0.23374649926712432</v>
      </c>
      <c r="O238" s="62">
        <f>MOD(I229,20/72)</f>
        <v>0.23345707281095462</v>
      </c>
      <c r="P238" s="53"/>
      <c r="Q238" s="48">
        <v>-50</v>
      </c>
      <c r="R238" s="55">
        <f t="shared" si="14"/>
        <v>0.59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233.6573386576255</v>
      </c>
      <c r="M239" s="42"/>
      <c r="N239" s="61">
        <f>N238/(20/72)</f>
        <v>0.84148739736164746</v>
      </c>
      <c r="O239" s="62">
        <f>O238/(20/72)</f>
        <v>0.8404454621194366</v>
      </c>
      <c r="P239" s="53"/>
      <c r="Q239" s="48">
        <v>-60</v>
      </c>
      <c r="R239" s="55">
        <f t="shared" si="14"/>
        <v>0.57999999999999996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242.65640091590751</v>
      </c>
      <c r="M240" s="43"/>
      <c r="N240" s="61">
        <f>IF(N239&lt;0.288,ROUNDDOWN(N239,0),ROUNDUP(N239,0))</f>
        <v>1</v>
      </c>
      <c r="O240" s="62">
        <f>IF(O239&lt;0.288,ROUNDDOWN(O239,0),ROUNDUP(O239,0))</f>
        <v>1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0.64710697527886696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30</v>
      </c>
      <c r="O242" s="64">
        <f>IF(O238&gt;(20/72)-0.08,30,29)</f>
        <v>30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26" t="s">
        <v>70</v>
      </c>
      <c r="C246" s="628"/>
      <c r="D246" s="628"/>
      <c r="E246" s="627"/>
      <c r="F246" s="43"/>
      <c r="G246" s="629" t="s">
        <v>70</v>
      </c>
      <c r="H246" s="630"/>
      <c r="I246" s="631"/>
      <c r="J246" s="43"/>
      <c r="K246" s="48" t="s">
        <v>7</v>
      </c>
      <c r="L246" s="53"/>
      <c r="M246" s="43"/>
      <c r="N246" s="48" t="s">
        <v>8</v>
      </c>
      <c r="O246" s="54">
        <f>O247/0.2165</f>
        <v>7.421076123136503</v>
      </c>
      <c r="P246" s="43"/>
      <c r="Q246" s="48">
        <v>1</v>
      </c>
      <c r="R246" s="55">
        <v>0.65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49.358264766647281</v>
      </c>
      <c r="I247" s="48">
        <f>I248/0.2165</f>
        <v>52.331038656959372</v>
      </c>
      <c r="J247" s="43"/>
      <c r="K247" s="57" t="s">
        <v>11</v>
      </c>
      <c r="L247" s="58">
        <f>O247*$O$3*Index!$D$4</f>
        <v>6.1538762414942072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1.6066629806590529</v>
      </c>
      <c r="P247" s="43"/>
      <c r="Q247" s="48">
        <v>5</v>
      </c>
      <c r="R247" s="55">
        <f>R246+0.01</f>
        <v>0.66</v>
      </c>
      <c r="S247" s="56">
        <v>1.41E-2</v>
      </c>
    </row>
    <row r="248" spans="2:20" ht="20.100000000000001" customHeight="1">
      <c r="B248" s="59">
        <v>100</v>
      </c>
      <c r="C248" s="60">
        <v>212</v>
      </c>
      <c r="D248" s="60">
        <v>257</v>
      </c>
      <c r="E248" s="54">
        <f>D248/45*0.2165</f>
        <v>1.2364555555555556</v>
      </c>
      <c r="F248" s="43"/>
      <c r="G248" s="48" t="s">
        <v>7</v>
      </c>
      <c r="H248" s="48">
        <f>L249+O252+B254</f>
        <v>10.686064321979137</v>
      </c>
      <c r="I248" s="48">
        <f>L250+O252+C254</f>
        <v>11.329669869231704</v>
      </c>
      <c r="J248" s="43"/>
      <c r="K248" s="61" t="s">
        <v>13</v>
      </c>
      <c r="L248" s="62">
        <f>IF(L251&gt;0,L247*O250,L247*O251)</f>
        <v>6.1203953016036303</v>
      </c>
      <c r="M248" s="43"/>
      <c r="N248" s="48" t="s">
        <v>14</v>
      </c>
      <c r="O248" s="48">
        <f>H256*POWER(H255,(C248-O253))</f>
        <v>0.4523942277364717</v>
      </c>
      <c r="P248" s="42"/>
      <c r="Q248" s="48">
        <v>10</v>
      </c>
      <c r="R248" s="55">
        <f>R247+0.01</f>
        <v>0.67</v>
      </c>
      <c r="S248" s="56">
        <v>1.43E-2</v>
      </c>
    </row>
    <row r="249" spans="2:20" ht="20.100000000000001" customHeight="1">
      <c r="B249" s="59">
        <v>90</v>
      </c>
      <c r="C249" s="60">
        <v>182.5</v>
      </c>
      <c r="D249" s="60">
        <v>178</v>
      </c>
      <c r="E249" s="54">
        <f>D249/45*0.2165</f>
        <v>0.85637777777777779</v>
      </c>
      <c r="F249" s="43"/>
      <c r="G249" s="48" t="s">
        <v>5</v>
      </c>
      <c r="H249" s="48">
        <f>IF(L259&lt;=C249,80+(L259-C250)/((C249-C250)/10),90+(L259-C249)/((C248-C249)/10))</f>
        <v>106.75991862918923</v>
      </c>
      <c r="I249" s="48">
        <f>IF(L260&lt;=C249,80+(L260-C250)/((C249-C250)/10),90+(L260-C249)/((C248-C249)/10))</f>
        <v>110.61830999624331</v>
      </c>
      <c r="J249" s="43"/>
      <c r="K249" s="61" t="s">
        <v>15</v>
      </c>
      <c r="L249" s="62">
        <f>L248*L257</f>
        <v>5.911518693641395</v>
      </c>
      <c r="M249" s="43"/>
      <c r="N249" s="48" t="s">
        <v>16</v>
      </c>
      <c r="O249" s="48">
        <f>I256*POWER(I255,(C248-O253))</f>
        <v>0.42167768758196877</v>
      </c>
      <c r="P249" s="42"/>
      <c r="Q249" s="48">
        <v>15</v>
      </c>
      <c r="R249" s="55">
        <f>R248+0.01</f>
        <v>0.68</v>
      </c>
      <c r="S249" s="56">
        <v>1.4500000000000001E-2</v>
      </c>
    </row>
    <row r="250" spans="2:20" ht="20.100000000000001" customHeight="1">
      <c r="B250" s="59">
        <v>80</v>
      </c>
      <c r="C250" s="60">
        <v>155.1</v>
      </c>
      <c r="D250" s="60">
        <v>124</v>
      </c>
      <c r="E250" s="54">
        <f>D250/45*0.2165</f>
        <v>0.59657777777777776</v>
      </c>
      <c r="F250" s="43"/>
      <c r="G250" s="48" t="s">
        <v>17</v>
      </c>
      <c r="H250" s="48" t="e">
        <f>IF(N260=0,INDEX('R266'!K255:K363,(ROUNDDOWN(((H249-70)/(20/72)+1),0)),1),INDEX('R266'!K255:K363,(ROUNDUP(((H249-70)/(20/72))+1,0)),1))</f>
        <v>#REF!</v>
      </c>
      <c r="I250" s="48" t="e">
        <f>IF(O260=0,INDEX('R266'!K255:K363,(ROUNDDOWN(((I249-70)/(20/72)+1),0)),1),INDEX('R266'!K255:K363,(ROUNDUP(((I249-70)/(20/72))+1,0)),1))</f>
        <v>#REF!</v>
      </c>
      <c r="J250" s="43"/>
      <c r="K250" s="61" t="s">
        <v>18</v>
      </c>
      <c r="L250" s="62">
        <f>L248/L258</f>
        <v>6.3825682304499134</v>
      </c>
      <c r="M250" s="43"/>
      <c r="N250" s="48" t="s">
        <v>19</v>
      </c>
      <c r="O250" s="48">
        <f>IF((O253&gt;0),((100+(L251/-H254))/100))</f>
        <v>0.99455937386832349</v>
      </c>
      <c r="P250" s="42"/>
      <c r="Q250" s="48">
        <v>20</v>
      </c>
      <c r="R250" s="55">
        <f>R249+0.01</f>
        <v>0.69000000000000006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29</v>
      </c>
      <c r="I251" s="48">
        <f>O261</f>
        <v>30</v>
      </c>
      <c r="J251" s="43"/>
      <c r="K251" s="63" t="s">
        <v>21</v>
      </c>
      <c r="L251" s="64">
        <f>IF(Index!$C$4&gt;0,Index!$C$4*O248,Index!$C$4*O249)</f>
        <v>1.8095769109458868</v>
      </c>
      <c r="M251" s="43"/>
      <c r="N251" s="48" t="s">
        <v>22</v>
      </c>
      <c r="O251" s="48">
        <f>IF((O253&gt;0),((100+(L251/-I254))/100))</f>
        <v>0.99480383561009122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0.6577794486215538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12.33956619166182</v>
      </c>
      <c r="I252" s="48">
        <f>I247/4</f>
        <v>13.082759664239843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32" t="s">
        <v>121</v>
      </c>
      <c r="C253" s="632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'266'!$J$14</f>
        <v>235.09625</v>
      </c>
      <c r="P253" s="42"/>
      <c r="Q253" s="48">
        <v>-1</v>
      </c>
      <c r="R253" s="55">
        <v>0.61</v>
      </c>
      <c r="S253" s="56">
        <v>1.2699999999999999E-2</v>
      </c>
    </row>
    <row r="254" spans="2:20" ht="20.100000000000001" customHeight="1">
      <c r="B254" s="60">
        <f>H249/100*(O246*0.2165)*Link!$C$7*0.77</f>
        <v>4.7745456283377417</v>
      </c>
      <c r="C254" s="48">
        <f>I249/100*(O246*0.2165)*Link!$C$7*0.77</f>
        <v>4.9471016387817901</v>
      </c>
      <c r="D254" s="43"/>
      <c r="E254" s="43"/>
      <c r="F254" s="43"/>
      <c r="G254" s="54" t="s">
        <v>24</v>
      </c>
      <c r="H254" s="48">
        <f>'inf 266'!G37</f>
        <v>3.3260453248388533</v>
      </c>
      <c r="I254" s="48">
        <f>'inf 266'!H37</f>
        <v>3.48252436828245</v>
      </c>
      <c r="J254" s="43"/>
      <c r="K254" s="57" t="s">
        <v>28</v>
      </c>
      <c r="L254" s="58">
        <f>O247*Index!$D$4*$O$2</f>
        <v>5.1637152845484167</v>
      </c>
      <c r="M254" s="43"/>
      <c r="N254" s="43"/>
      <c r="O254" s="42"/>
      <c r="P254" s="42"/>
      <c r="Q254" s="48">
        <v>-10</v>
      </c>
      <c r="R254" s="55">
        <f t="shared" ref="R254:R259" si="15">R253-0.01</f>
        <v>0.6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1.0163388161985203</v>
      </c>
      <c r="I255" s="48">
        <f>(1+(I257*S260))</f>
        <v>1.0166242445253963</v>
      </c>
      <c r="J255" s="43"/>
      <c r="K255" s="61" t="s">
        <v>30</v>
      </c>
      <c r="L255" s="62">
        <f>$O$5*Index!$D$4*O247*0.99*(1-(L251*0.016))</f>
        <v>4.9640669548376355</v>
      </c>
      <c r="M255" s="42"/>
      <c r="N255" s="54" t="s">
        <v>31</v>
      </c>
      <c r="O255" s="48">
        <f>O253+L251</f>
        <v>236.90582691094588</v>
      </c>
      <c r="P255" s="42"/>
      <c r="Q255" s="48">
        <v>-20</v>
      </c>
      <c r="R255" s="55">
        <f t="shared" si="15"/>
        <v>0.59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0.6577794486215538</v>
      </c>
      <c r="I256" s="48">
        <f>R260</f>
        <v>0.61710697527886438</v>
      </c>
      <c r="J256" s="43"/>
      <c r="K256" s="61" t="s">
        <v>32</v>
      </c>
      <c r="L256" s="62">
        <f>$O$5*Index!$D$4*O247*1.28*(1-(L251*0.016))</f>
        <v>6.4181875779718922</v>
      </c>
      <c r="M256" s="42"/>
      <c r="N256" s="43"/>
      <c r="O256" s="43"/>
      <c r="P256" s="53"/>
      <c r="Q256" s="48">
        <v>-30</v>
      </c>
      <c r="R256" s="55">
        <f t="shared" si="15"/>
        <v>0.57999999999999996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1.1643848422800722</v>
      </c>
      <c r="I257" s="54">
        <f>1*(O253-C249)*(O253-C250)/((C248-C249)*(C248-C250))+0.903*(O253-C248)*(O253-C250)/((C249-C248)*(C249-C250))+0.76*(O253-C248)*(O253-C249)/((C250-C248)*(C250-C249))</f>
        <v>1.0347214328340431</v>
      </c>
      <c r="J257" s="43"/>
      <c r="K257" s="61" t="s">
        <v>33</v>
      </c>
      <c r="L257" s="62">
        <f>(100+(L255*2.75/-4))/100</f>
        <v>0.96587203968549118</v>
      </c>
      <c r="M257" s="42"/>
      <c r="N257" s="57" t="s">
        <v>43</v>
      </c>
      <c r="O257" s="58"/>
      <c r="P257" s="53"/>
      <c r="Q257" s="48">
        <v>-40</v>
      </c>
      <c r="R257" s="55">
        <f t="shared" si="15"/>
        <v>0.56999999999999995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0.95892359950097983</v>
      </c>
      <c r="M258" s="42"/>
      <c r="N258" s="61">
        <f>MOD(H249,20/72)</f>
        <v>9.3251962522558074E-2</v>
      </c>
      <c r="O258" s="62">
        <f>MOD(I249,20/72)</f>
        <v>6.2754440687751378E-2</v>
      </c>
      <c r="P258" s="53"/>
      <c r="Q258" s="48">
        <v>-50</v>
      </c>
      <c r="R258" s="55">
        <f t="shared" si="15"/>
        <v>0.55999999999999994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231.94175995610823</v>
      </c>
      <c r="M259" s="42"/>
      <c r="N259" s="61">
        <f>N258/(20/72)</f>
        <v>0.33570706508120907</v>
      </c>
      <c r="O259" s="62">
        <f>O258/(20/72)</f>
        <v>0.22591598647590494</v>
      </c>
      <c r="P259" s="53"/>
      <c r="Q259" s="48">
        <v>-60</v>
      </c>
      <c r="R259" s="55">
        <f t="shared" si="15"/>
        <v>0.54999999999999993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243.32401448891778</v>
      </c>
      <c r="M260" s="43"/>
      <c r="N260" s="61">
        <f>IF(N259&lt;0.288,ROUNDDOWN(N259,0),ROUNDUP(N259,0))</f>
        <v>1</v>
      </c>
      <c r="O260" s="62">
        <f>IF(O259&lt;0.288,ROUNDDOWN(O259,0),ROUNDUP(O259,0))</f>
        <v>0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0.61710697527886438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29</v>
      </c>
      <c r="O261" s="62">
        <f>IF(O258&lt;0.08,30,O262)</f>
        <v>30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29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26" t="s">
        <v>71</v>
      </c>
      <c r="C266" s="628"/>
      <c r="D266" s="628"/>
      <c r="E266" s="627"/>
      <c r="F266" s="43"/>
      <c r="G266" s="629" t="s">
        <v>71</v>
      </c>
      <c r="H266" s="630"/>
      <c r="I266" s="631"/>
      <c r="J266" s="43"/>
      <c r="K266" s="48" t="s">
        <v>7</v>
      </c>
      <c r="L266" s="53"/>
      <c r="M266" s="43"/>
      <c r="N266" s="48" t="s">
        <v>8</v>
      </c>
      <c r="O266" s="54">
        <f>O267/0.2165</f>
        <v>2.8737083112654798</v>
      </c>
      <c r="P266" s="43"/>
      <c r="Q266" s="48">
        <v>1</v>
      </c>
      <c r="R266" s="55">
        <v>0.66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19.481009799930682</v>
      </c>
      <c r="I267" s="48">
        <f>I268/0.2165</f>
        <v>19.904967459950104</v>
      </c>
      <c r="J267" s="43"/>
      <c r="K267" s="57" t="s">
        <v>11</v>
      </c>
      <c r="L267" s="58">
        <f>O267*$O$3*Index!$D$4</f>
        <v>2.383002816336397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0.62215784938897634</v>
      </c>
      <c r="P267" s="43"/>
      <c r="Q267" s="48">
        <v>5</v>
      </c>
      <c r="R267" s="55">
        <f>R266+0.01</f>
        <v>0.67</v>
      </c>
      <c r="S267" s="56">
        <v>1.3100000000000001E-2</v>
      </c>
    </row>
    <row r="268" spans="2:19" ht="20.100000000000001" customHeight="1">
      <c r="B268" s="59">
        <v>100</v>
      </c>
      <c r="C268" s="60">
        <v>296.60000000000002</v>
      </c>
      <c r="D268" s="60">
        <v>251</v>
      </c>
      <c r="E268" s="54">
        <f>D268/45*0.2165</f>
        <v>1.2075888888888888</v>
      </c>
      <c r="F268" s="43"/>
      <c r="G268" s="48" t="s">
        <v>7</v>
      </c>
      <c r="H268" s="48">
        <f>L269+O272+B274</f>
        <v>4.2176386216849924</v>
      </c>
      <c r="I268" s="48">
        <f>L270+O272+C274</f>
        <v>4.3094254550791975</v>
      </c>
      <c r="J268" s="43"/>
      <c r="K268" s="61" t="s">
        <v>13</v>
      </c>
      <c r="L268" s="62">
        <f>IF(L271&gt;0,L267*O270,L267*O271)</f>
        <v>2.3352551600753357</v>
      </c>
      <c r="M268" s="43"/>
      <c r="N268" s="48" t="s">
        <v>14</v>
      </c>
      <c r="O268" s="48">
        <f>H276*POWER(H275,(C268-O273))</f>
        <v>1.3110226638187328</v>
      </c>
      <c r="P268" s="42"/>
      <c r="Q268" s="48">
        <v>10</v>
      </c>
      <c r="R268" s="55">
        <f>R267+0.01</f>
        <v>0.68</v>
      </c>
      <c r="S268" s="56">
        <v>1.3299999999999999E-2</v>
      </c>
    </row>
    <row r="269" spans="2:19" ht="20.100000000000001" customHeight="1">
      <c r="B269" s="59">
        <v>90</v>
      </c>
      <c r="C269" s="60">
        <v>261.3</v>
      </c>
      <c r="D269" s="60">
        <v>172</v>
      </c>
      <c r="E269" s="54">
        <f>D269/45*0.2165</f>
        <v>0.8275111111111112</v>
      </c>
      <c r="F269" s="43"/>
      <c r="G269" s="48" t="s">
        <v>5</v>
      </c>
      <c r="H269" s="48">
        <f>IF(L279&lt;=C269,80+(L279-C270)/((C269-C270)/10),90+(L279-C269)/((C268-C269)/10))</f>
        <v>83.33583019352514</v>
      </c>
      <c r="I269" s="48">
        <f>IF(L280&lt;=C269,80+(L280-C270)/((C269-C270)/10),90+(L280-C269)/((C268-C269)/10))</f>
        <v>84.540962689195496</v>
      </c>
      <c r="J269" s="43"/>
      <c r="K269" s="61" t="s">
        <v>15</v>
      </c>
      <c r="L269" s="62">
        <f>L268*L277</f>
        <v>2.3058458099388592</v>
      </c>
      <c r="M269" s="43"/>
      <c r="N269" s="48" t="s">
        <v>16</v>
      </c>
      <c r="O269" s="48">
        <f>I276*POWER(I275,(C268-O273))</f>
        <v>1.394409246109138</v>
      </c>
      <c r="P269" s="42"/>
      <c r="Q269" s="48">
        <v>15</v>
      </c>
      <c r="R269" s="55">
        <f>R268+0.01</f>
        <v>0.69000000000000006</v>
      </c>
      <c r="S269" s="56">
        <v>1.35E-2</v>
      </c>
    </row>
    <row r="270" spans="2:19" ht="20.100000000000001" customHeight="1">
      <c r="B270" s="59">
        <v>80</v>
      </c>
      <c r="C270" s="60">
        <v>227.1</v>
      </c>
      <c r="D270" s="60">
        <v>119</v>
      </c>
      <c r="E270" s="54">
        <f>D270/45*0.2165</f>
        <v>0.57252222222222215</v>
      </c>
      <c r="F270" s="43"/>
      <c r="G270" s="48" t="s">
        <v>17</v>
      </c>
      <c r="H270" s="48">
        <f>IF(N280=0,INDEX('R266'!F255:F363,(ROUNDDOWN(((H269-70)/(20/72)+1),0)),1),INDEX('R266'!F255:F363,(ROUNDUP(((H269-70)/(20/72))+1,0)),1))</f>
        <v>229.99999999999994</v>
      </c>
      <c r="I270" s="48">
        <f>IF(O280=0,INDEX('R266'!F255:F363,(ROUNDDOWN(((I269-70)/(20/72)+1),0)),1),INDEX('R266'!F255:F363,(ROUNDUP(((I269-70)/(20/72))+1,0)),1))</f>
        <v>233.83333333333334</v>
      </c>
      <c r="J270" s="43"/>
      <c r="K270" s="61" t="s">
        <v>18</v>
      </c>
      <c r="L270" s="62">
        <f>L268/L278</f>
        <v>2.3699859079843679</v>
      </c>
      <c r="M270" s="43"/>
      <c r="N270" s="48" t="s">
        <v>19</v>
      </c>
      <c r="O270" s="48">
        <f>IF((O273&gt;0),((100+(L271/-H274))/100))</f>
        <v>0.97996323968493326</v>
      </c>
      <c r="P270" s="42"/>
      <c r="Q270" s="48">
        <v>20</v>
      </c>
      <c r="R270" s="55">
        <f>R269+0.01</f>
        <v>0.70000000000000007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30</v>
      </c>
      <c r="I271" s="48">
        <f>O281</f>
        <v>29</v>
      </c>
      <c r="J271" s="43"/>
      <c r="K271" s="63" t="s">
        <v>21</v>
      </c>
      <c r="L271" s="64">
        <f>IF(Index!$C$4&gt;0,Index!$C$4*O268,Index!$C$4*O269)</f>
        <v>5.2440906552749311</v>
      </c>
      <c r="M271" s="43"/>
      <c r="N271" s="48" t="s">
        <v>22</v>
      </c>
      <c r="O271" s="48">
        <f>IF((O273&gt;0),((100+(L271/-I274))/100))</f>
        <v>0.97996323968493326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0.66777944862155403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4.8702524499826705</v>
      </c>
      <c r="I272" s="48">
        <f>I267/4</f>
        <v>4.976241864987526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32" t="s">
        <v>121</v>
      </c>
      <c r="C273" s="632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'266'!$J$14</f>
        <v>235.09625</v>
      </c>
      <c r="P273" s="42"/>
      <c r="Q273" s="48">
        <v>-1</v>
      </c>
      <c r="R273" s="55">
        <v>0.63</v>
      </c>
      <c r="S273" s="56">
        <v>1.2699999999999999E-2</v>
      </c>
    </row>
    <row r="274" spans="2:19" ht="20.100000000000001" customHeight="1">
      <c r="B274" s="60">
        <f>H269/100*(O266*0.2165)*Link!$C$7*1.02</f>
        <v>1.9117928117461336</v>
      </c>
      <c r="C274" s="48">
        <f>I269/100*(O266*0.2165)*Link!$C$7*1.02</f>
        <v>1.9394395470948296</v>
      </c>
      <c r="D274" s="43"/>
      <c r="E274" s="43"/>
      <c r="F274" s="43"/>
      <c r="G274" s="54" t="s">
        <v>24</v>
      </c>
      <c r="H274" s="48">
        <f>'inf 266'!K31</f>
        <v>2.6172348088286572</v>
      </c>
      <c r="I274" s="48">
        <f>'inf 266'!L31</f>
        <v>2.6172348088286572</v>
      </c>
      <c r="J274" s="43"/>
      <c r="K274" s="57" t="s">
        <v>28</v>
      </c>
      <c r="L274" s="58">
        <f>O267*Index!$D$4*$O$2</f>
        <v>1.9995767842822905</v>
      </c>
      <c r="M274" s="43"/>
      <c r="N274" s="43"/>
      <c r="O274" s="42"/>
      <c r="P274" s="42"/>
      <c r="Q274" s="48">
        <v>-10</v>
      </c>
      <c r="R274" s="55">
        <f t="shared" ref="R274:R279" si="16">R273-0.01</f>
        <v>0.62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1.0110288899345024</v>
      </c>
      <c r="I275" s="48">
        <f>(1+(I277*S280))</f>
        <v>1.0128170660026634</v>
      </c>
      <c r="J275" s="43"/>
      <c r="K275" s="61" t="s">
        <v>30</v>
      </c>
      <c r="L275" s="62">
        <f>$O$5*Index!$D$4*O267*1*(1-(L271*0.016))</f>
        <v>1.831801393418939</v>
      </c>
      <c r="M275" s="42"/>
      <c r="N275" s="54" t="s">
        <v>31</v>
      </c>
      <c r="O275" s="48">
        <f>O273+L271</f>
        <v>240.34034065527493</v>
      </c>
      <c r="P275" s="42"/>
      <c r="Q275" s="48">
        <v>-20</v>
      </c>
      <c r="R275" s="55">
        <f t="shared" si="16"/>
        <v>0.61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0.66777944862155403</v>
      </c>
      <c r="I276" s="48">
        <f>R280</f>
        <v>0.63710697527886451</v>
      </c>
      <c r="J276" s="43"/>
      <c r="K276" s="61" t="s">
        <v>32</v>
      </c>
      <c r="L276" s="62">
        <f>$O$5*Index!$D$4*O267*1.25*(1-(L271*0.016))</f>
        <v>2.2897517417736739</v>
      </c>
      <c r="M276" s="42"/>
      <c r="N276" s="43"/>
      <c r="O276" s="43"/>
      <c r="P276" s="53"/>
      <c r="Q276" s="48">
        <v>-30</v>
      </c>
      <c r="R276" s="55">
        <f t="shared" si="16"/>
        <v>0.6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0.84628359148554111</v>
      </c>
      <c r="I277" s="54">
        <f>1*(O273-C269)*(O273-C270)/((C268-C269)*(C268-C270))+0.903*(O273-C268)*(O273-C270)/((C269-C268)*(C269-C270))+0.76*(O273-C268)*(O273-C269)/((C270-C268)*(C270-C269))</f>
        <v>0.79775612532311813</v>
      </c>
      <c r="J277" s="43"/>
      <c r="K277" s="61" t="s">
        <v>33</v>
      </c>
      <c r="L277" s="62">
        <f>(100+(L275*2.75/-4))/100</f>
        <v>0.98740636542024474</v>
      </c>
      <c r="M277" s="42"/>
      <c r="N277" s="57" t="s">
        <v>43</v>
      </c>
      <c r="O277" s="58"/>
      <c r="P277" s="53"/>
      <c r="Q277" s="48">
        <v>-40</v>
      </c>
      <c r="R277" s="55">
        <f t="shared" si="16"/>
        <v>0.59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0.98534558885264845</v>
      </c>
      <c r="M278" s="42"/>
      <c r="N278" s="61">
        <f>MOD(H269,20/72)</f>
        <v>2.4968601918033961E-3</v>
      </c>
      <c r="O278" s="62">
        <f>MOD(I269,20/72)</f>
        <v>9.6518244751047533E-2</v>
      </c>
      <c r="P278" s="53"/>
      <c r="Q278" s="48">
        <v>-50</v>
      </c>
      <c r="R278" s="55">
        <f t="shared" si="16"/>
        <v>0.57999999999999996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238.50853926185599</v>
      </c>
      <c r="M279" s="42"/>
      <c r="N279" s="61">
        <f>N278/(20/72)</f>
        <v>8.988696690492225E-3</v>
      </c>
      <c r="O279" s="62">
        <f>O278/(20/72)</f>
        <v>0.34746568110377113</v>
      </c>
      <c r="P279" s="53"/>
      <c r="Q279" s="48">
        <v>-60</v>
      </c>
      <c r="R279" s="55">
        <f t="shared" si="16"/>
        <v>0.56999999999999995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242.6300923970486</v>
      </c>
      <c r="M280" s="43"/>
      <c r="N280" s="61">
        <f>IF(N279&lt;0.288,ROUNDDOWN(N279,0),ROUNDUP(N279,0))</f>
        <v>0</v>
      </c>
      <c r="O280" s="62">
        <f>IF(O279&lt;0.288,ROUNDDOWN(O279,0),ROUNDUP(O279,0))</f>
        <v>1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0.63710697527886451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30</v>
      </c>
      <c r="O281" s="62">
        <f>IF(O278&lt;0.08,30,O282)</f>
        <v>29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29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26" t="s">
        <v>72</v>
      </c>
      <c r="C286" s="628"/>
      <c r="D286" s="628"/>
      <c r="E286" s="627"/>
      <c r="F286" s="43"/>
      <c r="G286" s="629" t="s">
        <v>72</v>
      </c>
      <c r="H286" s="630"/>
      <c r="I286" s="631"/>
      <c r="J286" s="43"/>
      <c r="K286" s="48" t="s">
        <v>7</v>
      </c>
      <c r="L286" s="53"/>
      <c r="M286" s="43"/>
      <c r="N286" s="48" t="s">
        <v>8</v>
      </c>
      <c r="O286" s="54">
        <f>O287/0.2165</f>
        <v>2.6940804864807344</v>
      </c>
      <c r="P286" s="43"/>
      <c r="Q286" s="48">
        <v>1</v>
      </c>
      <c r="R286" s="55">
        <v>0.65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18.04070965099913</v>
      </c>
      <c r="I287" s="48">
        <f>I288/0.2165</f>
        <v>18.411128700249822</v>
      </c>
      <c r="J287" s="43"/>
      <c r="K287" s="57" t="s">
        <v>11</v>
      </c>
      <c r="L287" s="58">
        <f>O287*$O$3*Index!$D$4</f>
        <v>2.2340476803275062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0.58326842532307899</v>
      </c>
      <c r="P287" s="43"/>
      <c r="Q287" s="48">
        <v>5</v>
      </c>
      <c r="R287" s="55">
        <f>R286+0.01</f>
        <v>0.66</v>
      </c>
      <c r="S287" s="56">
        <v>1.3100000000000001E-2</v>
      </c>
    </row>
    <row r="288" spans="2:19" ht="20.100000000000001" customHeight="1">
      <c r="B288" s="59">
        <v>100</v>
      </c>
      <c r="C288" s="60">
        <v>304.3</v>
      </c>
      <c r="D288" s="60">
        <v>251</v>
      </c>
      <c r="E288" s="54">
        <f>D288/45*0.2165</f>
        <v>1.2075888888888888</v>
      </c>
      <c r="F288" s="43"/>
      <c r="G288" s="48" t="s">
        <v>7</v>
      </c>
      <c r="H288" s="48">
        <f>L289+O292+B294</f>
        <v>3.9058136394413117</v>
      </c>
      <c r="I288" s="48">
        <f>L290+O292+C294</f>
        <v>3.9860093636040865</v>
      </c>
      <c r="J288" s="43"/>
      <c r="K288" s="61" t="s">
        <v>13</v>
      </c>
      <c r="L288" s="62">
        <f>IF(L291&gt;0,L287*O290,L287*O291)</f>
        <v>2.1855204718211567</v>
      </c>
      <c r="M288" s="43"/>
      <c r="N288" s="48" t="s">
        <v>14</v>
      </c>
      <c r="O288" s="48">
        <f>H296*POWER(H295,(C288-O293))</f>
        <v>1.385396599631838</v>
      </c>
      <c r="P288" s="42"/>
      <c r="Q288" s="48">
        <v>10</v>
      </c>
      <c r="R288" s="55">
        <f>R287+0.01</f>
        <v>0.67</v>
      </c>
      <c r="S288" s="56">
        <v>1.3299999999999999E-2</v>
      </c>
    </row>
    <row r="289" spans="2:19" ht="20.100000000000001" customHeight="1">
      <c r="B289" s="59">
        <v>90</v>
      </c>
      <c r="C289" s="60">
        <v>269</v>
      </c>
      <c r="D289" s="60">
        <v>173</v>
      </c>
      <c r="E289" s="54">
        <f>D289/45*0.2165</f>
        <v>0.83232222222222219</v>
      </c>
      <c r="F289" s="43"/>
      <c r="G289" s="48" t="s">
        <v>5</v>
      </c>
      <c r="H289" s="48">
        <f>IF(L299&lt;=C289,80+(L299-C290)/((C289-C290)/10),90+(L299-C289)/((C288-C289)/10))</f>
        <v>81.181659509555345</v>
      </c>
      <c r="I289" s="48">
        <f>IF(L300&lt;=C289,80+(L300-C290)/((C289-C290)/10),90+(L300-C289)/((C288-C289)/10))</f>
        <v>82.308888046101728</v>
      </c>
      <c r="J289" s="43"/>
      <c r="K289" s="61" t="s">
        <v>15</v>
      </c>
      <c r="L289" s="62">
        <f>L288*L297</f>
        <v>2.1598513260087828</v>
      </c>
      <c r="M289" s="43"/>
      <c r="N289" s="48" t="s">
        <v>16</v>
      </c>
      <c r="O289" s="48">
        <f>I296*POWER(I295,(C288-O293))</f>
        <v>1.4539884494132309</v>
      </c>
      <c r="P289" s="42"/>
      <c r="Q289" s="48">
        <v>15</v>
      </c>
      <c r="R289" s="55">
        <f>R288+0.01</f>
        <v>0.68</v>
      </c>
      <c r="S289" s="56">
        <v>1.35E-2</v>
      </c>
    </row>
    <row r="290" spans="2:19" ht="20.100000000000001" customHeight="1">
      <c r="B290" s="59">
        <v>80</v>
      </c>
      <c r="C290" s="60">
        <v>234.9</v>
      </c>
      <c r="D290" s="60">
        <v>121</v>
      </c>
      <c r="E290" s="54">
        <f>D290/45*0.2165</f>
        <v>0.58214444444444446</v>
      </c>
      <c r="F290" s="43"/>
      <c r="G290" s="48" t="s">
        <v>17</v>
      </c>
      <c r="H290" s="48">
        <f>IF(N300=0,INDEX('R266'!G255:G363,(ROUNDDOWN(((H289-70)/(20/72)+1),0)),1),INDEX('R266'!G255:G363,(ROUNDUP(((H289-70)/(20/72))+1,0)),1))</f>
        <v>231.97777777777836</v>
      </c>
      <c r="I290" s="48">
        <f>IF(O300=0,INDEX('R266'!G255:G363,(ROUNDDOWN(((I289-70)/(20/72)+1),0)),1),INDEX('R266'!G255:G363,(ROUNDUP(((I289-70)/(20/72))+1,0)),1))</f>
        <v>235.95000000000061</v>
      </c>
      <c r="J290" s="43"/>
      <c r="K290" s="61" t="s">
        <v>18</v>
      </c>
      <c r="L290" s="62">
        <f>L288/L298</f>
        <v>2.2158039076277167</v>
      </c>
      <c r="M290" s="43"/>
      <c r="N290" s="48" t="s">
        <v>19</v>
      </c>
      <c r="O290" s="48">
        <f>IF((O293&gt;0),((100+(L291/-H294))/100))</f>
        <v>0.97827834699605187</v>
      </c>
      <c r="P290" s="42"/>
      <c r="Q290" s="48">
        <v>20</v>
      </c>
      <c r="R290" s="55">
        <f>R289+0.01</f>
        <v>0.69000000000000006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30</v>
      </c>
      <c r="I291" s="48">
        <f>O301</f>
        <v>29</v>
      </c>
      <c r="J291" s="43"/>
      <c r="K291" s="63" t="s">
        <v>21</v>
      </c>
      <c r="L291" s="64">
        <f>IF(Index!$C$4&gt;0,Index!$C$4*O288,Index!$C$4*O289)</f>
        <v>5.5415863985273521</v>
      </c>
      <c r="M291" s="43"/>
      <c r="N291" s="48" t="s">
        <v>22</v>
      </c>
      <c r="O291" s="48">
        <f>IF((O293&gt;0),((100+(L291/-I294))/100))</f>
        <v>0.97827834699605187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0.6577794486215538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4.5101774127497825</v>
      </c>
      <c r="I292" s="48">
        <f>I287/4</f>
        <v>4.6027821750624556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32" t="s">
        <v>121</v>
      </c>
      <c r="C293" s="632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'266'!$J$14</f>
        <v>235.09625</v>
      </c>
      <c r="P293" s="42"/>
      <c r="Q293" s="48">
        <v>-1</v>
      </c>
      <c r="R293" s="55">
        <v>0.62</v>
      </c>
      <c r="S293" s="56">
        <v>1.2699999999999999E-2</v>
      </c>
    </row>
    <row r="294" spans="2:19" ht="20.100000000000001" customHeight="1">
      <c r="B294" s="60">
        <f>H289/100*(O286*0.2165)*Link!$C$7*1.02</f>
        <v>1.7459623134325291</v>
      </c>
      <c r="C294" s="48">
        <f>I289/100*(O286*0.2165)*Link!$C$7*1.02</f>
        <v>1.7702054559763696</v>
      </c>
      <c r="D294" s="43"/>
      <c r="E294" s="43"/>
      <c r="F294" s="43"/>
      <c r="G294" s="54" t="s">
        <v>24</v>
      </c>
      <c r="H294" s="48">
        <f>'inf 266'!K37</f>
        <v>2.5511807952737895</v>
      </c>
      <c r="I294" s="48">
        <f>'inf 266'!L37</f>
        <v>2.5511807952737895</v>
      </c>
      <c r="J294" s="43"/>
      <c r="K294" s="57" t="s">
        <v>28</v>
      </c>
      <c r="L294" s="58">
        <f>O287*Index!$D$4*$O$2</f>
        <v>1.8745885845952686</v>
      </c>
      <c r="M294" s="43"/>
      <c r="N294" s="43"/>
      <c r="O294" s="42"/>
      <c r="P294" s="42"/>
      <c r="Q294" s="48">
        <v>-10</v>
      </c>
      <c r="R294" s="55">
        <f>R293-0.01</f>
        <v>0.61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1.0108215980102082</v>
      </c>
      <c r="I295" s="48">
        <f>(1+(I297*S300))</f>
        <v>1.0122259103451872</v>
      </c>
      <c r="J295" s="43"/>
      <c r="K295" s="61" t="s">
        <v>30</v>
      </c>
      <c r="L295" s="62">
        <f>$O$5*Index!$D$4*O287*1*(1-(L291*0.016))</f>
        <v>1.7083774709436241</v>
      </c>
      <c r="M295" s="42"/>
      <c r="N295" s="54" t="s">
        <v>31</v>
      </c>
      <c r="O295" s="48">
        <f>O293+L291</f>
        <v>240.63783639852736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0.6577794486215538</v>
      </c>
      <c r="I296" s="48">
        <f>R300</f>
        <v>0.62710697527886883</v>
      </c>
      <c r="J296" s="43"/>
      <c r="K296" s="61" t="s">
        <v>32</v>
      </c>
      <c r="L296" s="62">
        <f>$O$5*Index!$D$4*O287*1.25*(1-(L291*0.016))</f>
        <v>2.1354718386795302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0.83037738920956095</v>
      </c>
      <c r="I297" s="54">
        <f>1*(O293-C289)*(O293-C290)/((C288-C289)*(C288-C290))+0.903*(O293-C288)*(O293-C290)/((C289-C288)*(C289-C290))+0.76*(O293-C288)*(O293-C289)/((C290-C288)*(C290-C289))</f>
        <v>0.76096158539696679</v>
      </c>
      <c r="J297" s="43"/>
      <c r="K297" s="61" t="s">
        <v>33</v>
      </c>
      <c r="L297" s="62">
        <f>(100+(L295*2.75/-4))/100</f>
        <v>0.98825490488726264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0.98633298023245108</v>
      </c>
      <c r="M298" s="42"/>
      <c r="N298" s="61">
        <f>MOD(H289,20/72)</f>
        <v>7.0548398444230553E-2</v>
      </c>
      <c r="O298" s="62">
        <f>MOD(I289,20/72)</f>
        <v>8.6665823879502391E-2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238.92945892758374</v>
      </c>
      <c r="M299" s="42"/>
      <c r="N299" s="61">
        <f>N298/(20/72)</f>
        <v>0.25397423439923</v>
      </c>
      <c r="O299" s="62">
        <f>O298/(20/72)</f>
        <v>0.31199696596620857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242.77330823720689</v>
      </c>
      <c r="M300" s="43"/>
      <c r="N300" s="61">
        <f>IF(N299&lt;0.288,ROUNDDOWN(N299,0),ROUNDUP(N299,0))</f>
        <v>0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0.62710697527886883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30</v>
      </c>
      <c r="O301" s="62">
        <f>IF(O298&lt;0.08,30,O302)</f>
        <v>29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29</v>
      </c>
      <c r="P302" s="43"/>
      <c r="Q302" s="43"/>
      <c r="R302" s="43"/>
      <c r="S302" s="43"/>
    </row>
    <row r="306" spans="2:19" ht="20.100000000000001" customHeight="1">
      <c r="B306" s="626" t="s">
        <v>74</v>
      </c>
      <c r="C306" s="628"/>
      <c r="D306" s="628"/>
      <c r="E306" s="627"/>
      <c r="F306" s="43"/>
      <c r="G306" s="629" t="s">
        <v>74</v>
      </c>
      <c r="H306" s="630"/>
      <c r="I306" s="631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IF(N320=0,INDEX('R266'!E255:E363,(ROUNDDOWN(((H309-70)/(20/72)+1),0)),1),INDEX('R266'!E255:E363,(ROUNDUP(((H309-70)/(20/72))+1,0)),1))</f>
        <v>#DIV/0!</v>
      </c>
      <c r="I310" s="48" t="e">
        <f>IF(O320=0,INDEX('R266'!E255:E363,(ROUNDDOWN(((I309-70)/(20/72)+1),0)),1),INDEX('R266'!E255:E363,(ROUNDUP(((I309-70)/(20/72))+1,0)),1))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'266'!$J$14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266'!O27</f>
        <v>#DIV/0!</v>
      </c>
      <c r="I314" s="48" t="e">
        <f>'inf 266'!P27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26" t="s">
        <v>73</v>
      </c>
      <c r="C326" s="628"/>
      <c r="D326" s="628"/>
      <c r="E326" s="627"/>
      <c r="F326" s="43"/>
      <c r="G326" s="629" t="s">
        <v>73</v>
      </c>
      <c r="H326" s="630"/>
      <c r="I326" s="631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IF(N340=0,INDEX('R266'!F255:F363,(ROUNDDOWN(((H329-70)/(20/72)+1),0)),1),INDEX('R266'!F255:F363,(ROUNDUP(((H329-70)/(20/72))+1,0)),1))</f>
        <v>#DIV/0!</v>
      </c>
      <c r="I330" s="48" t="e">
        <f>IF(O340=0,INDEX('R266'!F255:F363,(ROUNDDOWN(((I329-70)/(20/72)+1),0)),1),INDEX('R266'!F255:F363,(ROUNDUP(((I329-70)/(20/72))+1,0)),1))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'266'!$J$14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266'!O15</f>
        <v>#DIV/0!</v>
      </c>
      <c r="I334" s="48" t="e">
        <f>'inf 266'!P15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26" t="s">
        <v>75</v>
      </c>
      <c r="C346" s="628"/>
      <c r="D346" s="628"/>
      <c r="E346" s="627"/>
      <c r="F346" s="43"/>
      <c r="G346" s="629" t="s">
        <v>75</v>
      </c>
      <c r="H346" s="630"/>
      <c r="I346" s="631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IF(N360=0,INDEX('R266'!G255:G363,(ROUNDDOWN(((H349-70)/(20/72)+1),0)),1),INDEX('R266'!G255:G363,(ROUNDUP(((H349-70)/(20/72))+1,0)),1))</f>
        <v>#DIV/0!</v>
      </c>
      <c r="I350" s="48" t="e">
        <f>IF(O360=0,INDEX('R266'!G255:G363,(ROUNDDOWN(((I349-70)/(20/72)+1),0)),1),INDEX('R266'!G255:G363,(ROUNDUP(((I349-70)/(20/72))+1,0)),1))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'266'!$J$14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266'!O21</f>
        <v>#DIV/0!</v>
      </c>
      <c r="I354" s="48" t="e">
        <f>'inf 266'!P21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</sheetData>
  <sheetProtection sheet="1" objects="1" scenarios="1" selectLockedCells="1" selectUnlockedCells="1"/>
  <mergeCells count="51">
    <mergeCell ref="B253:C253"/>
    <mergeCell ref="B273:C273"/>
    <mergeCell ref="B293:C293"/>
    <mergeCell ref="N157:O157"/>
    <mergeCell ref="B178:C178"/>
    <mergeCell ref="B193:C193"/>
    <mergeCell ref="B213:C213"/>
    <mergeCell ref="B233:C233"/>
    <mergeCell ref="G266:I266"/>
    <mergeCell ref="B266:E266"/>
    <mergeCell ref="G186:I186"/>
    <mergeCell ref="B186:E186"/>
    <mergeCell ref="G286:I286"/>
    <mergeCell ref="B286:E286"/>
    <mergeCell ref="G246:I246"/>
    <mergeCell ref="B246:E246"/>
    <mergeCell ref="N29:O29"/>
    <mergeCell ref="B54:C54"/>
    <mergeCell ref="N72:O72"/>
    <mergeCell ref="N90:O90"/>
    <mergeCell ref="B115:C115"/>
    <mergeCell ref="G346:I346"/>
    <mergeCell ref="B346:E346"/>
    <mergeCell ref="G326:I326"/>
    <mergeCell ref="B326:E326"/>
    <mergeCell ref="G306:I306"/>
    <mergeCell ref="B306:E306"/>
    <mergeCell ref="G226:I226"/>
    <mergeCell ref="B226:E226"/>
    <mergeCell ref="G206:I206"/>
    <mergeCell ref="B206:E206"/>
    <mergeCell ref="G79:I79"/>
    <mergeCell ref="B79:E79"/>
    <mergeCell ref="G165:I165"/>
    <mergeCell ref="B165:E165"/>
    <mergeCell ref="G147:I147"/>
    <mergeCell ref="B147:E147"/>
    <mergeCell ref="G122:I122"/>
    <mergeCell ref="B122:E122"/>
    <mergeCell ref="G97:I97"/>
    <mergeCell ref="B97:E97"/>
    <mergeCell ref="B140:C140"/>
    <mergeCell ref="K2:L2"/>
    <mergeCell ref="I2:J2"/>
    <mergeCell ref="G2:H2"/>
    <mergeCell ref="G61:I61"/>
    <mergeCell ref="B61:E61"/>
    <mergeCell ref="G36:I36"/>
    <mergeCell ref="B36:E36"/>
    <mergeCell ref="G18:I18"/>
    <mergeCell ref="B18:E18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BP311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43"/>
  </cols>
  <sheetData>
    <row r="1" spans="1:68" ht="20.100000000000001" customHeight="1"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</row>
    <row r="2" spans="1:68" ht="20.100000000000001" customHeight="1">
      <c r="B2" s="88" t="s">
        <v>38</v>
      </c>
      <c r="C2" s="54"/>
      <c r="D2" s="54"/>
      <c r="F2" s="88" t="s">
        <v>66</v>
      </c>
      <c r="G2" s="54"/>
      <c r="H2" s="54"/>
      <c r="J2" s="88" t="s">
        <v>67</v>
      </c>
      <c r="K2" s="54"/>
      <c r="L2" s="54"/>
      <c r="N2" s="54" t="s">
        <v>47</v>
      </c>
      <c r="O2" s="54"/>
      <c r="P2" s="54"/>
      <c r="R2" s="65"/>
      <c r="S2" s="65"/>
      <c r="T2" s="65"/>
      <c r="U2" s="65"/>
      <c r="V2" s="65"/>
      <c r="W2" s="89"/>
      <c r="X2" s="89"/>
      <c r="Y2" s="89"/>
      <c r="Z2" s="89"/>
      <c r="AA2" s="65"/>
      <c r="AB2" s="65"/>
      <c r="AC2" s="65"/>
      <c r="AD2" s="89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</row>
    <row r="3" spans="1:68" ht="20.100000000000001" customHeight="1">
      <c r="B3" s="88">
        <f>'266'!C38</f>
        <v>236.8</v>
      </c>
      <c r="C3" s="88">
        <v>3.8</v>
      </c>
      <c r="D3" s="88">
        <v>3.8</v>
      </c>
      <c r="F3" s="88">
        <f>'266'!C99</f>
        <v>219.8</v>
      </c>
      <c r="G3" s="88">
        <v>3.8</v>
      </c>
      <c r="H3" s="88">
        <v>3.8</v>
      </c>
      <c r="J3" s="88">
        <f>'266'!C124</f>
        <v>202</v>
      </c>
      <c r="K3" s="88">
        <v>3.8</v>
      </c>
      <c r="L3" s="88">
        <v>3.8</v>
      </c>
      <c r="N3" s="88">
        <f>'266'!C167</f>
        <v>249.4</v>
      </c>
      <c r="O3" s="60">
        <v>4</v>
      </c>
      <c r="P3" s="60">
        <v>4</v>
      </c>
      <c r="R3" s="65"/>
      <c r="S3" s="65"/>
      <c r="T3" s="65"/>
      <c r="U3" s="65"/>
      <c r="V3" s="65"/>
      <c r="W3" s="90"/>
      <c r="X3" s="89"/>
      <c r="Y3" s="89"/>
      <c r="Z3" s="89"/>
      <c r="AA3" s="65"/>
      <c r="AB3" s="65"/>
      <c r="AC3" s="65"/>
      <c r="AD3" s="89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</row>
    <row r="4" spans="1:68" ht="20.100000000000001" customHeight="1">
      <c r="B4" s="88">
        <f>'266'!C39</f>
        <v>203.4</v>
      </c>
      <c r="C4" s="88">
        <v>3.3</v>
      </c>
      <c r="D4" s="88">
        <v>3.3</v>
      </c>
      <c r="F4" s="88">
        <f>'266'!C100</f>
        <v>189.6</v>
      </c>
      <c r="G4" s="88">
        <v>3.3</v>
      </c>
      <c r="H4" s="88">
        <v>3.3</v>
      </c>
      <c r="J4" s="88">
        <f>'266'!C125</f>
        <v>174.6</v>
      </c>
      <c r="K4" s="88">
        <v>3.3</v>
      </c>
      <c r="L4" s="88">
        <v>3.3</v>
      </c>
      <c r="N4" s="88">
        <f>'266'!C168</f>
        <v>213.7</v>
      </c>
      <c r="O4" s="60">
        <v>3.5</v>
      </c>
      <c r="P4" s="60">
        <v>3.5</v>
      </c>
      <c r="R4" s="65"/>
      <c r="S4" s="65"/>
      <c r="T4" s="65"/>
      <c r="U4" s="65"/>
      <c r="V4" s="65"/>
      <c r="W4" s="90"/>
      <c r="X4" s="89"/>
      <c r="Y4" s="89"/>
      <c r="Z4" s="89"/>
      <c r="AA4" s="65"/>
      <c r="AB4" s="65"/>
      <c r="AC4" s="65"/>
      <c r="AD4" s="89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</row>
    <row r="5" spans="1:68" ht="20.100000000000001" customHeight="1">
      <c r="B5" s="88">
        <f>'266'!C40</f>
        <v>171.7</v>
      </c>
      <c r="C5" s="88">
        <v>2.9</v>
      </c>
      <c r="D5" s="88">
        <v>2.8</v>
      </c>
      <c r="F5" s="88">
        <f>'266'!C101</f>
        <v>161.30000000000001</v>
      </c>
      <c r="G5" s="88">
        <v>2.9</v>
      </c>
      <c r="H5" s="88">
        <v>2.8</v>
      </c>
      <c r="J5" s="88">
        <f>'266'!C126</f>
        <v>149.1</v>
      </c>
      <c r="K5" s="88">
        <v>2.9</v>
      </c>
      <c r="L5" s="88">
        <v>2.8</v>
      </c>
      <c r="N5" s="88">
        <f>'266'!C169</f>
        <v>179.4</v>
      </c>
      <c r="O5" s="60">
        <v>3.1</v>
      </c>
      <c r="P5" s="60">
        <v>3</v>
      </c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</row>
    <row r="6" spans="1:68" ht="20.100000000000001" customHeight="1">
      <c r="B6" s="88">
        <f>'266'!C41</f>
        <v>143</v>
      </c>
      <c r="C6" s="54">
        <v>2.4</v>
      </c>
      <c r="D6" s="54">
        <v>2.2999999999999998</v>
      </c>
      <c r="F6" s="88">
        <f>'266'!C102</f>
        <v>135.6</v>
      </c>
      <c r="G6" s="54">
        <v>2.4</v>
      </c>
      <c r="H6" s="54">
        <v>2.2999999999999998</v>
      </c>
      <c r="J6" s="88">
        <f>'266'!C127</f>
        <v>126</v>
      </c>
      <c r="K6" s="54">
        <v>2.4</v>
      </c>
      <c r="L6" s="54">
        <v>2.2999999999999998</v>
      </c>
      <c r="N6" s="88">
        <f>'266'!C170</f>
        <v>148.5</v>
      </c>
      <c r="O6" s="60">
        <v>2.6</v>
      </c>
      <c r="P6" s="60">
        <v>2.5</v>
      </c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</row>
    <row r="7" spans="1:68" ht="20.100000000000001" customHeight="1">
      <c r="B7" s="88">
        <f>'266'!C42</f>
        <v>117.7</v>
      </c>
      <c r="C7" s="54">
        <v>2</v>
      </c>
      <c r="D7" s="54">
        <v>1.8</v>
      </c>
      <c r="F7" s="88">
        <f>'266'!C103</f>
        <v>112.7</v>
      </c>
      <c r="G7" s="54">
        <v>2</v>
      </c>
      <c r="H7" s="54">
        <v>1.8</v>
      </c>
      <c r="J7" s="88">
        <f>'266'!C128</f>
        <v>105.4</v>
      </c>
      <c r="K7" s="54">
        <v>2</v>
      </c>
      <c r="L7" s="54">
        <v>1.8</v>
      </c>
      <c r="N7" s="88">
        <f>'266'!C171</f>
        <v>121.6</v>
      </c>
      <c r="O7" s="60">
        <v>2.2000000000000002</v>
      </c>
      <c r="P7" s="60">
        <v>2</v>
      </c>
      <c r="R7" s="65"/>
      <c r="S7" s="65"/>
      <c r="T7" s="65"/>
      <c r="U7" s="65"/>
      <c r="V7" s="65"/>
      <c r="W7" s="89"/>
      <c r="X7" s="89"/>
      <c r="Y7" s="89"/>
      <c r="Z7" s="89"/>
      <c r="AA7" s="65"/>
      <c r="AB7" s="65"/>
      <c r="AC7" s="65"/>
      <c r="AD7" s="65"/>
      <c r="AE7" s="65"/>
      <c r="AF7" s="89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</row>
    <row r="8" spans="1:68" ht="20.100000000000001" customHeight="1">
      <c r="B8" s="88">
        <f>'266'!C43</f>
        <v>95.5</v>
      </c>
      <c r="C8" s="54">
        <v>1.5</v>
      </c>
      <c r="D8" s="54">
        <v>1.3</v>
      </c>
      <c r="F8" s="88">
        <f>'266'!C104</f>
        <v>92.3</v>
      </c>
      <c r="G8" s="54">
        <v>1.5</v>
      </c>
      <c r="H8" s="54">
        <v>1.3</v>
      </c>
      <c r="J8" s="88">
        <f>'266'!C129</f>
        <v>86.7</v>
      </c>
      <c r="K8" s="54">
        <v>1.5</v>
      </c>
      <c r="L8" s="54">
        <v>1.3</v>
      </c>
      <c r="N8" s="88">
        <f>'266'!C172</f>
        <v>98.2</v>
      </c>
      <c r="O8" s="60">
        <v>1.7</v>
      </c>
      <c r="P8" s="60">
        <v>1.5</v>
      </c>
      <c r="R8" s="65"/>
      <c r="S8" s="65"/>
      <c r="T8" s="65"/>
      <c r="U8" s="65"/>
      <c r="V8" s="65"/>
      <c r="W8" s="90"/>
      <c r="X8" s="89"/>
      <c r="Y8" s="89"/>
      <c r="Z8" s="89"/>
      <c r="AA8" s="65"/>
      <c r="AB8" s="65"/>
      <c r="AC8" s="65"/>
      <c r="AD8" s="65"/>
      <c r="AE8" s="65"/>
      <c r="AF8" s="89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</row>
    <row r="9" spans="1:68" ht="20.100000000000001" customHeight="1">
      <c r="B9" s="88">
        <f>'266'!C44</f>
        <v>75.7</v>
      </c>
      <c r="C9" s="54">
        <v>1.1000000000000001</v>
      </c>
      <c r="D9" s="54">
        <v>0.8</v>
      </c>
      <c r="F9" s="88">
        <f>'266'!C105</f>
        <v>73.8</v>
      </c>
      <c r="G9" s="54">
        <v>1.1000000000000001</v>
      </c>
      <c r="H9" s="54">
        <v>0.8</v>
      </c>
      <c r="J9" s="88">
        <f>'266'!C130</f>
        <v>69.599999999999994</v>
      </c>
      <c r="K9" s="54">
        <v>1.1000000000000001</v>
      </c>
      <c r="L9" s="54">
        <v>0.8</v>
      </c>
      <c r="N9" s="88">
        <f>'266'!L181</f>
        <v>238.51098817538542</v>
      </c>
      <c r="O9" s="88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3.5823628425167127</v>
      </c>
      <c r="P9" s="88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3.6959710622963446</v>
      </c>
      <c r="R9" s="65"/>
      <c r="S9" s="65"/>
      <c r="T9" s="65"/>
      <c r="U9" s="65"/>
      <c r="V9" s="65"/>
      <c r="W9" s="90"/>
      <c r="X9" s="89"/>
      <c r="Y9" s="89"/>
      <c r="Z9" s="89"/>
      <c r="AA9" s="65"/>
      <c r="AB9" s="65"/>
      <c r="AC9" s="65"/>
      <c r="AD9" s="65"/>
      <c r="AE9" s="65"/>
      <c r="AF9" s="89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</row>
    <row r="10" spans="1:68" ht="20.100000000000001" customHeight="1">
      <c r="B10" s="88">
        <f>'266'!C45</f>
        <v>57.5</v>
      </c>
      <c r="C10" s="54">
        <v>0.6</v>
      </c>
      <c r="D10" s="54">
        <v>0.3</v>
      </c>
      <c r="F10" s="88">
        <f>'266'!C106</f>
        <v>56.4</v>
      </c>
      <c r="G10" s="54">
        <v>0.6</v>
      </c>
      <c r="H10" s="54">
        <v>0.3</v>
      </c>
      <c r="J10" s="88">
        <f>'266'!C131</f>
        <v>53.3</v>
      </c>
      <c r="K10" s="54">
        <v>0.6</v>
      </c>
      <c r="L10" s="54">
        <v>0.3</v>
      </c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</row>
    <row r="11" spans="1:68" ht="20.100000000000001" customHeight="1">
      <c r="B11" s="88">
        <f>'266'!L52</f>
        <v>238.23811079664634</v>
      </c>
      <c r="C11" s="88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3.9803918584001026</v>
      </c>
      <c r="D11" s="88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3.8215587558263389</v>
      </c>
      <c r="F11" s="88">
        <f>'266'!L113</f>
        <v>237.33867821808565</v>
      </c>
      <c r="G11" s="88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10.26305320188583</v>
      </c>
      <c r="H11" s="88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4.0779668959548223</v>
      </c>
      <c r="J11" s="88">
        <f>'266'!L138</f>
        <v>236.56988509371448</v>
      </c>
      <c r="K11" s="88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43.802369431801267</v>
      </c>
      <c r="L11" s="88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3.4229027786422748</v>
      </c>
      <c r="N11" s="54" t="s">
        <v>73</v>
      </c>
      <c r="O11" s="54"/>
      <c r="P11" s="54"/>
      <c r="R11" s="65"/>
      <c r="S11" s="65"/>
      <c r="T11" s="65"/>
      <c r="U11" s="65"/>
      <c r="V11" s="65"/>
      <c r="W11" s="65"/>
      <c r="X11" s="65"/>
      <c r="Y11" s="65"/>
      <c r="Z11" s="89"/>
      <c r="AA11" s="89"/>
      <c r="AB11" s="89"/>
      <c r="AC11" s="89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</row>
    <row r="12" spans="1:68" ht="20.100000000000001" customHeight="1">
      <c r="A12" s="91"/>
      <c r="N12" s="88">
        <f>'266'!C328</f>
        <v>0</v>
      </c>
      <c r="O12" s="88"/>
      <c r="P12" s="88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</row>
    <row r="13" spans="1:68" ht="20.100000000000001" customHeight="1">
      <c r="B13" s="54" t="s">
        <v>76</v>
      </c>
      <c r="C13" s="54"/>
      <c r="D13" s="54"/>
      <c r="F13" s="54" t="s">
        <v>77</v>
      </c>
      <c r="G13" s="54"/>
      <c r="H13" s="54"/>
      <c r="J13" s="54" t="s">
        <v>78</v>
      </c>
      <c r="K13" s="54"/>
      <c r="L13" s="54"/>
      <c r="N13" s="88">
        <f>'266'!C329</f>
        <v>0</v>
      </c>
      <c r="O13" s="88"/>
      <c r="P13" s="88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</row>
    <row r="14" spans="1:68" ht="20.100000000000001" customHeight="1">
      <c r="B14" s="54">
        <f>'266'!C44</f>
        <v>75.7</v>
      </c>
      <c r="C14" s="54">
        <v>1.1000000000000001</v>
      </c>
      <c r="D14" s="54">
        <v>0.8</v>
      </c>
      <c r="F14" s="54">
        <f>'266'!C105</f>
        <v>73.8</v>
      </c>
      <c r="G14" s="54">
        <v>1.1000000000000001</v>
      </c>
      <c r="H14" s="54">
        <v>0.8</v>
      </c>
      <c r="J14" s="54">
        <f>'266'!C130</f>
        <v>69.599999999999994</v>
      </c>
      <c r="K14" s="54">
        <v>1.1000000000000001</v>
      </c>
      <c r="L14" s="54">
        <v>0.8</v>
      </c>
      <c r="N14" s="88">
        <f>'266'!C330</f>
        <v>0</v>
      </c>
      <c r="O14" s="88"/>
      <c r="P14" s="88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</row>
    <row r="15" spans="1:68" ht="20.100000000000001" customHeight="1">
      <c r="B15" s="54">
        <f>'266'!C45</f>
        <v>57.5</v>
      </c>
      <c r="C15" s="54">
        <v>0.9</v>
      </c>
      <c r="D15" s="54">
        <v>0.6</v>
      </c>
      <c r="F15" s="54">
        <f>'266'!C106</f>
        <v>56.4</v>
      </c>
      <c r="G15" s="54">
        <v>0.9</v>
      </c>
      <c r="H15" s="54">
        <v>0.6</v>
      </c>
      <c r="J15" s="54">
        <f>'266'!C131</f>
        <v>53.3</v>
      </c>
      <c r="K15" s="54">
        <v>0.9</v>
      </c>
      <c r="L15" s="54">
        <v>0.6</v>
      </c>
      <c r="N15" s="88" t="e">
        <f>'266'!O335</f>
        <v>#DIV/0!</v>
      </c>
      <c r="O15" s="88" t="e">
        <f>O12*(N15-N13)*(N15-N14)/((N12-N13)*(N12-N14))+O13*(N15-N12)*(N15-N14)/((N13-N12)*(N13-N14))+O14*(N15-N12)*(N15-N13)/((N14-N12)*(N14-N13))</f>
        <v>#DIV/0!</v>
      </c>
      <c r="P15" s="88" t="e">
        <f>P12*(N15-N13)*(N15-N14)/((N12-N13)*(N12-N14))+P13*(N15-N12)*(N15-N14)/((N13-N12)*(N13-N14))+P14*(N15-N12)*(N15-N13)/((N14-N12)*(N14-N13))</f>
        <v>#DIV/0!</v>
      </c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</row>
    <row r="16" spans="1:68" ht="20.100000000000001" customHeight="1">
      <c r="B16" s="54">
        <f>'266'!C46</f>
        <v>39.799999999999997</v>
      </c>
      <c r="C16" s="54">
        <v>0.7</v>
      </c>
      <c r="D16" s="54">
        <v>0.4</v>
      </c>
      <c r="F16" s="54">
        <f>'266'!C107</f>
        <v>39.200000000000003</v>
      </c>
      <c r="G16" s="54">
        <v>0.7</v>
      </c>
      <c r="H16" s="54">
        <v>0.4</v>
      </c>
      <c r="J16" s="54">
        <f>'266'!C132</f>
        <v>37.1</v>
      </c>
      <c r="K16" s="54">
        <v>0.7</v>
      </c>
      <c r="L16" s="54">
        <v>0.4</v>
      </c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</row>
    <row r="17" spans="2:68" ht="20.100000000000001" customHeight="1">
      <c r="B17" s="54">
        <f>'266'!C47</f>
        <v>21.3</v>
      </c>
      <c r="C17" s="54">
        <v>0.5</v>
      </c>
      <c r="D17" s="54">
        <v>0.2</v>
      </c>
      <c r="F17" s="54">
        <f>'266'!C108</f>
        <v>21.1</v>
      </c>
      <c r="G17" s="54">
        <v>0.5</v>
      </c>
      <c r="H17" s="54">
        <v>0.2</v>
      </c>
      <c r="J17" s="54">
        <f>'266'!C133</f>
        <v>20</v>
      </c>
      <c r="K17" s="54">
        <v>0.5</v>
      </c>
      <c r="L17" s="54">
        <v>0.2</v>
      </c>
      <c r="N17" s="54" t="s">
        <v>75</v>
      </c>
      <c r="O17" s="54"/>
      <c r="P17" s="54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</row>
    <row r="18" spans="2:68" ht="20.100000000000001" customHeight="1">
      <c r="B18" s="54">
        <f>'266'!C48</f>
        <v>0</v>
      </c>
      <c r="C18" s="54">
        <v>0.3</v>
      </c>
      <c r="D18" s="54">
        <v>0</v>
      </c>
      <c r="F18" s="54">
        <f>'266'!C109</f>
        <v>0</v>
      </c>
      <c r="G18" s="54">
        <v>0.3</v>
      </c>
      <c r="H18" s="54">
        <v>0</v>
      </c>
      <c r="J18" s="54">
        <f>'266'!C134</f>
        <v>0</v>
      </c>
      <c r="K18" s="54">
        <v>0.3</v>
      </c>
      <c r="L18" s="54">
        <v>0</v>
      </c>
      <c r="N18" s="88">
        <f>'266'!C348</f>
        <v>0</v>
      </c>
      <c r="O18" s="88"/>
      <c r="P18" s="88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</row>
    <row r="19" spans="2:68" ht="20.100000000000001" customHeight="1">
      <c r="B19" s="54">
        <f>'266'!L52</f>
        <v>238.23811079664634</v>
      </c>
      <c r="C19" s="5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-8.8871888139308908E-2</v>
      </c>
      <c r="D19" s="5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-0.38887188813845341</v>
      </c>
      <c r="F19" s="54">
        <f>'266'!L113</f>
        <v>237.33867821808565</v>
      </c>
      <c r="G19" s="5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1.2334985300646224</v>
      </c>
      <c r="H19" s="5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0.93349853006532157</v>
      </c>
      <c r="J19" s="54">
        <f>'266'!L138</f>
        <v>236.56988509371448</v>
      </c>
      <c r="K19" s="5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1.360889839151838</v>
      </c>
      <c r="L19" s="5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1.0608898391509456</v>
      </c>
      <c r="N19" s="88">
        <f>'266'!C349</f>
        <v>0</v>
      </c>
      <c r="O19" s="88"/>
      <c r="P19" s="88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</row>
    <row r="20" spans="2:68" ht="20.100000000000001" customHeight="1">
      <c r="N20" s="88">
        <f>'266'!C350</f>
        <v>0</v>
      </c>
      <c r="O20" s="88"/>
      <c r="P20" s="88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</row>
    <row r="21" spans="2:68" ht="20.100000000000001" customHeight="1">
      <c r="B21" s="54" t="s">
        <v>6</v>
      </c>
      <c r="C21" s="54"/>
      <c r="D21" s="54"/>
      <c r="F21" s="54" t="s">
        <v>64</v>
      </c>
      <c r="G21" s="54"/>
      <c r="H21" s="54"/>
      <c r="J21" s="54" t="s">
        <v>65</v>
      </c>
      <c r="K21" s="54"/>
      <c r="L21" s="54"/>
      <c r="N21" s="88" t="e">
        <f>'266'!O355</f>
        <v>#DIV/0!</v>
      </c>
      <c r="O21" s="88" t="e">
        <f>O18*(N21-N19)*(N21-N20)/((N18-N19)*(N18-N20))+O19*(N21-N18)*(N21-N20)/((N19-N18)*(N19-N20))+O20*(N21-N18)*(N21-N19)/((N20-N18)*(N20-N19))</f>
        <v>#DIV/0!</v>
      </c>
      <c r="P21" s="88" t="e">
        <f>P18*(N21-N19)*(N21-N20)/((N18-N19)*(N18-N20))+P19*(N21-N18)*(N21-N20)/((N19-N18)*(N19-N20))+P20*(N21-N18)*(N21-N19)/((N20-N18)*(N20-N19))</f>
        <v>#DIV/0!</v>
      </c>
      <c r="R21" s="65"/>
      <c r="S21" s="65"/>
      <c r="T21" s="65"/>
      <c r="U21" s="65"/>
      <c r="V21" s="65"/>
      <c r="W21" s="89"/>
      <c r="X21" s="89"/>
      <c r="Y21" s="89"/>
      <c r="Z21" s="89"/>
      <c r="AA21" s="65"/>
      <c r="AB21" s="65"/>
      <c r="AC21" s="65"/>
      <c r="AD21" s="65"/>
      <c r="AE21" s="65"/>
      <c r="AF21" s="89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</row>
    <row r="22" spans="2:68" ht="20.100000000000001" customHeight="1">
      <c r="B22" s="88">
        <f>'266'!C20</f>
        <v>281.2</v>
      </c>
      <c r="C22" s="92">
        <v>3.3</v>
      </c>
      <c r="D22" s="92">
        <v>3.3</v>
      </c>
      <c r="F22" s="88">
        <f>'266'!C63</f>
        <v>264.89999999999998</v>
      </c>
      <c r="G22" s="92">
        <v>3.2</v>
      </c>
      <c r="H22" s="92">
        <v>3.2</v>
      </c>
      <c r="J22" s="88">
        <f>'266'!C81</f>
        <v>247.7</v>
      </c>
      <c r="K22" s="92">
        <v>3</v>
      </c>
      <c r="L22" s="92">
        <v>3</v>
      </c>
      <c r="R22" s="65"/>
      <c r="S22" s="65"/>
      <c r="T22" s="65"/>
      <c r="U22" s="65"/>
      <c r="V22" s="65"/>
      <c r="W22" s="90"/>
      <c r="X22" s="89"/>
      <c r="Y22" s="89"/>
      <c r="Z22" s="89"/>
      <c r="AA22" s="65"/>
      <c r="AB22" s="65"/>
      <c r="AC22" s="65"/>
      <c r="AD22" s="65"/>
      <c r="AE22" s="65"/>
      <c r="AF22" s="89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</row>
    <row r="23" spans="2:68" ht="20.100000000000001" customHeight="1">
      <c r="B23" s="88">
        <f>'266'!C21</f>
        <v>248.5</v>
      </c>
      <c r="C23" s="92">
        <v>3</v>
      </c>
      <c r="D23" s="92">
        <v>2.8</v>
      </c>
      <c r="F23" s="88">
        <f>'266'!C64</f>
        <v>235.3</v>
      </c>
      <c r="G23" s="92">
        <v>2.8</v>
      </c>
      <c r="H23" s="92">
        <v>2.7</v>
      </c>
      <c r="J23" s="88">
        <f>'266'!C82</f>
        <v>220.7</v>
      </c>
      <c r="K23" s="92">
        <v>2.6</v>
      </c>
      <c r="L23" s="92">
        <v>2.5</v>
      </c>
      <c r="N23" s="54" t="s">
        <v>74</v>
      </c>
      <c r="O23" s="54"/>
      <c r="P23" s="54"/>
      <c r="R23" s="65"/>
      <c r="S23" s="65"/>
      <c r="T23" s="65"/>
      <c r="U23" s="65"/>
      <c r="V23" s="65"/>
      <c r="W23" s="90"/>
      <c r="X23" s="89"/>
      <c r="Y23" s="89"/>
      <c r="Z23" s="89"/>
      <c r="AA23" s="65"/>
      <c r="AB23" s="65"/>
      <c r="AC23" s="65"/>
      <c r="AD23" s="65"/>
      <c r="AE23" s="65"/>
      <c r="AF23" s="89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</row>
    <row r="24" spans="2:68" ht="20.100000000000001" customHeight="1">
      <c r="B24" s="88">
        <f>'266'!C22</f>
        <v>217</v>
      </c>
      <c r="C24" s="92">
        <v>2.6</v>
      </c>
      <c r="D24" s="92">
        <v>2.2999999999999998</v>
      </c>
      <c r="F24" s="88">
        <f>'266'!C65</f>
        <v>207</v>
      </c>
      <c r="G24" s="92">
        <v>2.4</v>
      </c>
      <c r="H24" s="92">
        <v>2.1</v>
      </c>
      <c r="J24" s="88">
        <f>'266'!C83</f>
        <v>194.9</v>
      </c>
      <c r="K24" s="92">
        <v>2.2000000000000002</v>
      </c>
      <c r="L24" s="92">
        <v>1.9</v>
      </c>
      <c r="N24" s="88">
        <f>'266'!C308</f>
        <v>0</v>
      </c>
      <c r="O24" s="88"/>
      <c r="P24" s="88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</row>
    <row r="25" spans="2:68" ht="20.100000000000001" customHeight="1">
      <c r="B25" s="88">
        <f>'266'!O27</f>
        <v>240.07016640302126</v>
      </c>
      <c r="C25" s="88">
        <f>C22*(B25-B23)*(B25-B24)/((B22-B23)*(B22-B24))+C23*(B25-B22)*(B25-B24)/((B23-B22)*(B23-B24))+C24*(B25-B22)*(B25-B23)/((B24-B22)*(B24-B23))</f>
        <v>2.903629866050387</v>
      </c>
      <c r="D25" s="88">
        <f>D22*(B25-B23)*(B25-B24)/((B22-B23)*(B22-B24))+D23*(B25-B22)*(B25-B24)/((B23-B22)*(B23-B24))+D24*(B25-B22)*(B25-B23)/((B24-B22)*(B24-B23))</f>
        <v>2.6679576418130289</v>
      </c>
      <c r="F25" s="88">
        <f>'266'!O70</f>
        <v>238.89047500331699</v>
      </c>
      <c r="G25" s="88">
        <f>G22*(F25-F23)*(F25-F24)/((F22-F23)*(F22-F24))+G23*(F25-F22)*(F25-F24)/((F23-F22)*(F23-F24))+G24*(F25-F22)*(F25-F23)/((F24-F22)*(F24-F23))</f>
        <v>2.8495211558095432</v>
      </c>
      <c r="H25" s="88">
        <f>H22*(F25-F23)*(F25-F24)/((F22-F23)*(F22-F24))+H23*(F25-F22)*(F25-F24)/((F23-F22)*(F23-F24))+H24*(F25-F22)*(F25-F23)/((F24-F22)*(F24-F23))</f>
        <v>2.7676007160380269</v>
      </c>
      <c r="J25" s="88">
        <f>'266'!O88</f>
        <v>237.83974137097249</v>
      </c>
      <c r="K25" s="88">
        <f>K22*(J25-J23)*(J25-J24)/((J22-J23)*(J22-J24))+K23*(J25-J22)*(J25-J24)/((J23-J22)*(J23-J24))+K24*(J25-J22)*(J25-J23)/((J24-J22)*(J24-J23))</f>
        <v>2.8561276418850055</v>
      </c>
      <c r="L25" s="88">
        <f>L22*(J25-J23)*(J25-J24)/((J22-J23)*(J22-J24))+L23*(J25-J22)*(J25-J24)/((J23-J22)*(J23-J24))+L24*(J25-J22)*(J25-J23)/((J24-J22)*(J24-J23))</f>
        <v>2.8325657570450358</v>
      </c>
      <c r="N25" s="88">
        <f>'266'!C309</f>
        <v>0</v>
      </c>
      <c r="O25" s="88"/>
      <c r="P25" s="88"/>
      <c r="R25" s="65"/>
      <c r="S25" s="65"/>
      <c r="T25" s="65"/>
      <c r="U25" s="65"/>
      <c r="V25" s="65"/>
      <c r="W25" s="65"/>
      <c r="X25" s="65"/>
      <c r="Y25" s="65"/>
      <c r="Z25" s="89"/>
      <c r="AA25" s="89"/>
      <c r="AB25" s="89"/>
      <c r="AC25" s="89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</row>
    <row r="26" spans="2:68" ht="20.100000000000001" customHeight="1">
      <c r="N26" s="88">
        <f>'266'!C310</f>
        <v>0</v>
      </c>
      <c r="O26" s="88"/>
      <c r="P26" s="88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</row>
    <row r="27" spans="2:68" ht="20.100000000000001" customHeight="1">
      <c r="B27" s="54" t="s">
        <v>49</v>
      </c>
      <c r="C27" s="54"/>
      <c r="D27" s="54"/>
      <c r="F27" s="54" t="s">
        <v>69</v>
      </c>
      <c r="G27" s="54"/>
      <c r="H27" s="54"/>
      <c r="J27" s="54" t="s">
        <v>71</v>
      </c>
      <c r="K27" s="54"/>
      <c r="L27" s="54"/>
      <c r="N27" s="88" t="e">
        <f>'266'!O315</f>
        <v>#DIV/0!</v>
      </c>
      <c r="O27" s="88" t="e">
        <f>O24*(N27-N25)*(N27-N26)/((N24-N25)*(N24-N26))+O25*(N27-N24)*(N27-N26)/((N25-N24)*(N25-N26))+O26*(N27-N24)*(N27-N25)/((N26-N24)*(N26-N25))</f>
        <v>#DIV/0!</v>
      </c>
      <c r="P27" s="88" t="e">
        <f>P24*(N27-N25)*(N27-N26)/((N24-N25)*(N24-N26))+P25*(N27-N24)*(N27-N26)/((N25-N24)*(N25-N26))+P26*(N27-N24)*(N27-N25)/((N26-N24)*(N26-N25))</f>
        <v>#DIV/0!</v>
      </c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</row>
    <row r="28" spans="2:68" ht="20.100000000000001" customHeight="1">
      <c r="B28" s="88">
        <f>'266'!C188</f>
        <v>257</v>
      </c>
      <c r="C28" s="92">
        <v>3.8</v>
      </c>
      <c r="D28" s="92">
        <v>3.8</v>
      </c>
      <c r="F28" s="88">
        <f>'266'!C228</f>
        <v>231.1</v>
      </c>
      <c r="G28" s="92">
        <v>3.1</v>
      </c>
      <c r="H28" s="92">
        <v>3.1</v>
      </c>
      <c r="J28" s="88">
        <f>'266'!C268</f>
        <v>296.60000000000002</v>
      </c>
      <c r="K28" s="92">
        <v>3.1</v>
      </c>
      <c r="L28" s="92">
        <v>3.1</v>
      </c>
      <c r="R28" s="65"/>
      <c r="S28" s="65"/>
      <c r="T28" s="90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</row>
    <row r="29" spans="2:68" ht="20.100000000000001" customHeight="1">
      <c r="B29" s="88">
        <f>'266'!C189</f>
        <v>221.2</v>
      </c>
      <c r="C29" s="92">
        <v>3.7</v>
      </c>
      <c r="D29" s="92">
        <v>3.6</v>
      </c>
      <c r="F29" s="88">
        <f>'266'!C229</f>
        <v>198.7</v>
      </c>
      <c r="G29" s="92">
        <v>2.7</v>
      </c>
      <c r="H29" s="92">
        <v>2.5</v>
      </c>
      <c r="J29" s="88">
        <f>'266'!C269</f>
        <v>261.3</v>
      </c>
      <c r="K29" s="92">
        <v>2.8</v>
      </c>
      <c r="L29" s="92">
        <v>2.8</v>
      </c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</row>
    <row r="30" spans="2:68" ht="20.100000000000001" customHeight="1">
      <c r="B30" s="88">
        <f>'266'!C190</f>
        <v>186.9</v>
      </c>
      <c r="C30" s="92">
        <v>3.6</v>
      </c>
      <c r="D30" s="92">
        <v>3.3</v>
      </c>
      <c r="F30" s="88">
        <f>'266'!C230</f>
        <v>168.1</v>
      </c>
      <c r="G30" s="92">
        <v>2.2000000000000002</v>
      </c>
      <c r="H30" s="92">
        <v>1.8</v>
      </c>
      <c r="J30" s="88">
        <f>'266'!C270</f>
        <v>227.1</v>
      </c>
      <c r="K30" s="92">
        <v>2.5</v>
      </c>
      <c r="L30" s="92">
        <v>2.5</v>
      </c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</row>
    <row r="31" spans="2:68" ht="20.100000000000001" customHeight="1">
      <c r="B31" s="88">
        <f>'266'!O195</f>
        <v>238.96924517351701</v>
      </c>
      <c r="C31" s="88">
        <f>C28*(B31-B29)*(B31-B30)/((B28-B29)*(B28-B30))+C29*(B31-B28)*(B31-B30)/((B29-B28)*(B29-B30))+C30*(B31-B28)*(B31-B29)/((B30-B28)*(B30-B29))</f>
        <v>3.7501930776510157</v>
      </c>
      <c r="D31" s="88">
        <f>D28*(B31-B29)*(B31-B30)/((B28-B29)*(B28-B30))+D29*(B31-B28)*(B31-B30)/((B29-B28)*(B29-B30))+D30*(B31-B28)*(B31-B29)/((B30-B28)*(B30-B29))</f>
        <v>3.7137112636718048</v>
      </c>
      <c r="F31" s="88">
        <f>'266'!O235</f>
        <v>237.58203981872646</v>
      </c>
      <c r="G31" s="88">
        <f>G28*(F31-F29)*(F31-F30)/((F28-F29)*(F28-F30))+G29*(F31-F28)*(F31-F30)/((F29-F28)*(F29-F30))+G30*(F31-F28)*(F31-F29)/((F30-F28)*(F30-F29))</f>
        <v>3.1640462072943878</v>
      </c>
      <c r="H31" s="88">
        <f>H28*(F31-F29)*(F31-F30)/((F28-F29)*(F28-F30))+H29*(F31-F28)*(F31-F30)/((F29-F28)*(F29-F30))+H30*(F31-F28)*(F31-F29)/((F30-F28)*(F30-F29))</f>
        <v>3.2026061646177486</v>
      </c>
      <c r="J31" s="88">
        <f>'266'!O275</f>
        <v>240.34034065527493</v>
      </c>
      <c r="K31" s="88">
        <f>K28*(J31-J29)*(J31-J30)/((J28-J29)*(J28-J30))+K29*(J31-J28)*(J31-J30)/((J29-J28)*(J29-J30))+K30*(J31-J28)*(J31-J29)/((J30-J28)*(J30-J29))</f>
        <v>2.6172348088286572</v>
      </c>
      <c r="L31" s="88">
        <f>L28*(J31-J29)*(J31-J30)/((J28-J29)*(J28-J30))+L29*(J31-J28)*(J31-J30)/((J29-J28)*(J29-J30))+L30*(J31-J28)*(J31-J29)/((J30-J28)*(J30-J29))</f>
        <v>2.6172348088286572</v>
      </c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</row>
    <row r="32" spans="2:68" ht="20.100000000000001" customHeight="1"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</row>
    <row r="33" spans="2:68" ht="20.100000000000001" customHeight="1">
      <c r="B33" s="54" t="s">
        <v>68</v>
      </c>
      <c r="C33" s="54"/>
      <c r="D33" s="54"/>
      <c r="F33" s="54" t="s">
        <v>70</v>
      </c>
      <c r="G33" s="54"/>
      <c r="H33" s="54"/>
      <c r="J33" s="54" t="s">
        <v>72</v>
      </c>
      <c r="K33" s="54"/>
      <c r="L33" s="54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</row>
    <row r="34" spans="2:68" ht="20.100000000000001" customHeight="1">
      <c r="B34" s="88">
        <f>'266'!C208</f>
        <v>264.2</v>
      </c>
      <c r="C34" s="92">
        <v>3.8</v>
      </c>
      <c r="D34" s="92">
        <v>3.8</v>
      </c>
      <c r="F34" s="88">
        <f>'266'!C248</f>
        <v>212</v>
      </c>
      <c r="G34" s="92">
        <v>3.1</v>
      </c>
      <c r="H34" s="92">
        <v>3.1</v>
      </c>
      <c r="J34" s="88">
        <f>'266'!C288</f>
        <v>304.3</v>
      </c>
      <c r="K34" s="92">
        <v>3.1</v>
      </c>
      <c r="L34" s="92">
        <v>3.1</v>
      </c>
      <c r="R34" s="65"/>
      <c r="S34" s="89"/>
      <c r="T34" s="89"/>
      <c r="U34" s="89"/>
      <c r="V34" s="89"/>
      <c r="W34" s="89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</row>
    <row r="35" spans="2:68" ht="20.100000000000001" customHeight="1">
      <c r="B35" s="88">
        <f>'266'!C209</f>
        <v>228.5</v>
      </c>
      <c r="C35" s="92">
        <v>3.7</v>
      </c>
      <c r="D35" s="92">
        <v>3.6</v>
      </c>
      <c r="F35" s="88">
        <f>'266'!C249</f>
        <v>182.5</v>
      </c>
      <c r="G35" s="92">
        <v>2.7</v>
      </c>
      <c r="H35" s="92">
        <v>2.5</v>
      </c>
      <c r="J35" s="88">
        <f>'266'!C289</f>
        <v>269</v>
      </c>
      <c r="K35" s="92">
        <v>2.8</v>
      </c>
      <c r="L35" s="92">
        <v>2.8</v>
      </c>
      <c r="R35" s="65"/>
      <c r="S35" s="90"/>
      <c r="T35" s="89"/>
      <c r="U35" s="89"/>
      <c r="V35" s="89"/>
      <c r="W35" s="89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</row>
    <row r="36" spans="2:68" ht="20.100000000000001" customHeight="1">
      <c r="B36" s="88">
        <f>'266'!C210</f>
        <v>194.2</v>
      </c>
      <c r="C36" s="92">
        <v>3.6</v>
      </c>
      <c r="D36" s="92">
        <v>3.3</v>
      </c>
      <c r="F36" s="88">
        <f>'266'!C250</f>
        <v>155.1</v>
      </c>
      <c r="G36" s="92">
        <v>2.2000000000000002</v>
      </c>
      <c r="H36" s="92">
        <v>1.8</v>
      </c>
      <c r="J36" s="88">
        <f>'266'!C290</f>
        <v>234.9</v>
      </c>
      <c r="K36" s="92">
        <v>2.5</v>
      </c>
      <c r="L36" s="92">
        <v>2.5</v>
      </c>
      <c r="R36" s="65"/>
      <c r="S36" s="65"/>
      <c r="T36" s="65"/>
      <c r="U36" s="65"/>
      <c r="V36" s="65"/>
      <c r="W36" s="65"/>
      <c r="X36" s="65"/>
      <c r="Y36" s="65"/>
      <c r="Z36" s="89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</row>
    <row r="37" spans="2:68" ht="20.100000000000001" customHeight="1">
      <c r="B37" s="88">
        <f>'266'!O215</f>
        <v>239.29344297190309</v>
      </c>
      <c r="C37" s="88">
        <f>C34*(B37-B35)*(B37-B36)/((B34-B35)*(B34-B36))+C35*(B37-B34)*(B37-B36)/((B35-B34)*(B35-B36))+C36*(B37-B34)*(B37-B35)/((B36-B34)*(B36-B35))</f>
        <v>3.7306728114914915</v>
      </c>
      <c r="D37" s="88">
        <f>D34*(B37-B35)*(B37-B36)/((B34-B35)*(B34-B36))+D35*(B37-B34)*(B37-B36)/((B35-B34)*(B35-B36))+D36*(B37-B34)*(B37-B35)/((B36-B34)*(B36-B35))</f>
        <v>3.6725421037372192</v>
      </c>
      <c r="F37" s="88">
        <f>'266'!O255</f>
        <v>236.90582691094588</v>
      </c>
      <c r="G37" s="88">
        <f>G34*(F37-F35)*(F37-F36)/((F34-F35)*(F34-F36))+G35*(F37-F34)*(F37-F36)/((F35-F34)*(F35-F36))+G36*(F37-F34)*(F37-F35)/((F36-F34)*(F36-F35))</f>
        <v>3.3260453248388533</v>
      </c>
      <c r="H37" s="88">
        <f>H34*(F37-F35)*(F37-F36)/((F34-F35)*(F34-F36))+H35*(F37-F34)*(F37-F36)/((F35-F34)*(F35-F36))+H36*(F37-F34)*(F37-F35)/((F36-F34)*(F36-F35))</f>
        <v>3.48252436828245</v>
      </c>
      <c r="J37" s="88">
        <f>'266'!O295</f>
        <v>240.63783639852736</v>
      </c>
      <c r="K37" s="88">
        <f>K34*(J37-J35)*(J37-J36)/((J34-J35)*(J34-J36))+K35*(J37-J34)*(J37-J36)/((J35-J34)*(J35-J36))+K36*(J37-J34)*(J37-J35)/((J36-J34)*(J36-J35))</f>
        <v>2.5511807952737895</v>
      </c>
      <c r="L37" s="88">
        <f>L34*(J37-J35)*(J37-J36)/((J34-J35)*(J34-J36))+L35*(J37-J34)*(J37-J36)/((J35-J34)*(J35-J36))+L36*(J37-J34)*(J37-J35)/((J36-J34)*(J36-J35))</f>
        <v>2.5511807952737895</v>
      </c>
      <c r="R37" s="65"/>
      <c r="S37" s="65"/>
      <c r="T37" s="65"/>
      <c r="U37" s="65"/>
      <c r="V37" s="65"/>
      <c r="W37" s="65"/>
      <c r="X37" s="65"/>
      <c r="Y37" s="65"/>
      <c r="Z37" s="90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</row>
    <row r="38" spans="2:68" ht="20.100000000000001" customHeight="1">
      <c r="R38" s="65"/>
      <c r="S38" s="65"/>
      <c r="T38" s="65"/>
      <c r="U38" s="65"/>
      <c r="V38" s="65"/>
      <c r="W38" s="65"/>
      <c r="X38" s="65"/>
      <c r="Y38" s="65"/>
      <c r="Z38" s="90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</row>
    <row r="39" spans="2:68" ht="20.100000000000001" customHeight="1"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</row>
    <row r="40" spans="2:68" ht="20.100000000000001" customHeight="1">
      <c r="R40" s="65"/>
      <c r="S40" s="65"/>
      <c r="T40" s="65"/>
      <c r="U40" s="65"/>
      <c r="V40" s="65"/>
      <c r="W40" s="65"/>
      <c r="X40" s="65"/>
      <c r="Y40" s="65"/>
      <c r="Z40" s="89"/>
      <c r="AA40" s="89"/>
      <c r="AB40" s="89"/>
      <c r="AC40" s="89"/>
      <c r="AD40" s="89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</row>
    <row r="41" spans="2:68" ht="20.100000000000001" customHeight="1">
      <c r="R41" s="65"/>
      <c r="S41" s="65"/>
      <c r="T41" s="65"/>
      <c r="U41" s="65"/>
      <c r="V41" s="65"/>
      <c r="W41" s="65"/>
      <c r="X41" s="65"/>
      <c r="Y41" s="65"/>
      <c r="Z41" s="90"/>
      <c r="AA41" s="89"/>
      <c r="AB41" s="89"/>
      <c r="AC41" s="89"/>
      <c r="AD41" s="89"/>
      <c r="AE41" s="65"/>
      <c r="AF41" s="65"/>
      <c r="AG41" s="65"/>
      <c r="AH41" s="65"/>
      <c r="AI41" s="65"/>
      <c r="AJ41" s="65"/>
      <c r="AK41" s="89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</row>
    <row r="42" spans="2:68" ht="20.100000000000001" customHeight="1">
      <c r="R42" s="65"/>
      <c r="S42" s="65"/>
      <c r="T42" s="65"/>
      <c r="U42" s="65"/>
      <c r="V42" s="65"/>
      <c r="W42" s="65"/>
      <c r="X42" s="65"/>
      <c r="Y42" s="65"/>
      <c r="Z42" s="90"/>
      <c r="AA42" s="89"/>
      <c r="AB42" s="89"/>
      <c r="AC42" s="89"/>
      <c r="AD42" s="89"/>
      <c r="AE42" s="65"/>
      <c r="AF42" s="65"/>
      <c r="AG42" s="65"/>
      <c r="AH42" s="65"/>
      <c r="AI42" s="65"/>
      <c r="AJ42" s="65"/>
      <c r="AK42" s="90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</row>
    <row r="43" spans="2:68" ht="20.100000000000001" customHeight="1"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90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</row>
    <row r="44" spans="2:68" ht="20.100000000000001" customHeight="1">
      <c r="R44" s="65"/>
      <c r="S44" s="65"/>
      <c r="T44" s="65"/>
      <c r="U44" s="65"/>
      <c r="V44" s="65"/>
      <c r="W44" s="65"/>
      <c r="X44" s="65"/>
      <c r="Y44" s="65"/>
      <c r="Z44" s="89"/>
      <c r="AA44" s="89"/>
      <c r="AB44" s="89"/>
      <c r="AC44" s="89"/>
      <c r="AD44" s="89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89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</row>
    <row r="45" spans="2:68" ht="20.100000000000001" customHeight="1">
      <c r="R45" s="65"/>
      <c r="S45" s="65"/>
      <c r="T45" s="65"/>
      <c r="U45" s="65"/>
      <c r="V45" s="65"/>
      <c r="W45" s="65"/>
      <c r="X45" s="65"/>
      <c r="Y45" s="65"/>
      <c r="Z45" s="90"/>
      <c r="AA45" s="89"/>
      <c r="AB45" s="89"/>
      <c r="AC45" s="89"/>
      <c r="AD45" s="89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</row>
    <row r="46" spans="2:68" ht="20.100000000000001" customHeight="1">
      <c r="R46" s="65"/>
      <c r="S46" s="65"/>
      <c r="T46" s="65"/>
      <c r="U46" s="65"/>
      <c r="V46" s="65"/>
      <c r="W46" s="65"/>
      <c r="X46" s="65"/>
      <c r="Y46" s="65"/>
      <c r="Z46" s="90"/>
      <c r="AA46" s="89"/>
      <c r="AB46" s="89"/>
      <c r="AC46" s="89"/>
      <c r="AD46" s="89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</row>
    <row r="47" spans="2:68" ht="20.100000000000001" customHeight="1"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</row>
    <row r="48" spans="2:68" ht="20.100000000000001" customHeight="1"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</row>
    <row r="49" spans="18:68" ht="20.100000000000001" customHeight="1"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89"/>
      <c r="AL49" s="89"/>
      <c r="AM49" s="89"/>
      <c r="AN49" s="89"/>
      <c r="AO49" s="89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</row>
    <row r="50" spans="18:68" ht="20.100000000000001" customHeight="1"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90"/>
      <c r="AL50" s="89"/>
      <c r="AM50" s="89"/>
      <c r="AN50" s="89"/>
      <c r="AO50" s="89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</row>
    <row r="51" spans="18:68" ht="20.100000000000001" customHeight="1"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90"/>
      <c r="AL51" s="89"/>
      <c r="AM51" s="89"/>
      <c r="AN51" s="89"/>
      <c r="AO51" s="89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</row>
    <row r="52" spans="18:68" ht="20.100000000000001" customHeight="1"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</row>
    <row r="53" spans="18:68" ht="20.100000000000001" customHeight="1"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</row>
    <row r="54" spans="18:68" ht="20.100000000000001" customHeight="1"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</row>
    <row r="55" spans="18:68" ht="20.100000000000001" customHeight="1"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</row>
    <row r="56" spans="18:68" ht="20.100000000000001" customHeight="1"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</row>
    <row r="57" spans="18:68" ht="20.100000000000001" customHeight="1"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</row>
    <row r="58" spans="18:68" ht="20.100000000000001" customHeight="1"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</row>
    <row r="59" spans="18:68" ht="20.100000000000001" customHeight="1">
      <c r="R59" s="65"/>
      <c r="S59" s="65"/>
      <c r="T59" s="65"/>
      <c r="U59" s="65"/>
      <c r="V59" s="65"/>
      <c r="W59" s="65"/>
      <c r="X59" s="65"/>
      <c r="Y59" s="65"/>
      <c r="Z59" s="89"/>
      <c r="AA59" s="89"/>
      <c r="AB59" s="89"/>
      <c r="AC59" s="89"/>
      <c r="AD59" s="65"/>
      <c r="AE59" s="89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</row>
    <row r="60" spans="18:68" ht="20.100000000000001" customHeight="1"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89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</row>
    <row r="61" spans="18:68" ht="20.100000000000001" customHeight="1"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89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</row>
    <row r="62" spans="18:68" ht="20.100000000000001" customHeight="1"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</row>
    <row r="63" spans="18:68" ht="20.100000000000001" customHeight="1"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</row>
    <row r="64" spans="18:68" ht="20.100000000000001" customHeight="1"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</row>
    <row r="65" spans="18:68" ht="20.100000000000001" customHeight="1"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</row>
    <row r="66" spans="18:68" ht="20.100000000000001" customHeight="1"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</row>
    <row r="67" spans="18:68" ht="20.100000000000001" customHeight="1"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</row>
    <row r="68" spans="18:68" ht="20.100000000000001" customHeight="1"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</row>
    <row r="69" spans="18:68" ht="20.100000000000001" customHeight="1">
      <c r="R69" s="65"/>
      <c r="S69" s="65"/>
      <c r="T69" s="65"/>
      <c r="U69" s="65"/>
      <c r="V69" s="65"/>
      <c r="W69" s="65"/>
      <c r="X69" s="65"/>
      <c r="Y69" s="65"/>
      <c r="Z69" s="90"/>
      <c r="AA69" s="89"/>
      <c r="AB69" s="89"/>
      <c r="AC69" s="89"/>
      <c r="AD69" s="89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</row>
    <row r="70" spans="18:68" ht="20.100000000000001" customHeight="1"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</row>
    <row r="71" spans="18:68" ht="20.100000000000001" customHeight="1">
      <c r="R71" s="65"/>
      <c r="S71" s="65"/>
      <c r="T71" s="65"/>
      <c r="U71" s="65"/>
      <c r="V71" s="65"/>
      <c r="W71" s="65"/>
      <c r="X71" s="65"/>
      <c r="Y71" s="65"/>
      <c r="Z71" s="89"/>
      <c r="AA71" s="89"/>
      <c r="AB71" s="89"/>
      <c r="AC71" s="89"/>
      <c r="AD71" s="89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</row>
    <row r="72" spans="18:68" ht="20.100000000000001" customHeight="1">
      <c r="R72" s="65"/>
      <c r="S72" s="65"/>
      <c r="T72" s="65"/>
      <c r="U72" s="65"/>
      <c r="V72" s="65"/>
      <c r="W72" s="65"/>
      <c r="X72" s="65"/>
      <c r="Y72" s="65"/>
      <c r="Z72" s="90"/>
      <c r="AA72" s="89"/>
      <c r="AB72" s="89"/>
      <c r="AC72" s="89"/>
      <c r="AD72" s="89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</row>
    <row r="73" spans="18:68" ht="20.100000000000001" customHeight="1">
      <c r="R73" s="65"/>
      <c r="S73" s="65"/>
      <c r="T73" s="65"/>
      <c r="U73" s="65"/>
      <c r="V73" s="65"/>
      <c r="W73" s="65"/>
      <c r="X73" s="65"/>
      <c r="Y73" s="65"/>
      <c r="Z73" s="90"/>
      <c r="AA73" s="89"/>
      <c r="AB73" s="89"/>
      <c r="AC73" s="89"/>
      <c r="AD73" s="89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</row>
    <row r="74" spans="18:68" ht="20.100000000000001" customHeight="1"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</row>
    <row r="75" spans="18:68" ht="20.100000000000001" customHeight="1">
      <c r="R75" s="65"/>
      <c r="S75" s="65"/>
      <c r="T75" s="65"/>
      <c r="U75" s="65"/>
      <c r="V75" s="65"/>
      <c r="W75" s="65"/>
      <c r="X75" s="65"/>
      <c r="Y75" s="65"/>
      <c r="Z75" s="89"/>
      <c r="AA75" s="89"/>
      <c r="AB75" s="89"/>
      <c r="AC75" s="89"/>
      <c r="AD75" s="89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</row>
    <row r="76" spans="18:68" ht="20.100000000000001" customHeight="1">
      <c r="R76" s="65"/>
      <c r="S76" s="65"/>
      <c r="T76" s="65"/>
      <c r="U76" s="65"/>
      <c r="V76" s="65"/>
      <c r="W76" s="65"/>
      <c r="X76" s="65"/>
      <c r="Y76" s="65"/>
      <c r="Z76" s="90"/>
      <c r="AA76" s="89"/>
      <c r="AB76" s="89"/>
      <c r="AC76" s="89"/>
      <c r="AD76" s="89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</row>
    <row r="77" spans="18:68" ht="20.100000000000001" customHeight="1">
      <c r="R77" s="65"/>
      <c r="S77" s="65"/>
      <c r="T77" s="65"/>
      <c r="U77" s="65"/>
      <c r="V77" s="65"/>
      <c r="W77" s="65"/>
      <c r="X77" s="65"/>
      <c r="Y77" s="65"/>
      <c r="Z77" s="90"/>
      <c r="AA77" s="89"/>
      <c r="AB77" s="89"/>
      <c r="AC77" s="89"/>
      <c r="AD77" s="89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</row>
    <row r="78" spans="18:68" ht="20.100000000000001" customHeight="1"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</row>
    <row r="79" spans="18:68" ht="20.100000000000001" customHeight="1"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</row>
    <row r="80" spans="18:68" ht="20.100000000000001" customHeight="1"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</row>
    <row r="81" spans="18:68" ht="20.100000000000001" customHeight="1"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</row>
    <row r="82" spans="18:68" ht="20.100000000000001" customHeight="1"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</row>
    <row r="83" spans="18:68" ht="20.100000000000001" customHeight="1"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</row>
    <row r="84" spans="18:68" ht="20.100000000000001" customHeight="1"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</row>
    <row r="85" spans="18:68" ht="20.100000000000001" customHeight="1"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</row>
    <row r="86" spans="18:68" ht="20.100000000000001" customHeight="1"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</row>
    <row r="87" spans="18:68" ht="20.100000000000001" customHeight="1"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</row>
    <row r="88" spans="18:68" ht="20.100000000000001" customHeight="1"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</row>
    <row r="89" spans="18:68" ht="20.100000000000001" customHeight="1"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</row>
    <row r="90" spans="18:68" ht="20.100000000000001" customHeight="1"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</row>
    <row r="91" spans="18:68" ht="20.100000000000001" customHeight="1"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</row>
    <row r="92" spans="18:68" ht="20.100000000000001" customHeight="1"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</row>
    <row r="93" spans="18:68" ht="20.100000000000001" customHeight="1"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</row>
    <row r="94" spans="18:68" ht="20.100000000000001" customHeight="1"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</row>
    <row r="95" spans="18:68" ht="20.100000000000001" customHeight="1"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</row>
    <row r="96" spans="18:68" ht="20.100000000000001" customHeight="1"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</row>
    <row r="97" spans="18:68" ht="20.100000000000001" customHeight="1"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</row>
    <row r="98" spans="18:68" ht="20.100000000000001" customHeight="1"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</row>
    <row r="99" spans="18:68" ht="20.100000000000001" customHeight="1"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</row>
    <row r="100" spans="18:68" ht="20.100000000000001" customHeight="1"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</row>
    <row r="101" spans="18:68" ht="20.100000000000001" customHeight="1"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</row>
    <row r="102" spans="18:68" ht="20.100000000000001" customHeight="1"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</row>
    <row r="103" spans="18:68" ht="20.100000000000001" customHeight="1"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</row>
    <row r="104" spans="18:68" ht="20.100000000000001" customHeight="1"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</row>
    <row r="105" spans="18:68" ht="20.100000000000001" customHeight="1"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</row>
    <row r="106" spans="18:68" ht="20.100000000000001" customHeight="1"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</row>
    <row r="107" spans="18:68" ht="20.100000000000001" customHeight="1"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</row>
    <row r="108" spans="18:68" ht="20.100000000000001" customHeight="1"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</row>
    <row r="109" spans="18:68" ht="20.100000000000001" customHeight="1"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</row>
    <row r="110" spans="18:68" ht="20.100000000000001" customHeight="1"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</row>
    <row r="111" spans="18:68" ht="20.100000000000001" customHeight="1"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</row>
    <row r="112" spans="18:68" ht="20.100000000000001" customHeight="1"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</row>
    <row r="113" spans="18:68" ht="20.100000000000001" customHeight="1"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</row>
    <row r="114" spans="18:68" ht="20.100000000000001" customHeight="1"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</row>
    <row r="115" spans="18:68" ht="20.100000000000001" customHeight="1"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</row>
    <row r="116" spans="18:68" ht="20.100000000000001" customHeight="1"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</row>
    <row r="117" spans="18:68" ht="20.100000000000001" customHeight="1"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</row>
    <row r="118" spans="18:68" ht="20.100000000000001" customHeight="1"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</row>
    <row r="119" spans="18:68" ht="20.100000000000001" customHeight="1"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</row>
    <row r="120" spans="18:68" ht="20.100000000000001" customHeight="1"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</row>
    <row r="121" spans="18:68" ht="20.100000000000001" customHeight="1"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</row>
    <row r="122" spans="18:68" ht="20.100000000000001" customHeight="1"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</row>
    <row r="123" spans="18:68" ht="20.100000000000001" customHeight="1"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</row>
    <row r="124" spans="18:68" ht="20.100000000000001" customHeight="1"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</row>
    <row r="125" spans="18:68" ht="20.100000000000001" customHeight="1"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</row>
    <row r="126" spans="18:68" ht="20.100000000000001" customHeight="1"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</row>
    <row r="127" spans="18:68" ht="20.100000000000001" customHeight="1"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</row>
    <row r="128" spans="18:68" ht="20.100000000000001" customHeight="1"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</row>
    <row r="129" spans="18:68" ht="20.100000000000001" customHeight="1"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</row>
    <row r="130" spans="18:68" ht="20.100000000000001" customHeight="1"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</row>
    <row r="131" spans="18:68" ht="20.100000000000001" customHeight="1"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</row>
    <row r="132" spans="18:68" ht="20.100000000000001" customHeight="1"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</row>
    <row r="133" spans="18:68" ht="20.100000000000001" customHeight="1"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</row>
    <row r="134" spans="18:68" ht="20.100000000000001" customHeight="1"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</row>
    <row r="135" spans="18:68" ht="20.100000000000001" customHeight="1"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</row>
    <row r="136" spans="18:68" ht="20.100000000000001" customHeight="1"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</row>
    <row r="137" spans="18:68" ht="20.100000000000001" customHeight="1"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</row>
    <row r="138" spans="18:68" ht="20.100000000000001" customHeight="1"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</row>
    <row r="139" spans="18:68" ht="20.100000000000001" customHeight="1"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</row>
    <row r="140" spans="18:68" ht="20.100000000000001" customHeight="1"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</row>
    <row r="141" spans="18:68" ht="20.100000000000001" customHeight="1"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</row>
    <row r="142" spans="18:68" ht="20.100000000000001" customHeight="1"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</row>
    <row r="143" spans="18:68" ht="20.100000000000001" customHeight="1"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</row>
    <row r="144" spans="18:68" ht="20.100000000000001" customHeight="1"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</row>
    <row r="145" spans="18:68" ht="20.100000000000001" customHeight="1"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</row>
    <row r="146" spans="18:68" ht="20.100000000000001" customHeight="1"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</row>
    <row r="147" spans="18:68" ht="20.100000000000001" customHeight="1"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</row>
    <row r="148" spans="18:68" ht="20.100000000000001" customHeight="1"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</row>
    <row r="149" spans="18:68" ht="20.100000000000001" customHeight="1"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</row>
    <row r="150" spans="18:68" ht="20.100000000000001" customHeight="1"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</row>
    <row r="151" spans="18:68" ht="20.100000000000001" customHeight="1"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</row>
    <row r="152" spans="18:68" ht="20.100000000000001" customHeight="1"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</row>
    <row r="153" spans="18:68" ht="20.100000000000001" customHeight="1"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</row>
    <row r="154" spans="18:68" ht="20.100000000000001" customHeight="1"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</row>
    <row r="155" spans="18:68" ht="20.100000000000001" customHeight="1"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</row>
    <row r="156" spans="18:68" ht="20.100000000000001" customHeight="1"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</row>
    <row r="157" spans="18:68" ht="20.100000000000001" customHeight="1"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</row>
    <row r="158" spans="18:68" ht="20.100000000000001" customHeight="1"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</row>
    <row r="159" spans="18:68" ht="20.100000000000001" customHeight="1"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</row>
    <row r="160" spans="18:68" ht="20.100000000000001" customHeight="1"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</row>
    <row r="161" spans="18:68" ht="20.100000000000001" customHeight="1"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</row>
    <row r="162" spans="18:68" ht="20.100000000000001" customHeight="1"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</row>
    <row r="163" spans="18:68" ht="20.100000000000001" customHeight="1"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</row>
    <row r="164" spans="18:68" ht="20.100000000000001" customHeight="1"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</row>
    <row r="165" spans="18:68" ht="20.100000000000001" customHeight="1"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</row>
    <row r="166" spans="18:68" ht="20.100000000000001" customHeight="1"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</row>
    <row r="167" spans="18:68" ht="20.100000000000001" customHeight="1"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</row>
    <row r="168" spans="18:68" ht="20.100000000000001" customHeight="1"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</row>
    <row r="169" spans="18:68" ht="20.100000000000001" customHeight="1"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</row>
    <row r="170" spans="18:68" ht="20.100000000000001" customHeight="1"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</row>
    <row r="171" spans="18:68" ht="20.100000000000001" customHeight="1"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</row>
    <row r="172" spans="18:68" ht="20.100000000000001" customHeight="1"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</row>
    <row r="173" spans="18:68" ht="20.100000000000001" customHeight="1"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</row>
    <row r="174" spans="18:68" ht="20.100000000000001" customHeight="1"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</row>
    <row r="175" spans="18:68" ht="20.100000000000001" customHeight="1"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</row>
    <row r="176" spans="18:68" ht="20.100000000000001" customHeight="1"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</row>
    <row r="177" spans="18:68" ht="20.100000000000001" customHeight="1"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</row>
    <row r="178" spans="18:68" ht="20.100000000000001" customHeight="1"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</row>
    <row r="179" spans="18:68" ht="20.100000000000001" customHeight="1"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</row>
    <row r="180" spans="18:68" ht="20.100000000000001" customHeight="1"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</row>
    <row r="181" spans="18:68" ht="20.100000000000001" customHeight="1"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</row>
    <row r="182" spans="18:68" ht="20.100000000000001" customHeight="1"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</row>
    <row r="183" spans="18:68" ht="20.100000000000001" customHeight="1"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</row>
    <row r="184" spans="18:68" ht="20.100000000000001" customHeight="1"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</row>
    <row r="185" spans="18:68" ht="20.100000000000001" customHeight="1"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</row>
    <row r="186" spans="18:68" ht="20.100000000000001" customHeight="1"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</row>
    <row r="187" spans="18:68" ht="20.100000000000001" customHeight="1"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</row>
    <row r="188" spans="18:68" ht="20.100000000000001" customHeight="1"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</row>
    <row r="189" spans="18:68" ht="20.100000000000001" customHeight="1"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</row>
    <row r="190" spans="18:68" ht="20.100000000000001" customHeight="1"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</row>
    <row r="191" spans="18:68" ht="20.100000000000001" customHeight="1"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</row>
    <row r="192" spans="18:68" ht="20.100000000000001" customHeight="1"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</row>
    <row r="193" spans="18:68" ht="20.100000000000001" customHeight="1"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</row>
    <row r="194" spans="18:68" ht="20.100000000000001" customHeight="1"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</row>
    <row r="195" spans="18:68" ht="20.100000000000001" customHeight="1"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</row>
    <row r="196" spans="18:68" ht="20.100000000000001" customHeight="1"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</row>
    <row r="197" spans="18:68" ht="20.100000000000001" customHeight="1"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</row>
    <row r="198" spans="18:68" ht="20.100000000000001" customHeight="1"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</row>
    <row r="199" spans="18:68" ht="20.100000000000001" customHeight="1"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</row>
    <row r="200" spans="18:68" ht="20.100000000000001" customHeight="1"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</row>
    <row r="201" spans="18:68" ht="20.100000000000001" customHeight="1"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</row>
    <row r="202" spans="18:68" ht="20.100000000000001" customHeight="1"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</row>
    <row r="203" spans="18:68" ht="20.100000000000001" customHeight="1"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</row>
    <row r="204" spans="18:68" ht="20.100000000000001" customHeight="1"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</row>
    <row r="205" spans="18:68" ht="20.100000000000001" customHeight="1"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</row>
    <row r="206" spans="18:68" ht="20.100000000000001" customHeight="1"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</row>
    <row r="207" spans="18:68" ht="20.100000000000001" customHeight="1"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</row>
    <row r="208" spans="18:68" ht="20.100000000000001" customHeight="1"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</row>
    <row r="209" spans="18:68" ht="20.100000000000001" customHeight="1"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</row>
    <row r="210" spans="18:68" ht="20.100000000000001" customHeight="1"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</row>
    <row r="211" spans="18:68" ht="20.100000000000001" customHeight="1"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</row>
    <row r="212" spans="18:68" ht="20.100000000000001" customHeight="1"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</row>
    <row r="213" spans="18:68" ht="20.100000000000001" customHeight="1"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</row>
    <row r="214" spans="18:68" ht="20.100000000000001" customHeight="1"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</row>
    <row r="215" spans="18:68" ht="20.100000000000001" customHeight="1"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</row>
    <row r="216" spans="18:68" ht="20.100000000000001" customHeight="1"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</row>
    <row r="217" spans="18:68" ht="20.100000000000001" customHeight="1"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</row>
    <row r="218" spans="18:68" ht="20.100000000000001" customHeight="1"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</row>
    <row r="219" spans="18:68" ht="20.100000000000001" customHeight="1"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</row>
    <row r="220" spans="18:68" ht="20.100000000000001" customHeight="1"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</row>
    <row r="221" spans="18:68" ht="20.100000000000001" customHeight="1"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</row>
    <row r="222" spans="18:68" ht="20.100000000000001" customHeight="1"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</row>
    <row r="223" spans="18:68" ht="20.100000000000001" customHeight="1"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</row>
    <row r="224" spans="18:68" ht="20.100000000000001" customHeight="1"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</row>
    <row r="225" spans="18:68" ht="20.100000000000001" customHeight="1"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</row>
    <row r="226" spans="18:68" ht="20.100000000000001" customHeight="1"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</row>
    <row r="227" spans="18:68" ht="20.100000000000001" customHeight="1"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</row>
    <row r="228" spans="18:68" ht="20.100000000000001" customHeight="1"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</row>
    <row r="229" spans="18:68" ht="20.100000000000001" customHeight="1"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</row>
    <row r="230" spans="18:68" ht="20.100000000000001" customHeight="1"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</row>
    <row r="231" spans="18:68" ht="20.100000000000001" customHeight="1"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</row>
    <row r="232" spans="18:68" ht="20.100000000000001" customHeight="1"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</row>
    <row r="233" spans="18:68" ht="20.100000000000001" customHeight="1"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</row>
    <row r="234" spans="18:68" ht="20.100000000000001" customHeight="1"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</row>
    <row r="235" spans="18:68" ht="20.100000000000001" customHeight="1"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</row>
    <row r="236" spans="18:68" ht="20.100000000000001" customHeight="1"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</row>
    <row r="237" spans="18:68" ht="20.100000000000001" customHeight="1"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</row>
    <row r="238" spans="18:68" ht="20.100000000000001" customHeight="1"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</row>
    <row r="239" spans="18:68" ht="20.100000000000001" customHeight="1"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</row>
    <row r="240" spans="18:68" ht="20.100000000000001" customHeight="1"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</row>
    <row r="241" spans="18:68" ht="20.100000000000001" customHeight="1"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</row>
    <row r="242" spans="18:68" ht="20.100000000000001" customHeight="1"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</row>
    <row r="243" spans="18:68" ht="20.100000000000001" customHeight="1"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</row>
    <row r="244" spans="18:68" ht="20.100000000000001" customHeight="1"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</row>
    <row r="245" spans="18:68" ht="20.100000000000001" customHeight="1"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</row>
    <row r="246" spans="18:68" ht="20.100000000000001" customHeight="1"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</row>
    <row r="247" spans="18:68" ht="20.100000000000001" customHeight="1"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</row>
    <row r="248" spans="18:68" ht="20.100000000000001" customHeight="1"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</row>
    <row r="249" spans="18:68" ht="20.100000000000001" customHeight="1"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</row>
    <row r="250" spans="18:68" ht="20.100000000000001" customHeight="1"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</row>
    <row r="251" spans="18:68" ht="20.100000000000001" customHeight="1"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</row>
    <row r="252" spans="18:68" ht="20.100000000000001" customHeight="1"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</row>
    <row r="253" spans="18:68" ht="20.100000000000001" customHeight="1"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</row>
    <row r="254" spans="18:68" ht="20.100000000000001" customHeight="1"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</row>
    <row r="255" spans="18:68" ht="20.100000000000001" customHeight="1"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</row>
    <row r="256" spans="18:68" ht="20.100000000000001" customHeight="1"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</row>
    <row r="257" spans="18:68" ht="20.100000000000001" customHeight="1"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</row>
    <row r="258" spans="18:68" ht="20.100000000000001" customHeight="1"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</row>
    <row r="259" spans="18:68" ht="20.100000000000001" customHeight="1"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</row>
    <row r="260" spans="18:68" ht="20.100000000000001" customHeight="1"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</row>
    <row r="261" spans="18:68" ht="20.100000000000001" customHeight="1"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</row>
    <row r="262" spans="18:68" ht="20.100000000000001" customHeight="1"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</row>
    <row r="263" spans="18:68" ht="20.100000000000001" customHeight="1"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</row>
    <row r="264" spans="18:68" ht="20.100000000000001" customHeight="1"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</row>
    <row r="265" spans="18:68" ht="20.100000000000001" customHeight="1"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</row>
    <row r="266" spans="18:68" ht="20.100000000000001" customHeight="1"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</row>
    <row r="267" spans="18:68" ht="20.100000000000001" customHeight="1"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</row>
    <row r="268" spans="18:68" ht="20.100000000000001" customHeight="1"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</row>
    <row r="269" spans="18:68" ht="20.100000000000001" customHeight="1"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</row>
    <row r="270" spans="18:68" ht="20.100000000000001" customHeight="1"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</row>
    <row r="271" spans="18:68" ht="20.100000000000001" customHeight="1"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</row>
    <row r="272" spans="18:68" ht="20.100000000000001" customHeight="1"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</row>
    <row r="273" spans="18:68" ht="20.100000000000001" customHeight="1"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</row>
    <row r="274" spans="18:68" ht="20.100000000000001" customHeight="1"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</row>
    <row r="275" spans="18:68" ht="20.100000000000001" customHeight="1"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</row>
    <row r="276" spans="18:68" ht="20.100000000000001" customHeight="1"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</row>
    <row r="277" spans="18:68" ht="20.100000000000001" customHeight="1"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</row>
    <row r="278" spans="18:68" ht="20.100000000000001" customHeight="1"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</row>
    <row r="279" spans="18:68" ht="20.100000000000001" customHeight="1"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</row>
    <row r="280" spans="18:68" ht="20.100000000000001" customHeight="1"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</row>
    <row r="281" spans="18:68" ht="20.100000000000001" customHeight="1"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</row>
    <row r="282" spans="18:68" ht="20.100000000000001" customHeight="1"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</row>
    <row r="283" spans="18:68" ht="20.100000000000001" customHeight="1"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</row>
    <row r="284" spans="18:68" ht="20.100000000000001" customHeight="1"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</row>
    <row r="285" spans="18:68" ht="20.100000000000001" customHeight="1"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</row>
    <row r="286" spans="18:68" ht="20.100000000000001" customHeight="1"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</row>
    <row r="287" spans="18:68" ht="20.100000000000001" customHeight="1"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</row>
    <row r="288" spans="18:68" ht="20.100000000000001" customHeight="1"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</row>
    <row r="289" spans="18:68" ht="20.100000000000001" customHeight="1"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</row>
    <row r="290" spans="18:68" ht="20.100000000000001" customHeight="1"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</row>
    <row r="291" spans="18:68" ht="20.100000000000001" customHeight="1"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</row>
    <row r="292" spans="18:68" ht="20.100000000000001" customHeight="1"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</row>
    <row r="293" spans="18:68" ht="20.100000000000001" customHeight="1"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</row>
    <row r="294" spans="18:68" ht="20.100000000000001" customHeight="1"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</row>
    <row r="295" spans="18:68" ht="20.100000000000001" customHeight="1"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</row>
    <row r="296" spans="18:68" ht="20.100000000000001" customHeight="1"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65"/>
      <c r="BF296" s="65"/>
      <c r="BG296" s="65"/>
      <c r="BH296" s="65"/>
      <c r="BI296" s="65"/>
      <c r="BJ296" s="65"/>
      <c r="BK296" s="65"/>
      <c r="BL296" s="65"/>
      <c r="BM296" s="65"/>
      <c r="BN296" s="65"/>
      <c r="BO296" s="65"/>
      <c r="BP296" s="65"/>
    </row>
    <row r="297" spans="18:68" ht="20.100000000000001" customHeight="1"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</row>
    <row r="298" spans="18:68" ht="20.100000000000001" customHeight="1"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</row>
    <row r="299" spans="18:68" ht="20.100000000000001" customHeight="1"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</row>
    <row r="300" spans="18:68" ht="20.100000000000001" customHeight="1"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</row>
    <row r="301" spans="18:68" ht="20.100000000000001" customHeight="1"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</row>
    <row r="302" spans="18:68" ht="20.100000000000001" customHeight="1"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</row>
    <row r="303" spans="18:68" ht="20.100000000000001" customHeight="1"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</row>
    <row r="304" spans="18:68" ht="20.100000000000001" customHeight="1"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</row>
    <row r="305" spans="18:68" ht="20.100000000000001" customHeight="1"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</row>
    <row r="306" spans="18:68" ht="20.100000000000001" customHeight="1"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</row>
    <row r="307" spans="18:68" ht="20.100000000000001" customHeight="1"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</row>
    <row r="308" spans="18:68" ht="20.100000000000001" customHeight="1"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</row>
    <row r="309" spans="18:68" ht="20.100000000000001" customHeight="1"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</row>
    <row r="310" spans="18:68" ht="20.100000000000001" customHeight="1"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</row>
    <row r="311" spans="18:68" ht="20.100000000000001" customHeight="1"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</row>
  </sheetData>
  <sheetProtection sheet="1" objects="1" scenarios="1" selectLockedCells="1" selectUnlockedCell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266</v>
      </c>
      <c r="D1" s="1" t="s">
        <v>5</v>
      </c>
      <c r="E1" s="634" t="s">
        <v>50</v>
      </c>
      <c r="F1" s="634"/>
      <c r="G1" s="634"/>
      <c r="H1" s="635" t="s">
        <v>51</v>
      </c>
      <c r="I1" s="635"/>
      <c r="J1" s="635"/>
      <c r="K1" s="636" t="s">
        <v>52</v>
      </c>
      <c r="L1" s="636"/>
      <c r="M1" s="636"/>
      <c r="N1" s="637" t="s">
        <v>53</v>
      </c>
      <c r="O1" s="637"/>
      <c r="P1" s="637"/>
      <c r="Q1" s="638" t="s">
        <v>54</v>
      </c>
      <c r="R1" s="638"/>
      <c r="S1" s="638"/>
      <c r="T1" s="633" t="s">
        <v>55</v>
      </c>
      <c r="U1" s="633"/>
      <c r="V1" s="633"/>
      <c r="W1" s="639" t="s">
        <v>56</v>
      </c>
      <c r="X1" s="639"/>
      <c r="Y1" s="639"/>
      <c r="Z1" s="640" t="s">
        <v>57</v>
      </c>
      <c r="AA1" s="640"/>
      <c r="AB1" s="640"/>
      <c r="AC1" s="641" t="s">
        <v>58</v>
      </c>
      <c r="AD1" s="641"/>
      <c r="AE1" s="641"/>
      <c r="AF1" s="642" t="s">
        <v>59</v>
      </c>
      <c r="AG1" s="642"/>
      <c r="AH1" s="642"/>
      <c r="AI1" s="643" t="s">
        <v>60</v>
      </c>
      <c r="AJ1" s="643"/>
      <c r="AK1" s="643"/>
    </row>
    <row r="2" spans="1:37" ht="20.100000000000001" customHeight="1">
      <c r="A2" s="1" t="s">
        <v>122</v>
      </c>
      <c r="B2" s="2">
        <v>0</v>
      </c>
      <c r="D2" s="1"/>
      <c r="E2" s="79" t="s">
        <v>61</v>
      </c>
      <c r="F2" s="79" t="s">
        <v>62</v>
      </c>
      <c r="G2" s="79" t="s">
        <v>63</v>
      </c>
      <c r="H2" s="80" t="s">
        <v>61</v>
      </c>
      <c r="I2" s="80" t="s">
        <v>62</v>
      </c>
      <c r="J2" s="80" t="s">
        <v>63</v>
      </c>
      <c r="K2" s="81" t="s">
        <v>61</v>
      </c>
      <c r="L2" s="81" t="s">
        <v>62</v>
      </c>
      <c r="M2" s="81" t="s">
        <v>63</v>
      </c>
      <c r="N2" s="82" t="s">
        <v>61</v>
      </c>
      <c r="O2" s="82" t="s">
        <v>62</v>
      </c>
      <c r="P2" s="82" t="s">
        <v>63</v>
      </c>
      <c r="Q2" s="83" t="s">
        <v>61</v>
      </c>
      <c r="R2" s="83" t="s">
        <v>62</v>
      </c>
      <c r="S2" s="83" t="s">
        <v>63</v>
      </c>
      <c r="T2" s="78" t="s">
        <v>61</v>
      </c>
      <c r="U2" s="78" t="s">
        <v>62</v>
      </c>
      <c r="V2" s="78" t="s">
        <v>63</v>
      </c>
      <c r="W2" s="73" t="s">
        <v>61</v>
      </c>
      <c r="X2" s="73" t="s">
        <v>62</v>
      </c>
      <c r="Y2" s="73" t="s">
        <v>63</v>
      </c>
      <c r="Z2" s="74" t="s">
        <v>61</v>
      </c>
      <c r="AA2" s="74" t="s">
        <v>62</v>
      </c>
      <c r="AB2" s="74" t="s">
        <v>63</v>
      </c>
      <c r="AC2" s="75" t="s">
        <v>61</v>
      </c>
      <c r="AD2" s="75" t="s">
        <v>62</v>
      </c>
      <c r="AE2" s="75" t="s">
        <v>63</v>
      </c>
      <c r="AF2" s="76" t="s">
        <v>61</v>
      </c>
      <c r="AG2" s="76" t="s">
        <v>62</v>
      </c>
      <c r="AH2" s="76" t="s">
        <v>63</v>
      </c>
      <c r="AI2" s="77" t="s">
        <v>61</v>
      </c>
      <c r="AJ2" s="77" t="s">
        <v>62</v>
      </c>
      <c r="AK2" s="77" t="s">
        <v>63</v>
      </c>
    </row>
    <row r="3" spans="1:37" ht="20.100000000000001" customHeight="1">
      <c r="A3" s="1" t="s">
        <v>123</v>
      </c>
      <c r="B3" s="2">
        <v>0</v>
      </c>
      <c r="D3" s="15">
        <v>0</v>
      </c>
      <c r="E3" s="16">
        <f t="shared" ref="E3:T18" si="0">E4-(E$363/360)</f>
        <v>1.2896350654045818E-12</v>
      </c>
      <c r="F3" s="16">
        <f t="shared" si="0"/>
        <v>-1.6904255772942633E-12</v>
      </c>
      <c r="G3" s="16">
        <f t="shared" si="0"/>
        <v>-8.7418960958984826E-13</v>
      </c>
      <c r="H3" s="17">
        <f t="shared" si="0"/>
        <v>-8.6264329013374663E-13</v>
      </c>
      <c r="I3" s="17">
        <f t="shared" si="0"/>
        <v>7.8004269710163499E-13</v>
      </c>
      <c r="J3" s="17">
        <f t="shared" si="0"/>
        <v>1.2896350654045818E-12</v>
      </c>
      <c r="K3" s="18">
        <f t="shared" si="0"/>
        <v>1.5591972157835698E-12</v>
      </c>
      <c r="L3" s="18">
        <f t="shared" si="0"/>
        <v>-1.3835599332878701E-12</v>
      </c>
      <c r="M3" s="18">
        <f t="shared" si="0"/>
        <v>-8.6264329013374663E-13</v>
      </c>
      <c r="N3" s="19">
        <f t="shared" si="0"/>
        <v>0</v>
      </c>
      <c r="O3" s="19">
        <f t="shared" si="0"/>
        <v>1.4208634269152753E-12</v>
      </c>
      <c r="P3" s="19">
        <f t="shared" si="0"/>
        <v>1.3153922395758855E-12</v>
      </c>
      <c r="Q3" s="20">
        <f t="shared" si="0"/>
        <v>-1.3221646000260989E-12</v>
      </c>
      <c r="R3" s="20">
        <f t="shared" si="0"/>
        <v>0</v>
      </c>
      <c r="S3" s="20">
        <f t="shared" si="0"/>
        <v>1.4208634269152753E-12</v>
      </c>
      <c r="T3" s="21">
        <f t="shared" si="0"/>
        <v>-5.0515147620444623E-13</v>
      </c>
      <c r="U3" s="21">
        <f t="shared" ref="U3:AJ18" si="1">U4-(U$363/360)</f>
        <v>-1.3221646000260989E-12</v>
      </c>
      <c r="V3" s="21">
        <f t="shared" si="1"/>
        <v>0</v>
      </c>
      <c r="W3" s="22">
        <f t="shared" si="1"/>
        <v>-9.0705221111875289E-14</v>
      </c>
      <c r="X3" s="22">
        <f t="shared" si="1"/>
        <v>-5.0515147620444623E-13</v>
      </c>
      <c r="Y3" s="22">
        <f t="shared" si="1"/>
        <v>-1.3221646000260989E-12</v>
      </c>
      <c r="Z3" s="23">
        <f t="shared" si="1"/>
        <v>8.4676710088160689E-13</v>
      </c>
      <c r="AA3" s="23">
        <f t="shared" si="1"/>
        <v>-9.0705221111875289E-14</v>
      </c>
      <c r="AB3" s="23">
        <f t="shared" si="1"/>
        <v>-5.0515147620444623E-13</v>
      </c>
      <c r="AC3" s="24">
        <f t="shared" si="1"/>
        <v>-8.2589490801865395E-13</v>
      </c>
      <c r="AD3" s="24">
        <f t="shared" si="1"/>
        <v>8.4676710088160689E-13</v>
      </c>
      <c r="AE3" s="24">
        <f t="shared" si="1"/>
        <v>-9.0705221111875289E-14</v>
      </c>
      <c r="AF3" s="25">
        <f t="shared" si="1"/>
        <v>6.1406435492017408E-13</v>
      </c>
      <c r="AG3" s="25">
        <f t="shared" si="1"/>
        <v>-8.2589490801865395E-13</v>
      </c>
      <c r="AH3" s="25">
        <f t="shared" si="1"/>
        <v>8.4676710088160689E-13</v>
      </c>
      <c r="AI3" s="26">
        <f t="shared" si="1"/>
        <v>-4.7584158835434209E-13</v>
      </c>
      <c r="AJ3" s="26">
        <f t="shared" si="1"/>
        <v>6.1406435492017408E-13</v>
      </c>
      <c r="AK3" s="26">
        <f t="shared" ref="AK3:AK17" si="2">AK4-(AK$363/360)</f>
        <v>-8.2589490801865395E-13</v>
      </c>
    </row>
    <row r="4" spans="1:37" ht="20.100000000000001" customHeight="1">
      <c r="D4" s="27">
        <f>D3+0.2/72</f>
        <v>2.7777777777777779E-3</v>
      </c>
      <c r="E4" s="16">
        <f t="shared" si="0"/>
        <v>0.73888888889017856</v>
      </c>
      <c r="F4" s="16">
        <f t="shared" si="0"/>
        <v>0.76666666666497629</v>
      </c>
      <c r="G4" s="16">
        <f t="shared" si="0"/>
        <v>0.79444444444357021</v>
      </c>
      <c r="H4" s="17">
        <f t="shared" si="0"/>
        <v>0.6833333333324707</v>
      </c>
      <c r="I4" s="17">
        <f t="shared" si="0"/>
        <v>0.71111111111189118</v>
      </c>
      <c r="J4" s="17">
        <f t="shared" si="0"/>
        <v>0.73888888889017856</v>
      </c>
      <c r="K4" s="18">
        <f t="shared" si="0"/>
        <v>0.62777777777933697</v>
      </c>
      <c r="L4" s="18">
        <f t="shared" si="0"/>
        <v>0.655555555554172</v>
      </c>
      <c r="M4" s="18">
        <f t="shared" si="0"/>
        <v>0.6833333333324707</v>
      </c>
      <c r="N4" s="19">
        <f t="shared" si="0"/>
        <v>0.5</v>
      </c>
      <c r="O4" s="19">
        <f t="shared" si="0"/>
        <v>0.52777777777919865</v>
      </c>
      <c r="P4" s="19">
        <f t="shared" si="0"/>
        <v>0.55555555555687097</v>
      </c>
      <c r="Q4" s="20">
        <f t="shared" si="0"/>
        <v>0.47222222222090005</v>
      </c>
      <c r="R4" s="20">
        <f t="shared" si="0"/>
        <v>0.5</v>
      </c>
      <c r="S4" s="20">
        <f t="shared" si="0"/>
        <v>0.52777777777919865</v>
      </c>
      <c r="T4" s="21">
        <f t="shared" si="0"/>
        <v>0.44444444444393927</v>
      </c>
      <c r="U4" s="21">
        <f t="shared" si="1"/>
        <v>0.47222222222090005</v>
      </c>
      <c r="V4" s="21">
        <f t="shared" si="1"/>
        <v>0.5</v>
      </c>
      <c r="W4" s="22">
        <f t="shared" si="1"/>
        <v>0.41666666666657598</v>
      </c>
      <c r="X4" s="22">
        <f t="shared" si="1"/>
        <v>0.44444444444393927</v>
      </c>
      <c r="Y4" s="22">
        <f t="shared" si="1"/>
        <v>0.47222222222090005</v>
      </c>
      <c r="Z4" s="23">
        <f t="shared" si="1"/>
        <v>0.38888888888973566</v>
      </c>
      <c r="AA4" s="23">
        <f t="shared" si="1"/>
        <v>0.41666666666657598</v>
      </c>
      <c r="AB4" s="23">
        <f t="shared" si="1"/>
        <v>0.44444444444393927</v>
      </c>
      <c r="AC4" s="24">
        <f t="shared" si="1"/>
        <v>0.36111111111028521</v>
      </c>
      <c r="AD4" s="24">
        <f t="shared" si="1"/>
        <v>0.38888888888973566</v>
      </c>
      <c r="AE4" s="24">
        <f t="shared" si="1"/>
        <v>0.41666666666657598</v>
      </c>
      <c r="AF4" s="25">
        <f t="shared" si="1"/>
        <v>0.33333333333394738</v>
      </c>
      <c r="AG4" s="25">
        <f t="shared" si="1"/>
        <v>0.36111111111028521</v>
      </c>
      <c r="AH4" s="25">
        <f t="shared" si="1"/>
        <v>0.38888888888973566</v>
      </c>
      <c r="AI4" s="26">
        <f t="shared" si="1"/>
        <v>0.30555555555507974</v>
      </c>
      <c r="AJ4" s="26">
        <f t="shared" si="1"/>
        <v>0.33333333333394738</v>
      </c>
      <c r="AK4" s="26">
        <f t="shared" si="2"/>
        <v>0.36111111111028521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1.4777777777790675</v>
      </c>
      <c r="F5" s="16">
        <f t="shared" si="0"/>
        <v>1.533333333331643</v>
      </c>
      <c r="G5" s="16">
        <f t="shared" si="0"/>
        <v>1.5888888888880146</v>
      </c>
      <c r="H5" s="17">
        <f t="shared" si="0"/>
        <v>1.3666666666658041</v>
      </c>
      <c r="I5" s="17">
        <f t="shared" si="0"/>
        <v>1.4222222222230023</v>
      </c>
      <c r="J5" s="17">
        <f t="shared" si="0"/>
        <v>1.4777777777790675</v>
      </c>
      <c r="K5" s="18">
        <f t="shared" si="0"/>
        <v>1.2555555555571147</v>
      </c>
      <c r="L5" s="18">
        <f t="shared" si="0"/>
        <v>1.3111111111097276</v>
      </c>
      <c r="M5" s="18">
        <f t="shared" si="0"/>
        <v>1.3666666666658041</v>
      </c>
      <c r="N5" s="19">
        <f t="shared" si="0"/>
        <v>1</v>
      </c>
      <c r="O5" s="19">
        <f t="shared" si="0"/>
        <v>1.0555555555569764</v>
      </c>
      <c r="P5" s="19">
        <f t="shared" si="0"/>
        <v>1.1111111111124266</v>
      </c>
      <c r="Q5" s="20">
        <f t="shared" si="0"/>
        <v>0.94444444444312226</v>
      </c>
      <c r="R5" s="20">
        <f t="shared" si="0"/>
        <v>1</v>
      </c>
      <c r="S5" s="20">
        <f t="shared" si="0"/>
        <v>1.0555555555569764</v>
      </c>
      <c r="T5" s="21">
        <f t="shared" si="0"/>
        <v>0.88888888888838369</v>
      </c>
      <c r="U5" s="21">
        <f t="shared" si="1"/>
        <v>0.94444444444312226</v>
      </c>
      <c r="V5" s="21">
        <f t="shared" si="1"/>
        <v>1</v>
      </c>
      <c r="W5" s="22">
        <f t="shared" si="1"/>
        <v>0.83333333333324267</v>
      </c>
      <c r="X5" s="22">
        <f t="shared" si="1"/>
        <v>0.88888888888838369</v>
      </c>
      <c r="Y5" s="22">
        <f t="shared" si="1"/>
        <v>0.94444444444312226</v>
      </c>
      <c r="Z5" s="23">
        <f t="shared" si="1"/>
        <v>0.77777777777862456</v>
      </c>
      <c r="AA5" s="23">
        <f t="shared" si="1"/>
        <v>0.83333333333324267</v>
      </c>
      <c r="AB5" s="23">
        <f t="shared" si="1"/>
        <v>0.88888888888838369</v>
      </c>
      <c r="AC5" s="24">
        <f t="shared" si="1"/>
        <v>0.72222222222139631</v>
      </c>
      <c r="AD5" s="24">
        <f t="shared" si="1"/>
        <v>0.77777777777862456</v>
      </c>
      <c r="AE5" s="24">
        <f t="shared" si="1"/>
        <v>0.83333333333324267</v>
      </c>
      <c r="AF5" s="25">
        <f t="shared" si="1"/>
        <v>0.66666666666728069</v>
      </c>
      <c r="AG5" s="25">
        <f t="shared" si="1"/>
        <v>0.72222222222139631</v>
      </c>
      <c r="AH5" s="25">
        <f t="shared" si="1"/>
        <v>0.77777777777862456</v>
      </c>
      <c r="AI5" s="26">
        <f t="shared" si="1"/>
        <v>0.61111111111063532</v>
      </c>
      <c r="AJ5" s="26">
        <f t="shared" si="1"/>
        <v>0.66666666666728069</v>
      </c>
      <c r="AK5" s="26">
        <f t="shared" si="2"/>
        <v>0.72222222222139631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2.2166666666679564</v>
      </c>
      <c r="F6" s="16">
        <f t="shared" si="0"/>
        <v>2.2999999999983096</v>
      </c>
      <c r="G6" s="16">
        <f t="shared" si="0"/>
        <v>2.3833333333324589</v>
      </c>
      <c r="H6" s="17">
        <f t="shared" si="0"/>
        <v>2.0499999999991374</v>
      </c>
      <c r="I6" s="17">
        <f t="shared" si="0"/>
        <v>2.1333333333341136</v>
      </c>
      <c r="J6" s="17">
        <f t="shared" si="0"/>
        <v>2.2166666666679564</v>
      </c>
      <c r="K6" s="18">
        <f t="shared" si="0"/>
        <v>1.8833333333348925</v>
      </c>
      <c r="L6" s="18">
        <f t="shared" si="0"/>
        <v>1.966666666665283</v>
      </c>
      <c r="M6" s="18">
        <f t="shared" si="0"/>
        <v>2.0499999999991374</v>
      </c>
      <c r="N6" s="19">
        <f t="shared" si="0"/>
        <v>1.5</v>
      </c>
      <c r="O6" s="19">
        <f t="shared" si="0"/>
        <v>1.5833333333347541</v>
      </c>
      <c r="P6" s="19">
        <f t="shared" si="0"/>
        <v>1.6666666666679821</v>
      </c>
      <c r="Q6" s="20">
        <f t="shared" si="0"/>
        <v>1.4166666666653445</v>
      </c>
      <c r="R6" s="20">
        <f t="shared" si="0"/>
        <v>1.5</v>
      </c>
      <c r="S6" s="20">
        <f t="shared" si="0"/>
        <v>1.5833333333347541</v>
      </c>
      <c r="T6" s="21">
        <f t="shared" si="0"/>
        <v>1.3333333333328281</v>
      </c>
      <c r="U6" s="21">
        <f t="shared" si="1"/>
        <v>1.4166666666653445</v>
      </c>
      <c r="V6" s="21">
        <f t="shared" si="1"/>
        <v>1.5</v>
      </c>
      <c r="W6" s="22">
        <f t="shared" si="1"/>
        <v>1.2499999999999094</v>
      </c>
      <c r="X6" s="22">
        <f t="shared" si="1"/>
        <v>1.3333333333328281</v>
      </c>
      <c r="Y6" s="22">
        <f t="shared" si="1"/>
        <v>1.4166666666653445</v>
      </c>
      <c r="Z6" s="23">
        <f t="shared" si="1"/>
        <v>1.1666666666675134</v>
      </c>
      <c r="AA6" s="23">
        <f t="shared" si="1"/>
        <v>1.2499999999999094</v>
      </c>
      <c r="AB6" s="23">
        <f t="shared" si="1"/>
        <v>1.3333333333328281</v>
      </c>
      <c r="AC6" s="24">
        <f t="shared" si="1"/>
        <v>1.0833333333325075</v>
      </c>
      <c r="AD6" s="24">
        <f t="shared" si="1"/>
        <v>1.1666666666675134</v>
      </c>
      <c r="AE6" s="24">
        <f t="shared" si="1"/>
        <v>1.2499999999999094</v>
      </c>
      <c r="AF6" s="25">
        <f t="shared" si="1"/>
        <v>1.000000000000614</v>
      </c>
      <c r="AG6" s="25">
        <f t="shared" si="1"/>
        <v>1.0833333333325075</v>
      </c>
      <c r="AH6" s="25">
        <f t="shared" si="1"/>
        <v>1.1666666666675134</v>
      </c>
      <c r="AI6" s="26">
        <f t="shared" si="1"/>
        <v>0.9166666666661909</v>
      </c>
      <c r="AJ6" s="26">
        <f t="shared" si="1"/>
        <v>1.000000000000614</v>
      </c>
      <c r="AK6" s="26">
        <f t="shared" si="2"/>
        <v>1.0833333333325075</v>
      </c>
    </row>
    <row r="7" spans="1:37" ht="20.100000000000001" customHeight="1">
      <c r="D7" s="27">
        <f t="shared" si="3"/>
        <v>1.1111111111111112E-2</v>
      </c>
      <c r="E7" s="16">
        <f t="shared" si="0"/>
        <v>2.9555555555568453</v>
      </c>
      <c r="F7" s="16">
        <f t="shared" si="0"/>
        <v>3.0666666666649762</v>
      </c>
      <c r="G7" s="16">
        <f t="shared" si="0"/>
        <v>3.1777777777769032</v>
      </c>
      <c r="H7" s="17">
        <f t="shared" si="0"/>
        <v>2.733333333332471</v>
      </c>
      <c r="I7" s="17">
        <f t="shared" si="0"/>
        <v>2.8444444444452248</v>
      </c>
      <c r="J7" s="17">
        <f t="shared" si="0"/>
        <v>2.9555555555568453</v>
      </c>
      <c r="K7" s="18">
        <f t="shared" si="0"/>
        <v>2.5111111111126703</v>
      </c>
      <c r="L7" s="18">
        <f t="shared" si="0"/>
        <v>2.6222222222208385</v>
      </c>
      <c r="M7" s="18">
        <f t="shared" si="0"/>
        <v>2.733333333332471</v>
      </c>
      <c r="N7" s="19">
        <f t="shared" si="0"/>
        <v>2</v>
      </c>
      <c r="O7" s="19">
        <f t="shared" si="0"/>
        <v>2.1111111111125318</v>
      </c>
      <c r="P7" s="19">
        <f t="shared" si="0"/>
        <v>2.2222222222235377</v>
      </c>
      <c r="Q7" s="20">
        <f t="shared" si="0"/>
        <v>1.8888888888875668</v>
      </c>
      <c r="R7" s="20">
        <f t="shared" si="0"/>
        <v>2</v>
      </c>
      <c r="S7" s="20">
        <f t="shared" si="0"/>
        <v>2.1111111111125318</v>
      </c>
      <c r="T7" s="21">
        <f t="shared" si="0"/>
        <v>1.7777777777772725</v>
      </c>
      <c r="U7" s="21">
        <f t="shared" si="1"/>
        <v>1.8888888888875668</v>
      </c>
      <c r="V7" s="21">
        <f t="shared" si="1"/>
        <v>2</v>
      </c>
      <c r="W7" s="22">
        <f t="shared" si="1"/>
        <v>1.6666666666665761</v>
      </c>
      <c r="X7" s="22">
        <f t="shared" si="1"/>
        <v>1.7777777777772725</v>
      </c>
      <c r="Y7" s="22">
        <f t="shared" si="1"/>
        <v>1.8888888888875668</v>
      </c>
      <c r="Z7" s="23">
        <f t="shared" si="1"/>
        <v>1.5555555555564022</v>
      </c>
      <c r="AA7" s="23">
        <f t="shared" si="1"/>
        <v>1.6666666666665761</v>
      </c>
      <c r="AB7" s="23">
        <f t="shared" si="1"/>
        <v>1.7777777777772725</v>
      </c>
      <c r="AC7" s="24">
        <f t="shared" si="1"/>
        <v>1.4444444444436186</v>
      </c>
      <c r="AD7" s="24">
        <f t="shared" si="1"/>
        <v>1.5555555555564022</v>
      </c>
      <c r="AE7" s="24">
        <f t="shared" si="1"/>
        <v>1.6666666666665761</v>
      </c>
      <c r="AF7" s="25">
        <f t="shared" si="1"/>
        <v>1.3333333333339472</v>
      </c>
      <c r="AG7" s="25">
        <f t="shared" si="1"/>
        <v>1.4444444444436186</v>
      </c>
      <c r="AH7" s="25">
        <f t="shared" si="1"/>
        <v>1.5555555555564022</v>
      </c>
      <c r="AI7" s="26">
        <f t="shared" si="1"/>
        <v>1.2222222222217465</v>
      </c>
      <c r="AJ7" s="26">
        <f t="shared" si="1"/>
        <v>1.3333333333339472</v>
      </c>
      <c r="AK7" s="26">
        <f t="shared" si="2"/>
        <v>1.4444444444436186</v>
      </c>
    </row>
    <row r="8" spans="1:37" ht="20.100000000000001" customHeight="1">
      <c r="D8" s="27">
        <f t="shared" si="3"/>
        <v>1.388888888888889E-2</v>
      </c>
      <c r="E8" s="16">
        <f t="shared" si="0"/>
        <v>3.6944444444457343</v>
      </c>
      <c r="F8" s="16">
        <f t="shared" si="0"/>
        <v>3.8333333333316428</v>
      </c>
      <c r="G8" s="16">
        <f t="shared" si="0"/>
        <v>3.9722222222213475</v>
      </c>
      <c r="H8" s="17">
        <f t="shared" si="0"/>
        <v>3.4166666666658045</v>
      </c>
      <c r="I8" s="17">
        <f t="shared" si="0"/>
        <v>3.5555555555563361</v>
      </c>
      <c r="J8" s="17">
        <f t="shared" si="0"/>
        <v>3.6944444444457343</v>
      </c>
      <c r="K8" s="18">
        <f t="shared" si="0"/>
        <v>3.138888888890448</v>
      </c>
      <c r="L8" s="18">
        <f t="shared" si="0"/>
        <v>3.2777777777763939</v>
      </c>
      <c r="M8" s="18">
        <f t="shared" si="0"/>
        <v>3.4166666666658045</v>
      </c>
      <c r="N8" s="19">
        <f t="shared" si="0"/>
        <v>2.5</v>
      </c>
      <c r="O8" s="19">
        <f t="shared" si="0"/>
        <v>2.6388888888903095</v>
      </c>
      <c r="P8" s="19">
        <f t="shared" si="0"/>
        <v>2.7777777777790931</v>
      </c>
      <c r="Q8" s="20">
        <f t="shared" si="0"/>
        <v>2.3611111111097891</v>
      </c>
      <c r="R8" s="20">
        <f t="shared" si="0"/>
        <v>2.5</v>
      </c>
      <c r="S8" s="20">
        <f t="shared" si="0"/>
        <v>2.6388888888903095</v>
      </c>
      <c r="T8" s="21">
        <f t="shared" si="0"/>
        <v>2.2222222222217169</v>
      </c>
      <c r="U8" s="21">
        <f t="shared" si="1"/>
        <v>2.3611111111097891</v>
      </c>
      <c r="V8" s="21">
        <f t="shared" si="1"/>
        <v>2.5</v>
      </c>
      <c r="W8" s="22">
        <f t="shared" si="1"/>
        <v>2.0833333333332429</v>
      </c>
      <c r="X8" s="22">
        <f t="shared" si="1"/>
        <v>2.2222222222217169</v>
      </c>
      <c r="Y8" s="22">
        <f t="shared" si="1"/>
        <v>2.3611111111097891</v>
      </c>
      <c r="Z8" s="23">
        <f t="shared" si="1"/>
        <v>1.9444444444452911</v>
      </c>
      <c r="AA8" s="23">
        <f t="shared" si="1"/>
        <v>2.0833333333332429</v>
      </c>
      <c r="AB8" s="23">
        <f t="shared" si="1"/>
        <v>2.2222222222217169</v>
      </c>
      <c r="AC8" s="24">
        <f t="shared" si="1"/>
        <v>1.8055555555547298</v>
      </c>
      <c r="AD8" s="24">
        <f t="shared" si="1"/>
        <v>1.9444444444452911</v>
      </c>
      <c r="AE8" s="24">
        <f t="shared" si="1"/>
        <v>2.0833333333332429</v>
      </c>
      <c r="AF8" s="25">
        <f t="shared" si="1"/>
        <v>1.6666666666672805</v>
      </c>
      <c r="AG8" s="25">
        <f t="shared" si="1"/>
        <v>1.8055555555547298</v>
      </c>
      <c r="AH8" s="25">
        <f t="shared" si="1"/>
        <v>1.9444444444452911</v>
      </c>
      <c r="AI8" s="26">
        <f t="shared" si="1"/>
        <v>1.5277777777773021</v>
      </c>
      <c r="AJ8" s="26">
        <f t="shared" si="1"/>
        <v>1.6666666666672805</v>
      </c>
      <c r="AK8" s="26">
        <f t="shared" si="2"/>
        <v>1.8055555555547298</v>
      </c>
    </row>
    <row r="9" spans="1:37" ht="20.100000000000001" customHeight="1">
      <c r="D9" s="27">
        <f t="shared" si="3"/>
        <v>1.6666666666666666E-2</v>
      </c>
      <c r="E9" s="16">
        <f t="shared" si="0"/>
        <v>4.4333333333346232</v>
      </c>
      <c r="F9" s="16">
        <f t="shared" si="0"/>
        <v>4.5999999999983094</v>
      </c>
      <c r="G9" s="16">
        <f t="shared" si="0"/>
        <v>4.7666666666657918</v>
      </c>
      <c r="H9" s="17">
        <f t="shared" si="0"/>
        <v>4.0999999999991381</v>
      </c>
      <c r="I9" s="17">
        <f t="shared" si="0"/>
        <v>4.2666666666674473</v>
      </c>
      <c r="J9" s="17">
        <f t="shared" si="0"/>
        <v>4.4333333333346232</v>
      </c>
      <c r="K9" s="18">
        <f t="shared" si="0"/>
        <v>3.7666666666682258</v>
      </c>
      <c r="L9" s="18">
        <f t="shared" si="0"/>
        <v>3.9333333333319493</v>
      </c>
      <c r="M9" s="18">
        <f t="shared" si="0"/>
        <v>4.0999999999991381</v>
      </c>
      <c r="N9" s="19">
        <f t="shared" si="0"/>
        <v>3</v>
      </c>
      <c r="O9" s="19">
        <f t="shared" si="0"/>
        <v>3.1666666666680872</v>
      </c>
      <c r="P9" s="19">
        <f t="shared" si="0"/>
        <v>3.3333333333346484</v>
      </c>
      <c r="Q9" s="20">
        <f t="shared" si="0"/>
        <v>2.8333333333320114</v>
      </c>
      <c r="R9" s="20">
        <f t="shared" si="0"/>
        <v>3</v>
      </c>
      <c r="S9" s="20">
        <f t="shared" si="0"/>
        <v>3.1666666666680872</v>
      </c>
      <c r="T9" s="21">
        <f t="shared" si="0"/>
        <v>2.6666666666661616</v>
      </c>
      <c r="U9" s="21">
        <f t="shared" si="1"/>
        <v>2.8333333333320114</v>
      </c>
      <c r="V9" s="21">
        <f t="shared" si="1"/>
        <v>3</v>
      </c>
      <c r="W9" s="22">
        <f t="shared" si="1"/>
        <v>2.4999999999999094</v>
      </c>
      <c r="X9" s="22">
        <f t="shared" si="1"/>
        <v>2.6666666666661616</v>
      </c>
      <c r="Y9" s="22">
        <f t="shared" si="1"/>
        <v>2.8333333333320114</v>
      </c>
      <c r="Z9" s="23">
        <f t="shared" si="1"/>
        <v>2.3333333333341799</v>
      </c>
      <c r="AA9" s="23">
        <f t="shared" si="1"/>
        <v>2.4999999999999094</v>
      </c>
      <c r="AB9" s="23">
        <f t="shared" si="1"/>
        <v>2.6666666666661616</v>
      </c>
      <c r="AC9" s="24">
        <f t="shared" si="1"/>
        <v>2.166666666665841</v>
      </c>
      <c r="AD9" s="24">
        <f t="shared" si="1"/>
        <v>2.3333333333341799</v>
      </c>
      <c r="AE9" s="24">
        <f t="shared" si="1"/>
        <v>2.4999999999999094</v>
      </c>
      <c r="AF9" s="25">
        <f t="shared" si="1"/>
        <v>2.0000000000006137</v>
      </c>
      <c r="AG9" s="25">
        <f t="shared" si="1"/>
        <v>2.166666666665841</v>
      </c>
      <c r="AH9" s="25">
        <f t="shared" si="1"/>
        <v>2.3333333333341799</v>
      </c>
      <c r="AI9" s="26">
        <f t="shared" si="1"/>
        <v>1.8333333333328576</v>
      </c>
      <c r="AJ9" s="26">
        <f t="shared" si="1"/>
        <v>2.0000000000006137</v>
      </c>
      <c r="AK9" s="26">
        <f t="shared" si="2"/>
        <v>2.166666666665841</v>
      </c>
    </row>
    <row r="10" spans="1:37" ht="20.100000000000001" customHeight="1">
      <c r="D10" s="27">
        <f t="shared" si="3"/>
        <v>1.9444444444444445E-2</v>
      </c>
      <c r="E10" s="16">
        <f t="shared" si="0"/>
        <v>5.1722222222235121</v>
      </c>
      <c r="F10" s="16">
        <f t="shared" si="0"/>
        <v>5.366666666664976</v>
      </c>
      <c r="G10" s="16">
        <f t="shared" si="0"/>
        <v>5.561111111110236</v>
      </c>
      <c r="H10" s="17">
        <f t="shared" si="0"/>
        <v>4.7833333333324717</v>
      </c>
      <c r="I10" s="17">
        <f t="shared" si="0"/>
        <v>4.9777777777785586</v>
      </c>
      <c r="J10" s="17">
        <f t="shared" si="0"/>
        <v>5.1722222222235121</v>
      </c>
      <c r="K10" s="18">
        <f t="shared" si="0"/>
        <v>4.3944444444460036</v>
      </c>
      <c r="L10" s="18">
        <f t="shared" si="0"/>
        <v>4.5888888888875048</v>
      </c>
      <c r="M10" s="18">
        <f t="shared" si="0"/>
        <v>4.7833333333324717</v>
      </c>
      <c r="N10" s="19">
        <f t="shared" si="0"/>
        <v>3.5</v>
      </c>
      <c r="O10" s="19">
        <f t="shared" si="0"/>
        <v>3.6944444444458648</v>
      </c>
      <c r="P10" s="19">
        <f t="shared" si="0"/>
        <v>3.8888888888902038</v>
      </c>
      <c r="Q10" s="20">
        <f t="shared" si="0"/>
        <v>3.3055555555542337</v>
      </c>
      <c r="R10" s="20">
        <f t="shared" si="0"/>
        <v>3.5</v>
      </c>
      <c r="S10" s="20">
        <f t="shared" si="0"/>
        <v>3.6944444444458648</v>
      </c>
      <c r="T10" s="21">
        <f t="shared" si="0"/>
        <v>3.1111111111106062</v>
      </c>
      <c r="U10" s="21">
        <f t="shared" si="1"/>
        <v>3.3055555555542337</v>
      </c>
      <c r="V10" s="21">
        <f t="shared" si="1"/>
        <v>3.5</v>
      </c>
      <c r="W10" s="22">
        <f t="shared" si="1"/>
        <v>2.9166666666665759</v>
      </c>
      <c r="X10" s="22">
        <f t="shared" si="1"/>
        <v>3.1111111111106062</v>
      </c>
      <c r="Y10" s="22">
        <f t="shared" si="1"/>
        <v>3.3055555555542337</v>
      </c>
      <c r="Z10" s="23">
        <f t="shared" si="1"/>
        <v>2.7222222222230688</v>
      </c>
      <c r="AA10" s="23">
        <f t="shared" si="1"/>
        <v>2.9166666666665759</v>
      </c>
      <c r="AB10" s="23">
        <f t="shared" si="1"/>
        <v>3.1111111111106062</v>
      </c>
      <c r="AC10" s="24">
        <f t="shared" si="1"/>
        <v>2.5277777777769521</v>
      </c>
      <c r="AD10" s="24">
        <f t="shared" si="1"/>
        <v>2.7222222222230688</v>
      </c>
      <c r="AE10" s="24">
        <f t="shared" si="1"/>
        <v>2.9166666666665759</v>
      </c>
      <c r="AF10" s="25">
        <f t="shared" si="1"/>
        <v>2.3333333333339472</v>
      </c>
      <c r="AG10" s="25">
        <f t="shared" si="1"/>
        <v>2.5277777777769521</v>
      </c>
      <c r="AH10" s="25">
        <f t="shared" si="1"/>
        <v>2.7222222222230688</v>
      </c>
      <c r="AI10" s="26">
        <f t="shared" si="1"/>
        <v>2.1388888888884132</v>
      </c>
      <c r="AJ10" s="26">
        <f t="shared" si="1"/>
        <v>2.3333333333339472</v>
      </c>
      <c r="AK10" s="26">
        <f t="shared" si="2"/>
        <v>2.5277777777769521</v>
      </c>
    </row>
    <row r="11" spans="1:37" ht="20.100000000000001" customHeight="1">
      <c r="D11" s="27">
        <f t="shared" si="3"/>
        <v>2.2222222222222223E-2</v>
      </c>
      <c r="E11" s="16">
        <f t="shared" si="0"/>
        <v>5.9111111111124011</v>
      </c>
      <c r="F11" s="16">
        <f t="shared" si="0"/>
        <v>6.1333333333316427</v>
      </c>
      <c r="G11" s="16">
        <f t="shared" si="0"/>
        <v>6.3555555555546803</v>
      </c>
      <c r="H11" s="17">
        <f t="shared" si="0"/>
        <v>5.4666666666658053</v>
      </c>
      <c r="I11" s="17">
        <f t="shared" si="0"/>
        <v>5.6888888888896698</v>
      </c>
      <c r="J11" s="17">
        <f t="shared" si="0"/>
        <v>5.9111111111124011</v>
      </c>
      <c r="K11" s="18">
        <f t="shared" si="0"/>
        <v>5.0222222222237818</v>
      </c>
      <c r="L11" s="18">
        <f t="shared" si="0"/>
        <v>5.2444444444430607</v>
      </c>
      <c r="M11" s="18">
        <f t="shared" si="0"/>
        <v>5.4666666666658053</v>
      </c>
      <c r="N11" s="19">
        <f t="shared" si="0"/>
        <v>4</v>
      </c>
      <c r="O11" s="19">
        <f t="shared" si="0"/>
        <v>4.2222222222236425</v>
      </c>
      <c r="P11" s="19">
        <f t="shared" si="0"/>
        <v>4.4444444444457591</v>
      </c>
      <c r="Q11" s="20">
        <f t="shared" si="0"/>
        <v>3.7777777777764561</v>
      </c>
      <c r="R11" s="20">
        <f t="shared" si="0"/>
        <v>4</v>
      </c>
      <c r="S11" s="20">
        <f t="shared" si="0"/>
        <v>4.2222222222236425</v>
      </c>
      <c r="T11" s="21">
        <f t="shared" si="0"/>
        <v>3.5555555555550509</v>
      </c>
      <c r="U11" s="21">
        <f t="shared" si="1"/>
        <v>3.7777777777764561</v>
      </c>
      <c r="V11" s="21">
        <f t="shared" si="1"/>
        <v>4</v>
      </c>
      <c r="W11" s="22">
        <f t="shared" si="1"/>
        <v>3.3333333333332424</v>
      </c>
      <c r="X11" s="22">
        <f t="shared" si="1"/>
        <v>3.5555555555550509</v>
      </c>
      <c r="Y11" s="22">
        <f t="shared" si="1"/>
        <v>3.7777777777764561</v>
      </c>
      <c r="Z11" s="23">
        <f t="shared" si="1"/>
        <v>3.1111111111119576</v>
      </c>
      <c r="AA11" s="23">
        <f t="shared" si="1"/>
        <v>3.3333333333332424</v>
      </c>
      <c r="AB11" s="23">
        <f t="shared" si="1"/>
        <v>3.5555555555550509</v>
      </c>
      <c r="AC11" s="24">
        <f t="shared" si="1"/>
        <v>2.8888888888880633</v>
      </c>
      <c r="AD11" s="24">
        <f t="shared" si="1"/>
        <v>3.1111111111119576</v>
      </c>
      <c r="AE11" s="24">
        <f t="shared" si="1"/>
        <v>3.3333333333332424</v>
      </c>
      <c r="AF11" s="25">
        <f t="shared" si="1"/>
        <v>2.6666666666672807</v>
      </c>
      <c r="AG11" s="25">
        <f t="shared" si="1"/>
        <v>2.8888888888880633</v>
      </c>
      <c r="AH11" s="25">
        <f t="shared" si="1"/>
        <v>3.1111111111119576</v>
      </c>
      <c r="AI11" s="26">
        <f t="shared" si="1"/>
        <v>2.4444444444439686</v>
      </c>
      <c r="AJ11" s="26">
        <f t="shared" si="1"/>
        <v>2.6666666666672807</v>
      </c>
      <c r="AK11" s="26">
        <f t="shared" si="2"/>
        <v>2.8888888888880633</v>
      </c>
    </row>
    <row r="12" spans="1:37" ht="20.100000000000001" customHeight="1">
      <c r="D12" s="27">
        <f t="shared" si="3"/>
        <v>2.5000000000000001E-2</v>
      </c>
      <c r="E12" s="16">
        <f t="shared" si="0"/>
        <v>6.65000000000129</v>
      </c>
      <c r="F12" s="16">
        <f t="shared" si="0"/>
        <v>6.8999999999983093</v>
      </c>
      <c r="G12" s="16">
        <f t="shared" si="0"/>
        <v>7.1499999999991246</v>
      </c>
      <c r="H12" s="17">
        <f t="shared" si="0"/>
        <v>6.1499999999991388</v>
      </c>
      <c r="I12" s="17">
        <f t="shared" si="0"/>
        <v>6.4000000000007811</v>
      </c>
      <c r="J12" s="17">
        <f t="shared" si="0"/>
        <v>6.65000000000129</v>
      </c>
      <c r="K12" s="18">
        <f t="shared" si="0"/>
        <v>5.65000000000156</v>
      </c>
      <c r="L12" s="18">
        <f t="shared" si="0"/>
        <v>5.8999999999986166</v>
      </c>
      <c r="M12" s="18">
        <f t="shared" si="0"/>
        <v>6.1499999999991388</v>
      </c>
      <c r="N12" s="19">
        <f t="shared" si="0"/>
        <v>4.5</v>
      </c>
      <c r="O12" s="19">
        <f t="shared" si="0"/>
        <v>4.7500000000014202</v>
      </c>
      <c r="P12" s="19">
        <f t="shared" si="0"/>
        <v>5.0000000000013145</v>
      </c>
      <c r="Q12" s="20">
        <f t="shared" si="0"/>
        <v>4.2499999999986784</v>
      </c>
      <c r="R12" s="20">
        <f t="shared" si="0"/>
        <v>4.5</v>
      </c>
      <c r="S12" s="20">
        <f t="shared" si="0"/>
        <v>4.7500000000014202</v>
      </c>
      <c r="T12" s="21">
        <f t="shared" si="0"/>
        <v>3.9999999999994955</v>
      </c>
      <c r="U12" s="21">
        <f t="shared" si="1"/>
        <v>4.2499999999986784</v>
      </c>
      <c r="V12" s="21">
        <f t="shared" si="1"/>
        <v>4.5</v>
      </c>
      <c r="W12" s="22">
        <f t="shared" si="1"/>
        <v>3.749999999999909</v>
      </c>
      <c r="X12" s="22">
        <f t="shared" si="1"/>
        <v>3.9999999999994955</v>
      </c>
      <c r="Y12" s="22">
        <f t="shared" si="1"/>
        <v>4.2499999999986784</v>
      </c>
      <c r="Z12" s="23">
        <f t="shared" si="1"/>
        <v>3.5000000000008464</v>
      </c>
      <c r="AA12" s="23">
        <f t="shared" si="1"/>
        <v>3.749999999999909</v>
      </c>
      <c r="AB12" s="23">
        <f t="shared" si="1"/>
        <v>3.9999999999994955</v>
      </c>
      <c r="AC12" s="24">
        <f t="shared" si="1"/>
        <v>3.2499999999991744</v>
      </c>
      <c r="AD12" s="24">
        <f t="shared" si="1"/>
        <v>3.5000000000008464</v>
      </c>
      <c r="AE12" s="24">
        <f t="shared" si="1"/>
        <v>3.749999999999909</v>
      </c>
      <c r="AF12" s="25">
        <f t="shared" si="1"/>
        <v>3.0000000000006142</v>
      </c>
      <c r="AG12" s="25">
        <f t="shared" si="1"/>
        <v>3.2499999999991744</v>
      </c>
      <c r="AH12" s="25">
        <f t="shared" si="1"/>
        <v>3.5000000000008464</v>
      </c>
      <c r="AI12" s="26">
        <f t="shared" si="1"/>
        <v>2.7499999999995239</v>
      </c>
      <c r="AJ12" s="26">
        <f t="shared" si="1"/>
        <v>3.0000000000006142</v>
      </c>
      <c r="AK12" s="26">
        <f t="shared" si="2"/>
        <v>3.2499999999991744</v>
      </c>
    </row>
    <row r="13" spans="1:37" ht="20.100000000000001" customHeight="1">
      <c r="D13" s="27">
        <f t="shared" si="3"/>
        <v>2.777777777777778E-2</v>
      </c>
      <c r="E13" s="16">
        <f t="shared" si="0"/>
        <v>7.3888888888901789</v>
      </c>
      <c r="F13" s="16">
        <f t="shared" si="0"/>
        <v>7.6666666666649759</v>
      </c>
      <c r="G13" s="16">
        <f t="shared" si="0"/>
        <v>7.9444444444435689</v>
      </c>
      <c r="H13" s="17">
        <f t="shared" si="0"/>
        <v>6.8333333333324724</v>
      </c>
      <c r="I13" s="17">
        <f t="shared" si="0"/>
        <v>7.1111111111118923</v>
      </c>
      <c r="J13" s="17">
        <f t="shared" si="0"/>
        <v>7.3888888888901789</v>
      </c>
      <c r="K13" s="18">
        <f t="shared" si="0"/>
        <v>6.2777777777793382</v>
      </c>
      <c r="L13" s="18">
        <f t="shared" si="0"/>
        <v>6.5555555555541725</v>
      </c>
      <c r="M13" s="18">
        <f t="shared" si="0"/>
        <v>6.8333333333324724</v>
      </c>
      <c r="N13" s="19">
        <f t="shared" si="0"/>
        <v>5</v>
      </c>
      <c r="O13" s="19">
        <f t="shared" si="0"/>
        <v>5.2777777777791979</v>
      </c>
      <c r="P13" s="19">
        <f t="shared" si="0"/>
        <v>5.5555555555568699</v>
      </c>
      <c r="Q13" s="20">
        <f t="shared" si="0"/>
        <v>4.7222222222209007</v>
      </c>
      <c r="R13" s="20">
        <f t="shared" si="0"/>
        <v>5</v>
      </c>
      <c r="S13" s="20">
        <f t="shared" si="0"/>
        <v>5.2777777777791979</v>
      </c>
      <c r="T13" s="21">
        <f t="shared" si="0"/>
        <v>4.4444444444439402</v>
      </c>
      <c r="U13" s="21">
        <f t="shared" si="1"/>
        <v>4.7222222222209007</v>
      </c>
      <c r="V13" s="21">
        <f t="shared" si="1"/>
        <v>5</v>
      </c>
      <c r="W13" s="22">
        <f t="shared" si="1"/>
        <v>4.1666666666665755</v>
      </c>
      <c r="X13" s="22">
        <f t="shared" si="1"/>
        <v>4.4444444444439402</v>
      </c>
      <c r="Y13" s="22">
        <f t="shared" si="1"/>
        <v>4.7222222222209007</v>
      </c>
      <c r="Z13" s="23">
        <f t="shared" si="1"/>
        <v>3.8888888888897353</v>
      </c>
      <c r="AA13" s="23">
        <f t="shared" si="1"/>
        <v>4.1666666666665755</v>
      </c>
      <c r="AB13" s="23">
        <f t="shared" si="1"/>
        <v>4.4444444444439402</v>
      </c>
      <c r="AC13" s="24">
        <f t="shared" si="1"/>
        <v>3.6111111111102856</v>
      </c>
      <c r="AD13" s="24">
        <f t="shared" si="1"/>
        <v>3.8888888888897353</v>
      </c>
      <c r="AE13" s="24">
        <f t="shared" si="1"/>
        <v>4.1666666666665755</v>
      </c>
      <c r="AF13" s="25">
        <f t="shared" si="1"/>
        <v>3.3333333333339477</v>
      </c>
      <c r="AG13" s="25">
        <f t="shared" si="1"/>
        <v>3.6111111111102856</v>
      </c>
      <c r="AH13" s="25">
        <f t="shared" si="1"/>
        <v>3.8888888888897353</v>
      </c>
      <c r="AI13" s="26">
        <f t="shared" si="1"/>
        <v>3.0555555555550793</v>
      </c>
      <c r="AJ13" s="26">
        <f t="shared" si="1"/>
        <v>3.3333333333339477</v>
      </c>
      <c r="AK13" s="26">
        <f t="shared" si="2"/>
        <v>3.6111111111102856</v>
      </c>
    </row>
    <row r="14" spans="1:37" ht="20.100000000000001" customHeight="1">
      <c r="D14" s="27">
        <f t="shared" si="3"/>
        <v>3.0555555555555558E-2</v>
      </c>
      <c r="E14" s="16">
        <f t="shared" si="0"/>
        <v>8.1277777777790678</v>
      </c>
      <c r="F14" s="16">
        <f t="shared" si="0"/>
        <v>8.4333333333316425</v>
      </c>
      <c r="G14" s="16">
        <f t="shared" si="0"/>
        <v>8.7388888888880132</v>
      </c>
      <c r="H14" s="17">
        <f t="shared" si="0"/>
        <v>7.516666666665806</v>
      </c>
      <c r="I14" s="17">
        <f t="shared" si="0"/>
        <v>7.8222222222230036</v>
      </c>
      <c r="J14" s="17">
        <f t="shared" si="0"/>
        <v>8.1277777777790678</v>
      </c>
      <c r="K14" s="18">
        <f t="shared" si="0"/>
        <v>6.9055555555571164</v>
      </c>
      <c r="L14" s="18">
        <f t="shared" si="0"/>
        <v>7.2111111111097284</v>
      </c>
      <c r="M14" s="18">
        <f t="shared" si="0"/>
        <v>7.516666666665806</v>
      </c>
      <c r="N14" s="19">
        <f t="shared" si="0"/>
        <v>5.5</v>
      </c>
      <c r="O14" s="19">
        <f t="shared" si="0"/>
        <v>5.8055555555569756</v>
      </c>
      <c r="P14" s="19">
        <f t="shared" si="0"/>
        <v>6.1111111111124252</v>
      </c>
      <c r="Q14" s="20">
        <f t="shared" si="0"/>
        <v>5.194444444443123</v>
      </c>
      <c r="R14" s="20">
        <f t="shared" si="0"/>
        <v>5.5</v>
      </c>
      <c r="S14" s="20">
        <f t="shared" si="0"/>
        <v>5.8055555555569756</v>
      </c>
      <c r="T14" s="21">
        <f t="shared" si="0"/>
        <v>4.8888888888883848</v>
      </c>
      <c r="U14" s="21">
        <f t="shared" si="1"/>
        <v>5.194444444443123</v>
      </c>
      <c r="V14" s="21">
        <f t="shared" si="1"/>
        <v>5.5</v>
      </c>
      <c r="W14" s="22">
        <f t="shared" si="1"/>
        <v>4.5833333333332424</v>
      </c>
      <c r="X14" s="22">
        <f t="shared" si="1"/>
        <v>4.8888888888883848</v>
      </c>
      <c r="Y14" s="22">
        <f t="shared" si="1"/>
        <v>5.194444444443123</v>
      </c>
      <c r="Z14" s="23">
        <f t="shared" si="1"/>
        <v>4.2777777777786241</v>
      </c>
      <c r="AA14" s="23">
        <f t="shared" si="1"/>
        <v>4.5833333333332424</v>
      </c>
      <c r="AB14" s="23">
        <f t="shared" si="1"/>
        <v>4.8888888888883848</v>
      </c>
      <c r="AC14" s="24">
        <f t="shared" si="1"/>
        <v>3.9722222222213968</v>
      </c>
      <c r="AD14" s="24">
        <f t="shared" si="1"/>
        <v>4.2777777777786241</v>
      </c>
      <c r="AE14" s="24">
        <f t="shared" si="1"/>
        <v>4.5833333333332424</v>
      </c>
      <c r="AF14" s="25">
        <f t="shared" si="1"/>
        <v>3.6666666666672811</v>
      </c>
      <c r="AG14" s="25">
        <f t="shared" si="1"/>
        <v>3.9722222222213968</v>
      </c>
      <c r="AH14" s="25">
        <f t="shared" si="1"/>
        <v>4.2777777777786241</v>
      </c>
      <c r="AI14" s="26">
        <f t="shared" si="1"/>
        <v>3.3611111111106347</v>
      </c>
      <c r="AJ14" s="26">
        <f t="shared" si="1"/>
        <v>3.6666666666672811</v>
      </c>
      <c r="AK14" s="26">
        <f t="shared" si="2"/>
        <v>3.9722222222213968</v>
      </c>
    </row>
    <row r="15" spans="1:37" ht="20.100000000000001" customHeight="1">
      <c r="D15" s="27">
        <f t="shared" si="3"/>
        <v>3.3333333333333333E-2</v>
      </c>
      <c r="E15" s="16">
        <f t="shared" si="0"/>
        <v>8.8666666666679568</v>
      </c>
      <c r="F15" s="16">
        <f t="shared" si="0"/>
        <v>9.19999999999831</v>
      </c>
      <c r="G15" s="16">
        <f t="shared" si="0"/>
        <v>9.5333333333324575</v>
      </c>
      <c r="H15" s="17">
        <f t="shared" si="0"/>
        <v>8.1999999999991395</v>
      </c>
      <c r="I15" s="17">
        <f t="shared" si="0"/>
        <v>8.5333333333341148</v>
      </c>
      <c r="J15" s="17">
        <f t="shared" si="0"/>
        <v>8.8666666666679568</v>
      </c>
      <c r="K15" s="18">
        <f t="shared" si="0"/>
        <v>7.5333333333348946</v>
      </c>
      <c r="L15" s="18">
        <f t="shared" si="0"/>
        <v>7.8666666666652842</v>
      </c>
      <c r="M15" s="18">
        <f t="shared" si="0"/>
        <v>8.1999999999991395</v>
      </c>
      <c r="N15" s="19">
        <f t="shared" si="0"/>
        <v>6</v>
      </c>
      <c r="O15" s="19">
        <f t="shared" si="0"/>
        <v>6.3333333333347532</v>
      </c>
      <c r="P15" s="19">
        <f t="shared" si="0"/>
        <v>6.6666666666679806</v>
      </c>
      <c r="Q15" s="20">
        <f t="shared" si="0"/>
        <v>5.6666666666653454</v>
      </c>
      <c r="R15" s="20">
        <f t="shared" si="0"/>
        <v>6</v>
      </c>
      <c r="S15" s="20">
        <f t="shared" si="0"/>
        <v>6.3333333333347532</v>
      </c>
      <c r="T15" s="21">
        <f t="shared" si="0"/>
        <v>5.3333333333328294</v>
      </c>
      <c r="U15" s="21">
        <f t="shared" si="1"/>
        <v>5.6666666666653454</v>
      </c>
      <c r="V15" s="21">
        <f t="shared" si="1"/>
        <v>6</v>
      </c>
      <c r="W15" s="22">
        <f t="shared" si="1"/>
        <v>4.9999999999999094</v>
      </c>
      <c r="X15" s="22">
        <f t="shared" si="1"/>
        <v>5.3333333333328294</v>
      </c>
      <c r="Y15" s="22">
        <f t="shared" si="1"/>
        <v>5.6666666666653454</v>
      </c>
      <c r="Z15" s="23">
        <f t="shared" si="1"/>
        <v>4.6666666666675134</v>
      </c>
      <c r="AA15" s="23">
        <f t="shared" si="1"/>
        <v>4.9999999999999094</v>
      </c>
      <c r="AB15" s="23">
        <f t="shared" si="1"/>
        <v>5.3333333333328294</v>
      </c>
      <c r="AC15" s="24">
        <f t="shared" si="1"/>
        <v>4.3333333333325079</v>
      </c>
      <c r="AD15" s="24">
        <f t="shared" si="1"/>
        <v>4.6666666666675134</v>
      </c>
      <c r="AE15" s="24">
        <f t="shared" si="1"/>
        <v>4.9999999999999094</v>
      </c>
      <c r="AF15" s="25">
        <f t="shared" si="1"/>
        <v>4.0000000000006146</v>
      </c>
      <c r="AG15" s="25">
        <f t="shared" si="1"/>
        <v>4.3333333333325079</v>
      </c>
      <c r="AH15" s="25">
        <f t="shared" si="1"/>
        <v>4.6666666666675134</v>
      </c>
      <c r="AI15" s="26">
        <f t="shared" si="1"/>
        <v>3.66666666666619</v>
      </c>
      <c r="AJ15" s="26">
        <f t="shared" si="1"/>
        <v>4.0000000000006146</v>
      </c>
      <c r="AK15" s="26">
        <f t="shared" si="2"/>
        <v>4.3333333333325079</v>
      </c>
    </row>
    <row r="16" spans="1:37" ht="20.100000000000001" customHeight="1">
      <c r="D16" s="27">
        <f t="shared" si="3"/>
        <v>3.6111111111111108E-2</v>
      </c>
      <c r="E16" s="16">
        <f t="shared" si="0"/>
        <v>9.6055555555568457</v>
      </c>
      <c r="F16" s="16">
        <f t="shared" si="0"/>
        <v>9.9666666666649775</v>
      </c>
      <c r="G16" s="16">
        <f t="shared" si="0"/>
        <v>10.327777777776902</v>
      </c>
      <c r="H16" s="17">
        <f t="shared" si="0"/>
        <v>8.8833333333324731</v>
      </c>
      <c r="I16" s="17">
        <f t="shared" si="0"/>
        <v>9.2444444444452252</v>
      </c>
      <c r="J16" s="17">
        <f t="shared" si="0"/>
        <v>9.6055555555568457</v>
      </c>
      <c r="K16" s="18">
        <f t="shared" si="0"/>
        <v>8.1611111111126728</v>
      </c>
      <c r="L16" s="18">
        <f t="shared" si="0"/>
        <v>8.5222222222208401</v>
      </c>
      <c r="M16" s="18">
        <f t="shared" si="0"/>
        <v>8.8833333333324731</v>
      </c>
      <c r="N16" s="19">
        <f t="shared" si="0"/>
        <v>6.5</v>
      </c>
      <c r="O16" s="19">
        <f t="shared" si="0"/>
        <v>6.8611111111125309</v>
      </c>
      <c r="P16" s="19">
        <f t="shared" si="0"/>
        <v>7.2222222222235359</v>
      </c>
      <c r="Q16" s="20">
        <f t="shared" si="0"/>
        <v>6.1388888888875677</v>
      </c>
      <c r="R16" s="20">
        <f t="shared" si="0"/>
        <v>6.5</v>
      </c>
      <c r="S16" s="20">
        <f t="shared" si="0"/>
        <v>6.8611111111125309</v>
      </c>
      <c r="T16" s="21">
        <f t="shared" si="0"/>
        <v>5.7777777777772741</v>
      </c>
      <c r="U16" s="21">
        <f t="shared" si="1"/>
        <v>6.1388888888875677</v>
      </c>
      <c r="V16" s="21">
        <f t="shared" si="1"/>
        <v>6.5</v>
      </c>
      <c r="W16" s="22">
        <f t="shared" si="1"/>
        <v>5.4166666666665764</v>
      </c>
      <c r="X16" s="22">
        <f t="shared" si="1"/>
        <v>5.7777777777772741</v>
      </c>
      <c r="Y16" s="22">
        <f t="shared" si="1"/>
        <v>6.1388888888875677</v>
      </c>
      <c r="Z16" s="23">
        <f t="shared" si="1"/>
        <v>5.0555555555564027</v>
      </c>
      <c r="AA16" s="23">
        <f t="shared" si="1"/>
        <v>5.4166666666665764</v>
      </c>
      <c r="AB16" s="23">
        <f t="shared" si="1"/>
        <v>5.7777777777772741</v>
      </c>
      <c r="AC16" s="24">
        <f t="shared" si="1"/>
        <v>4.6944444444436186</v>
      </c>
      <c r="AD16" s="24">
        <f t="shared" si="1"/>
        <v>5.0555555555564027</v>
      </c>
      <c r="AE16" s="24">
        <f t="shared" si="1"/>
        <v>5.4166666666665764</v>
      </c>
      <c r="AF16" s="25">
        <f t="shared" si="1"/>
        <v>4.3333333333339477</v>
      </c>
      <c r="AG16" s="25">
        <f t="shared" si="1"/>
        <v>4.6944444444436186</v>
      </c>
      <c r="AH16" s="25">
        <f t="shared" si="1"/>
        <v>5.0555555555564027</v>
      </c>
      <c r="AI16" s="26">
        <f t="shared" si="1"/>
        <v>3.9722222222217454</v>
      </c>
      <c r="AJ16" s="26">
        <f t="shared" si="1"/>
        <v>4.3333333333339477</v>
      </c>
      <c r="AK16" s="26">
        <f t="shared" si="2"/>
        <v>4.6944444444436186</v>
      </c>
    </row>
    <row r="17" spans="4:37" ht="20.100000000000001" customHeight="1">
      <c r="D17" s="27">
        <f t="shared" si="3"/>
        <v>3.8888888888888883E-2</v>
      </c>
      <c r="E17" s="16">
        <f t="shared" si="0"/>
        <v>10.344444444445735</v>
      </c>
      <c r="F17" s="16">
        <f t="shared" si="0"/>
        <v>10.733333333331645</v>
      </c>
      <c r="G17" s="16">
        <f t="shared" si="0"/>
        <v>11.122222222221346</v>
      </c>
      <c r="H17" s="17">
        <f t="shared" si="0"/>
        <v>9.5666666666658067</v>
      </c>
      <c r="I17" s="17">
        <f t="shared" si="0"/>
        <v>9.9555555555563355</v>
      </c>
      <c r="J17" s="17">
        <f t="shared" si="0"/>
        <v>10.344444444445735</v>
      </c>
      <c r="K17" s="18">
        <f t="shared" si="0"/>
        <v>8.7888888888904511</v>
      </c>
      <c r="L17" s="18">
        <f t="shared" si="0"/>
        <v>9.1777777777763951</v>
      </c>
      <c r="M17" s="18">
        <f t="shared" si="0"/>
        <v>9.5666666666658067</v>
      </c>
      <c r="N17" s="19">
        <f t="shared" si="0"/>
        <v>7</v>
      </c>
      <c r="O17" s="19">
        <f t="shared" si="0"/>
        <v>7.3888888888903086</v>
      </c>
      <c r="P17" s="19">
        <f t="shared" si="0"/>
        <v>7.7777777777790913</v>
      </c>
      <c r="Q17" s="20">
        <f t="shared" si="0"/>
        <v>6.61111111110979</v>
      </c>
      <c r="R17" s="20">
        <f t="shared" si="0"/>
        <v>7</v>
      </c>
      <c r="S17" s="20">
        <f t="shared" si="0"/>
        <v>7.3888888888903086</v>
      </c>
      <c r="T17" s="21">
        <f t="shared" si="0"/>
        <v>6.2222222222217187</v>
      </c>
      <c r="U17" s="21">
        <f t="shared" si="1"/>
        <v>6.61111111110979</v>
      </c>
      <c r="V17" s="21">
        <f t="shared" si="1"/>
        <v>7</v>
      </c>
      <c r="W17" s="22">
        <f t="shared" si="1"/>
        <v>5.8333333333332433</v>
      </c>
      <c r="X17" s="22">
        <f t="shared" si="1"/>
        <v>6.2222222222217187</v>
      </c>
      <c r="Y17" s="22">
        <f t="shared" si="1"/>
        <v>6.61111111110979</v>
      </c>
      <c r="Z17" s="23">
        <f t="shared" si="1"/>
        <v>5.444444444445292</v>
      </c>
      <c r="AA17" s="23">
        <f t="shared" si="1"/>
        <v>5.8333333333332433</v>
      </c>
      <c r="AB17" s="23">
        <f t="shared" si="1"/>
        <v>6.2222222222217187</v>
      </c>
      <c r="AC17" s="24">
        <f t="shared" si="1"/>
        <v>5.0555555555547294</v>
      </c>
      <c r="AD17" s="24">
        <f t="shared" si="1"/>
        <v>5.444444444445292</v>
      </c>
      <c r="AE17" s="24">
        <f t="shared" si="1"/>
        <v>5.8333333333332433</v>
      </c>
      <c r="AF17" s="25">
        <f t="shared" si="1"/>
        <v>4.6666666666672807</v>
      </c>
      <c r="AG17" s="25">
        <f t="shared" si="1"/>
        <v>5.0555555555547294</v>
      </c>
      <c r="AH17" s="25">
        <f t="shared" si="1"/>
        <v>5.444444444445292</v>
      </c>
      <c r="AI17" s="26">
        <f t="shared" si="1"/>
        <v>4.2777777777773007</v>
      </c>
      <c r="AJ17" s="26">
        <f t="shared" si="1"/>
        <v>4.6666666666672807</v>
      </c>
      <c r="AK17" s="26">
        <f t="shared" si="2"/>
        <v>5.0555555555547294</v>
      </c>
    </row>
    <row r="18" spans="4:37" ht="20.100000000000001" customHeight="1">
      <c r="D18" s="27">
        <f t="shared" si="3"/>
        <v>4.1666666666666657E-2</v>
      </c>
      <c r="E18" s="16">
        <f t="shared" si="0"/>
        <v>11.083333333334624</v>
      </c>
      <c r="F18" s="16">
        <f t="shared" si="0"/>
        <v>11.499999999998312</v>
      </c>
      <c r="G18" s="16">
        <f t="shared" si="0"/>
        <v>11.91666666666579</v>
      </c>
      <c r="H18" s="17">
        <f t="shared" si="0"/>
        <v>10.24999999999914</v>
      </c>
      <c r="I18" s="17">
        <f t="shared" si="0"/>
        <v>10.666666666667446</v>
      </c>
      <c r="J18" s="17">
        <f t="shared" si="0"/>
        <v>11.083333333334624</v>
      </c>
      <c r="K18" s="18">
        <f t="shared" si="0"/>
        <v>9.4166666666682293</v>
      </c>
      <c r="L18" s="18">
        <f t="shared" si="0"/>
        <v>9.8333333333319501</v>
      </c>
      <c r="M18" s="18">
        <f t="shared" si="0"/>
        <v>10.24999999999914</v>
      </c>
      <c r="N18" s="19">
        <f t="shared" si="0"/>
        <v>7.5</v>
      </c>
      <c r="O18" s="19">
        <f t="shared" si="0"/>
        <v>7.9166666666680863</v>
      </c>
      <c r="P18" s="19">
        <f t="shared" si="0"/>
        <v>8.3333333333346467</v>
      </c>
      <c r="Q18" s="20">
        <f t="shared" si="0"/>
        <v>7.0833333333320123</v>
      </c>
      <c r="R18" s="20">
        <f t="shared" si="0"/>
        <v>7.5</v>
      </c>
      <c r="S18" s="20">
        <f t="shared" si="0"/>
        <v>7.9166666666680863</v>
      </c>
      <c r="T18" s="21">
        <f t="shared" ref="T18:AI34" si="4">T19-(T$363/360)</f>
        <v>6.6666666666661634</v>
      </c>
      <c r="U18" s="21">
        <f t="shared" si="1"/>
        <v>7.0833333333320123</v>
      </c>
      <c r="V18" s="21">
        <f t="shared" si="1"/>
        <v>7.5</v>
      </c>
      <c r="W18" s="22">
        <f t="shared" si="1"/>
        <v>6.2499999999999103</v>
      </c>
      <c r="X18" s="22">
        <f t="shared" si="1"/>
        <v>6.6666666666661634</v>
      </c>
      <c r="Y18" s="22">
        <f t="shared" si="1"/>
        <v>7.0833333333320123</v>
      </c>
      <c r="Z18" s="23">
        <f t="shared" si="1"/>
        <v>5.8333333333341812</v>
      </c>
      <c r="AA18" s="23">
        <f t="shared" si="1"/>
        <v>6.2499999999999103</v>
      </c>
      <c r="AB18" s="23">
        <f t="shared" si="1"/>
        <v>6.6666666666661634</v>
      </c>
      <c r="AC18" s="24">
        <f t="shared" si="1"/>
        <v>5.4166666666658401</v>
      </c>
      <c r="AD18" s="24">
        <f t="shared" si="1"/>
        <v>5.8333333333341812</v>
      </c>
      <c r="AE18" s="24">
        <f t="shared" si="1"/>
        <v>6.2499999999999103</v>
      </c>
      <c r="AF18" s="25">
        <f t="shared" si="1"/>
        <v>5.0000000000006137</v>
      </c>
      <c r="AG18" s="25">
        <f t="shared" si="1"/>
        <v>5.4166666666658401</v>
      </c>
      <c r="AH18" s="25">
        <f t="shared" si="1"/>
        <v>5.8333333333341812</v>
      </c>
      <c r="AI18" s="26">
        <f t="shared" si="1"/>
        <v>4.5833333333328561</v>
      </c>
      <c r="AJ18" s="26">
        <f t="shared" ref="AJ18:AK33" si="5">AJ19-(AJ$363/360)</f>
        <v>5.0000000000006137</v>
      </c>
      <c r="AK18" s="26">
        <f t="shared" si="5"/>
        <v>5.4166666666658401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11.822222222223512</v>
      </c>
      <c r="F19" s="16">
        <f t="shared" si="6"/>
        <v>12.26666666666498</v>
      </c>
      <c r="G19" s="16">
        <f t="shared" si="6"/>
        <v>12.711111111110235</v>
      </c>
      <c r="H19" s="17">
        <f t="shared" si="6"/>
        <v>10.933333333332474</v>
      </c>
      <c r="I19" s="17">
        <f t="shared" si="6"/>
        <v>11.377777777778556</v>
      </c>
      <c r="J19" s="17">
        <f t="shared" si="6"/>
        <v>11.822222222223512</v>
      </c>
      <c r="K19" s="18">
        <f t="shared" si="6"/>
        <v>10.044444444446007</v>
      </c>
      <c r="L19" s="18">
        <f t="shared" si="6"/>
        <v>10.488888888887505</v>
      </c>
      <c r="M19" s="18">
        <f t="shared" si="6"/>
        <v>10.933333333332474</v>
      </c>
      <c r="N19" s="19">
        <f t="shared" si="6"/>
        <v>8</v>
      </c>
      <c r="O19" s="19">
        <f t="shared" si="6"/>
        <v>8.444444444445864</v>
      </c>
      <c r="P19" s="19">
        <f t="shared" si="6"/>
        <v>8.888888888890202</v>
      </c>
      <c r="Q19" s="20">
        <f t="shared" si="6"/>
        <v>7.5555555555542346</v>
      </c>
      <c r="R19" s="20">
        <f t="shared" si="6"/>
        <v>8</v>
      </c>
      <c r="S19" s="20">
        <f t="shared" si="6"/>
        <v>8.444444444445864</v>
      </c>
      <c r="T19" s="21">
        <f t="shared" si="4"/>
        <v>7.111111111110608</v>
      </c>
      <c r="U19" s="21">
        <f t="shared" si="4"/>
        <v>7.5555555555542346</v>
      </c>
      <c r="V19" s="21">
        <f t="shared" si="4"/>
        <v>8</v>
      </c>
      <c r="W19" s="22">
        <f t="shared" si="4"/>
        <v>6.6666666666665773</v>
      </c>
      <c r="X19" s="22">
        <f t="shared" si="4"/>
        <v>7.111111111110608</v>
      </c>
      <c r="Y19" s="22">
        <f t="shared" si="4"/>
        <v>7.5555555555542346</v>
      </c>
      <c r="Z19" s="23">
        <f t="shared" si="4"/>
        <v>6.2222222222230705</v>
      </c>
      <c r="AA19" s="23">
        <f t="shared" si="4"/>
        <v>6.6666666666665773</v>
      </c>
      <c r="AB19" s="23">
        <f t="shared" si="4"/>
        <v>7.111111111110608</v>
      </c>
      <c r="AC19" s="24">
        <f t="shared" si="4"/>
        <v>5.7777777777769508</v>
      </c>
      <c r="AD19" s="24">
        <f t="shared" si="4"/>
        <v>6.2222222222230705</v>
      </c>
      <c r="AE19" s="24">
        <f t="shared" si="4"/>
        <v>6.6666666666665773</v>
      </c>
      <c r="AF19" s="25">
        <f t="shared" si="4"/>
        <v>5.3333333333339468</v>
      </c>
      <c r="AG19" s="25">
        <f t="shared" si="4"/>
        <v>5.7777777777769508</v>
      </c>
      <c r="AH19" s="25">
        <f t="shared" si="4"/>
        <v>6.2222222222230705</v>
      </c>
      <c r="AI19" s="26">
        <f t="shared" si="4"/>
        <v>4.8888888888884114</v>
      </c>
      <c r="AJ19" s="26">
        <f t="shared" si="5"/>
        <v>5.3333333333339468</v>
      </c>
      <c r="AK19" s="26">
        <f t="shared" si="5"/>
        <v>5.7777777777769508</v>
      </c>
    </row>
    <row r="20" spans="4:37" ht="20.100000000000001" customHeight="1">
      <c r="D20" s="27">
        <f t="shared" si="3"/>
        <v>4.7222222222222207E-2</v>
      </c>
      <c r="E20" s="16">
        <f t="shared" si="6"/>
        <v>12.561111111112401</v>
      </c>
      <c r="F20" s="16">
        <f t="shared" si="6"/>
        <v>13.033333333331647</v>
      </c>
      <c r="G20" s="16">
        <f t="shared" si="6"/>
        <v>13.505555555554679</v>
      </c>
      <c r="H20" s="17">
        <f t="shared" si="6"/>
        <v>11.616666666665807</v>
      </c>
      <c r="I20" s="17">
        <f t="shared" si="6"/>
        <v>12.088888888889667</v>
      </c>
      <c r="J20" s="17">
        <f t="shared" si="6"/>
        <v>12.561111111112401</v>
      </c>
      <c r="K20" s="18">
        <f t="shared" si="6"/>
        <v>10.672222222223786</v>
      </c>
      <c r="L20" s="18">
        <f t="shared" si="6"/>
        <v>11.14444444444306</v>
      </c>
      <c r="M20" s="18">
        <f t="shared" si="6"/>
        <v>11.616666666665807</v>
      </c>
      <c r="N20" s="19">
        <f t="shared" si="6"/>
        <v>8.5</v>
      </c>
      <c r="O20" s="19">
        <f t="shared" si="6"/>
        <v>8.9722222222236425</v>
      </c>
      <c r="P20" s="19">
        <f t="shared" si="6"/>
        <v>9.4444444444457574</v>
      </c>
      <c r="Q20" s="20">
        <f t="shared" si="6"/>
        <v>8.027777777776457</v>
      </c>
      <c r="R20" s="20">
        <f t="shared" si="6"/>
        <v>8.5</v>
      </c>
      <c r="S20" s="20">
        <f t="shared" si="6"/>
        <v>8.9722222222236425</v>
      </c>
      <c r="T20" s="21">
        <f t="shared" si="4"/>
        <v>7.5555555555550526</v>
      </c>
      <c r="U20" s="21">
        <f t="shared" si="4"/>
        <v>8.027777777776457</v>
      </c>
      <c r="V20" s="21">
        <f t="shared" si="4"/>
        <v>8.5</v>
      </c>
      <c r="W20" s="22">
        <f t="shared" si="4"/>
        <v>7.0833333333332442</v>
      </c>
      <c r="X20" s="22">
        <f t="shared" si="4"/>
        <v>7.5555555555550526</v>
      </c>
      <c r="Y20" s="22">
        <f t="shared" si="4"/>
        <v>8.027777777776457</v>
      </c>
      <c r="Z20" s="23">
        <f t="shared" si="4"/>
        <v>6.6111111111119598</v>
      </c>
      <c r="AA20" s="23">
        <f t="shared" si="4"/>
        <v>7.0833333333332442</v>
      </c>
      <c r="AB20" s="23">
        <f t="shared" si="4"/>
        <v>7.5555555555550526</v>
      </c>
      <c r="AC20" s="24">
        <f t="shared" si="4"/>
        <v>6.1388888888880615</v>
      </c>
      <c r="AD20" s="24">
        <f t="shared" si="4"/>
        <v>6.6111111111119598</v>
      </c>
      <c r="AE20" s="24">
        <f t="shared" si="4"/>
        <v>7.0833333333332442</v>
      </c>
      <c r="AF20" s="25">
        <f t="shared" si="4"/>
        <v>5.6666666666672798</v>
      </c>
      <c r="AG20" s="25">
        <f t="shared" si="4"/>
        <v>6.1388888888880615</v>
      </c>
      <c r="AH20" s="25">
        <f t="shared" si="4"/>
        <v>6.6111111111119598</v>
      </c>
      <c r="AI20" s="26">
        <f t="shared" si="4"/>
        <v>5.1944444444439668</v>
      </c>
      <c r="AJ20" s="26">
        <f t="shared" si="5"/>
        <v>5.6666666666672798</v>
      </c>
      <c r="AK20" s="26">
        <f t="shared" si="5"/>
        <v>6.1388888888880615</v>
      </c>
    </row>
    <row r="21" spans="4:37" ht="20.100000000000001" customHeight="1">
      <c r="D21" s="27">
        <f t="shared" si="3"/>
        <v>4.9999999999999982E-2</v>
      </c>
      <c r="E21" s="16">
        <f t="shared" si="6"/>
        <v>13.30000000000129</v>
      </c>
      <c r="F21" s="16">
        <f t="shared" si="6"/>
        <v>13.799999999998315</v>
      </c>
      <c r="G21" s="16">
        <f t="shared" si="6"/>
        <v>14.299999999999123</v>
      </c>
      <c r="H21" s="17">
        <f t="shared" si="6"/>
        <v>12.299999999999141</v>
      </c>
      <c r="I21" s="17">
        <f t="shared" si="6"/>
        <v>12.800000000000777</v>
      </c>
      <c r="J21" s="17">
        <f t="shared" si="6"/>
        <v>13.30000000000129</v>
      </c>
      <c r="K21" s="18">
        <f t="shared" si="6"/>
        <v>11.300000000001564</v>
      </c>
      <c r="L21" s="18">
        <f t="shared" si="6"/>
        <v>11.799999999998615</v>
      </c>
      <c r="M21" s="18">
        <f t="shared" si="6"/>
        <v>12.299999999999141</v>
      </c>
      <c r="N21" s="19">
        <f t="shared" si="6"/>
        <v>9</v>
      </c>
      <c r="O21" s="19">
        <f t="shared" si="6"/>
        <v>9.5000000000014211</v>
      </c>
      <c r="P21" s="19">
        <f t="shared" si="6"/>
        <v>10.000000000001313</v>
      </c>
      <c r="Q21" s="20">
        <f t="shared" si="6"/>
        <v>8.4999999999986784</v>
      </c>
      <c r="R21" s="20">
        <f t="shared" si="6"/>
        <v>9</v>
      </c>
      <c r="S21" s="20">
        <f t="shared" si="6"/>
        <v>9.5000000000014211</v>
      </c>
      <c r="T21" s="21">
        <f t="shared" si="4"/>
        <v>7.9999999999994973</v>
      </c>
      <c r="U21" s="21">
        <f t="shared" si="4"/>
        <v>8.4999999999986784</v>
      </c>
      <c r="V21" s="21">
        <f t="shared" si="4"/>
        <v>9</v>
      </c>
      <c r="W21" s="22">
        <f t="shared" si="4"/>
        <v>7.4999999999999112</v>
      </c>
      <c r="X21" s="22">
        <f t="shared" si="4"/>
        <v>7.9999999999994973</v>
      </c>
      <c r="Y21" s="22">
        <f t="shared" si="4"/>
        <v>8.4999999999986784</v>
      </c>
      <c r="Z21" s="23">
        <f t="shared" si="4"/>
        <v>7.0000000000008491</v>
      </c>
      <c r="AA21" s="23">
        <f t="shared" si="4"/>
        <v>7.4999999999999112</v>
      </c>
      <c r="AB21" s="23">
        <f t="shared" si="4"/>
        <v>7.9999999999994973</v>
      </c>
      <c r="AC21" s="24">
        <f t="shared" si="4"/>
        <v>6.4999999999991722</v>
      </c>
      <c r="AD21" s="24">
        <f t="shared" si="4"/>
        <v>7.0000000000008491</v>
      </c>
      <c r="AE21" s="24">
        <f t="shared" si="4"/>
        <v>7.4999999999999112</v>
      </c>
      <c r="AF21" s="25">
        <f t="shared" si="4"/>
        <v>6.0000000000006128</v>
      </c>
      <c r="AG21" s="25">
        <f t="shared" si="4"/>
        <v>6.4999999999991722</v>
      </c>
      <c r="AH21" s="25">
        <f t="shared" si="4"/>
        <v>7.0000000000008491</v>
      </c>
      <c r="AI21" s="26">
        <f t="shared" si="4"/>
        <v>5.4999999999995222</v>
      </c>
      <c r="AJ21" s="26">
        <f t="shared" si="5"/>
        <v>6.0000000000006128</v>
      </c>
      <c r="AK21" s="26">
        <f t="shared" si="5"/>
        <v>6.4999999999991722</v>
      </c>
    </row>
    <row r="22" spans="4:37" ht="20.100000000000001" customHeight="1">
      <c r="D22" s="27">
        <f t="shared" si="3"/>
        <v>5.2777777777777757E-2</v>
      </c>
      <c r="E22" s="16">
        <f t="shared" si="6"/>
        <v>14.038888888890179</v>
      </c>
      <c r="F22" s="16">
        <f t="shared" si="6"/>
        <v>14.566666666664982</v>
      </c>
      <c r="G22" s="16">
        <f t="shared" si="6"/>
        <v>15.094444444443567</v>
      </c>
      <c r="H22" s="17">
        <f t="shared" si="6"/>
        <v>12.983333333332475</v>
      </c>
      <c r="I22" s="17">
        <f t="shared" si="6"/>
        <v>13.511111111111887</v>
      </c>
      <c r="J22" s="17">
        <f t="shared" si="6"/>
        <v>14.038888888890179</v>
      </c>
      <c r="K22" s="18">
        <f t="shared" si="6"/>
        <v>11.927777777779342</v>
      </c>
      <c r="L22" s="18">
        <f t="shared" si="6"/>
        <v>12.45555555555417</v>
      </c>
      <c r="M22" s="18">
        <f t="shared" si="6"/>
        <v>12.983333333332475</v>
      </c>
      <c r="N22" s="19">
        <f t="shared" si="6"/>
        <v>9.5</v>
      </c>
      <c r="O22" s="19">
        <f t="shared" si="6"/>
        <v>10.0277777777792</v>
      </c>
      <c r="P22" s="19">
        <f t="shared" si="6"/>
        <v>10.555555555556868</v>
      </c>
      <c r="Q22" s="20">
        <f t="shared" si="6"/>
        <v>8.9722222222208998</v>
      </c>
      <c r="R22" s="20">
        <f t="shared" si="6"/>
        <v>9.5</v>
      </c>
      <c r="S22" s="20">
        <f t="shared" si="6"/>
        <v>10.0277777777792</v>
      </c>
      <c r="T22" s="21">
        <f t="shared" si="4"/>
        <v>8.4444444444439419</v>
      </c>
      <c r="U22" s="21">
        <f t="shared" si="4"/>
        <v>8.9722222222208998</v>
      </c>
      <c r="V22" s="21">
        <f t="shared" si="4"/>
        <v>9.5</v>
      </c>
      <c r="W22" s="22">
        <f t="shared" si="4"/>
        <v>7.9166666666665781</v>
      </c>
      <c r="X22" s="22">
        <f t="shared" si="4"/>
        <v>8.4444444444439419</v>
      </c>
      <c r="Y22" s="22">
        <f t="shared" si="4"/>
        <v>8.9722222222208998</v>
      </c>
      <c r="Z22" s="23">
        <f t="shared" si="4"/>
        <v>7.3888888888897384</v>
      </c>
      <c r="AA22" s="23">
        <f t="shared" si="4"/>
        <v>7.9166666666665781</v>
      </c>
      <c r="AB22" s="23">
        <f t="shared" si="4"/>
        <v>8.4444444444439419</v>
      </c>
      <c r="AC22" s="24">
        <f t="shared" si="4"/>
        <v>6.8611111111102829</v>
      </c>
      <c r="AD22" s="24">
        <f t="shared" si="4"/>
        <v>7.3888888888897384</v>
      </c>
      <c r="AE22" s="24">
        <f t="shared" si="4"/>
        <v>7.9166666666665781</v>
      </c>
      <c r="AF22" s="25">
        <f t="shared" si="4"/>
        <v>6.3333333333339459</v>
      </c>
      <c r="AG22" s="25">
        <f t="shared" si="4"/>
        <v>6.8611111111102829</v>
      </c>
      <c r="AH22" s="25">
        <f t="shared" si="4"/>
        <v>7.3888888888897384</v>
      </c>
      <c r="AI22" s="26">
        <f t="shared" si="4"/>
        <v>5.8055555555550775</v>
      </c>
      <c r="AJ22" s="26">
        <f t="shared" si="5"/>
        <v>6.3333333333339459</v>
      </c>
      <c r="AK22" s="26">
        <f t="shared" si="5"/>
        <v>6.8611111111102829</v>
      </c>
    </row>
    <row r="23" spans="4:37" ht="20.100000000000001" customHeight="1">
      <c r="D23" s="27">
        <f t="shared" si="3"/>
        <v>5.5555555555555532E-2</v>
      </c>
      <c r="E23" s="16">
        <f t="shared" si="6"/>
        <v>14.777777777779068</v>
      </c>
      <c r="F23" s="16">
        <f t="shared" si="6"/>
        <v>15.33333333333165</v>
      </c>
      <c r="G23" s="16">
        <f t="shared" si="6"/>
        <v>15.888888888888012</v>
      </c>
      <c r="H23" s="17">
        <f t="shared" si="6"/>
        <v>13.666666666665808</v>
      </c>
      <c r="I23" s="17">
        <f t="shared" si="6"/>
        <v>14.222222222222998</v>
      </c>
      <c r="J23" s="17">
        <f t="shared" si="6"/>
        <v>14.777777777779068</v>
      </c>
      <c r="K23" s="18">
        <f t="shared" si="6"/>
        <v>12.55555555555712</v>
      </c>
      <c r="L23" s="18">
        <f t="shared" si="6"/>
        <v>13.111111111109725</v>
      </c>
      <c r="M23" s="18">
        <f t="shared" si="6"/>
        <v>13.666666666665808</v>
      </c>
      <c r="N23" s="19">
        <f t="shared" si="6"/>
        <v>10</v>
      </c>
      <c r="O23" s="19">
        <f t="shared" si="6"/>
        <v>10.555555555556978</v>
      </c>
      <c r="P23" s="19">
        <f t="shared" si="6"/>
        <v>11.111111111112423</v>
      </c>
      <c r="Q23" s="20">
        <f t="shared" si="6"/>
        <v>9.4444444444431213</v>
      </c>
      <c r="R23" s="20">
        <f t="shared" si="6"/>
        <v>10</v>
      </c>
      <c r="S23" s="20">
        <f t="shared" si="6"/>
        <v>10.555555555556978</v>
      </c>
      <c r="T23" s="21">
        <f t="shared" si="4"/>
        <v>8.8888888888883866</v>
      </c>
      <c r="U23" s="21">
        <f t="shared" si="4"/>
        <v>9.4444444444431213</v>
      </c>
      <c r="V23" s="21">
        <f t="shared" si="4"/>
        <v>10</v>
      </c>
      <c r="W23" s="22">
        <f t="shared" si="4"/>
        <v>8.3333333333332451</v>
      </c>
      <c r="X23" s="22">
        <f t="shared" si="4"/>
        <v>8.8888888888883866</v>
      </c>
      <c r="Y23" s="22">
        <f t="shared" si="4"/>
        <v>9.4444444444431213</v>
      </c>
      <c r="Z23" s="23">
        <f t="shared" si="4"/>
        <v>7.7777777777786277</v>
      </c>
      <c r="AA23" s="23">
        <f t="shared" si="4"/>
        <v>8.3333333333332451</v>
      </c>
      <c r="AB23" s="23">
        <f t="shared" si="4"/>
        <v>8.8888888888883866</v>
      </c>
      <c r="AC23" s="24">
        <f t="shared" si="4"/>
        <v>7.2222222222213937</v>
      </c>
      <c r="AD23" s="24">
        <f t="shared" si="4"/>
        <v>7.7777777777786277</v>
      </c>
      <c r="AE23" s="24">
        <f t="shared" si="4"/>
        <v>8.3333333333332451</v>
      </c>
      <c r="AF23" s="25">
        <f t="shared" si="4"/>
        <v>6.6666666666672789</v>
      </c>
      <c r="AG23" s="25">
        <f t="shared" si="4"/>
        <v>7.2222222222213937</v>
      </c>
      <c r="AH23" s="25">
        <f t="shared" si="4"/>
        <v>7.7777777777786277</v>
      </c>
      <c r="AI23" s="26">
        <f t="shared" si="4"/>
        <v>6.1111111111106329</v>
      </c>
      <c r="AJ23" s="26">
        <f t="shared" si="5"/>
        <v>6.6666666666672789</v>
      </c>
      <c r="AK23" s="26">
        <f t="shared" si="5"/>
        <v>7.2222222222213937</v>
      </c>
    </row>
    <row r="24" spans="4:37" ht="20.100000000000001" customHeight="1">
      <c r="D24" s="27">
        <f t="shared" si="3"/>
        <v>5.8333333333333307E-2</v>
      </c>
      <c r="E24" s="16">
        <f t="shared" si="6"/>
        <v>15.516666666667957</v>
      </c>
      <c r="F24" s="16">
        <f t="shared" si="6"/>
        <v>16.099999999998317</v>
      </c>
      <c r="G24" s="16">
        <f t="shared" si="6"/>
        <v>16.683333333332456</v>
      </c>
      <c r="H24" s="17">
        <f t="shared" si="6"/>
        <v>14.349999999999142</v>
      </c>
      <c r="I24" s="17">
        <f t="shared" si="6"/>
        <v>14.933333333334108</v>
      </c>
      <c r="J24" s="17">
        <f t="shared" si="6"/>
        <v>15.516666666667957</v>
      </c>
      <c r="K24" s="18">
        <f t="shared" si="6"/>
        <v>13.183333333334899</v>
      </c>
      <c r="L24" s="18">
        <f t="shared" si="6"/>
        <v>13.76666666666528</v>
      </c>
      <c r="M24" s="18">
        <f t="shared" si="6"/>
        <v>14.349999999999142</v>
      </c>
      <c r="N24" s="19">
        <f t="shared" si="6"/>
        <v>10.5</v>
      </c>
      <c r="O24" s="19">
        <f t="shared" si="6"/>
        <v>11.083333333334757</v>
      </c>
      <c r="P24" s="19">
        <f t="shared" si="6"/>
        <v>11.666666666667979</v>
      </c>
      <c r="Q24" s="20">
        <f t="shared" si="6"/>
        <v>9.9166666666653427</v>
      </c>
      <c r="R24" s="20">
        <f t="shared" si="6"/>
        <v>10.5</v>
      </c>
      <c r="S24" s="20">
        <f t="shared" si="6"/>
        <v>11.083333333334757</v>
      </c>
      <c r="T24" s="21">
        <f t="shared" si="4"/>
        <v>9.3333333333328312</v>
      </c>
      <c r="U24" s="21">
        <f t="shared" si="4"/>
        <v>9.9166666666653427</v>
      </c>
      <c r="V24" s="21">
        <f t="shared" si="4"/>
        <v>10.5</v>
      </c>
      <c r="W24" s="22">
        <f t="shared" si="4"/>
        <v>8.7499999999999112</v>
      </c>
      <c r="X24" s="22">
        <f t="shared" si="4"/>
        <v>9.3333333333328312</v>
      </c>
      <c r="Y24" s="22">
        <f t="shared" si="4"/>
        <v>9.9166666666653427</v>
      </c>
      <c r="Z24" s="23">
        <f t="shared" si="4"/>
        <v>8.1666666666675169</v>
      </c>
      <c r="AA24" s="23">
        <f t="shared" si="4"/>
        <v>8.7499999999999112</v>
      </c>
      <c r="AB24" s="23">
        <f t="shared" si="4"/>
        <v>9.3333333333328312</v>
      </c>
      <c r="AC24" s="24">
        <f t="shared" si="4"/>
        <v>7.5833333333325044</v>
      </c>
      <c r="AD24" s="24">
        <f t="shared" si="4"/>
        <v>8.1666666666675169</v>
      </c>
      <c r="AE24" s="24">
        <f t="shared" si="4"/>
        <v>8.7499999999999112</v>
      </c>
      <c r="AF24" s="25">
        <f t="shared" si="4"/>
        <v>7.000000000000612</v>
      </c>
      <c r="AG24" s="25">
        <f t="shared" si="4"/>
        <v>7.5833333333325044</v>
      </c>
      <c r="AH24" s="25">
        <f t="shared" si="4"/>
        <v>8.1666666666675169</v>
      </c>
      <c r="AI24" s="26">
        <f t="shared" si="4"/>
        <v>6.4166666666661882</v>
      </c>
      <c r="AJ24" s="26">
        <f t="shared" si="5"/>
        <v>7.000000000000612</v>
      </c>
      <c r="AK24" s="26">
        <f t="shared" si="5"/>
        <v>7.5833333333325044</v>
      </c>
    </row>
    <row r="25" spans="4:37" ht="20.100000000000001" customHeight="1">
      <c r="D25" s="27">
        <f t="shared" si="3"/>
        <v>6.1111111111111081E-2</v>
      </c>
      <c r="E25" s="16">
        <f t="shared" si="6"/>
        <v>16.255555555556846</v>
      </c>
      <c r="F25" s="16">
        <f t="shared" si="6"/>
        <v>16.866666666664983</v>
      </c>
      <c r="G25" s="16">
        <f t="shared" si="6"/>
        <v>17.4777777777769</v>
      </c>
      <c r="H25" s="17">
        <f t="shared" si="6"/>
        <v>15.033333333332475</v>
      </c>
      <c r="I25" s="17">
        <f t="shared" si="6"/>
        <v>15.644444444445218</v>
      </c>
      <c r="J25" s="17">
        <f t="shared" si="6"/>
        <v>16.255555555556846</v>
      </c>
      <c r="K25" s="18">
        <f t="shared" si="6"/>
        <v>13.811111111112677</v>
      </c>
      <c r="L25" s="18">
        <f t="shared" si="6"/>
        <v>14.422222222220835</v>
      </c>
      <c r="M25" s="18">
        <f t="shared" si="6"/>
        <v>15.033333333332475</v>
      </c>
      <c r="N25" s="19">
        <f t="shared" si="6"/>
        <v>11</v>
      </c>
      <c r="O25" s="19">
        <f t="shared" si="6"/>
        <v>11.611111111112535</v>
      </c>
      <c r="P25" s="19">
        <f t="shared" si="6"/>
        <v>12.222222222223534</v>
      </c>
      <c r="Q25" s="20">
        <f t="shared" si="6"/>
        <v>10.388888888887564</v>
      </c>
      <c r="R25" s="20">
        <f t="shared" si="6"/>
        <v>11</v>
      </c>
      <c r="S25" s="20">
        <f t="shared" si="6"/>
        <v>11.611111111112535</v>
      </c>
      <c r="T25" s="21">
        <f t="shared" si="4"/>
        <v>9.7777777777772759</v>
      </c>
      <c r="U25" s="21">
        <f t="shared" si="4"/>
        <v>10.388888888887564</v>
      </c>
      <c r="V25" s="21">
        <f t="shared" si="4"/>
        <v>11</v>
      </c>
      <c r="W25" s="22">
        <f t="shared" si="4"/>
        <v>9.1666666666665773</v>
      </c>
      <c r="X25" s="22">
        <f t="shared" si="4"/>
        <v>9.7777777777772759</v>
      </c>
      <c r="Y25" s="22">
        <f t="shared" si="4"/>
        <v>10.388888888887564</v>
      </c>
      <c r="Z25" s="23">
        <f t="shared" si="4"/>
        <v>8.5555555555564062</v>
      </c>
      <c r="AA25" s="23">
        <f t="shared" si="4"/>
        <v>9.1666666666665773</v>
      </c>
      <c r="AB25" s="23">
        <f t="shared" si="4"/>
        <v>9.7777777777772759</v>
      </c>
      <c r="AC25" s="24">
        <f t="shared" si="4"/>
        <v>7.9444444444436151</v>
      </c>
      <c r="AD25" s="24">
        <f t="shared" si="4"/>
        <v>8.5555555555564062</v>
      </c>
      <c r="AE25" s="24">
        <f t="shared" si="4"/>
        <v>9.1666666666665773</v>
      </c>
      <c r="AF25" s="25">
        <f t="shared" si="4"/>
        <v>7.333333333333945</v>
      </c>
      <c r="AG25" s="25">
        <f t="shared" si="4"/>
        <v>7.9444444444436151</v>
      </c>
      <c r="AH25" s="25">
        <f t="shared" si="4"/>
        <v>8.5555555555564062</v>
      </c>
      <c r="AI25" s="26">
        <f t="shared" si="4"/>
        <v>6.7222222222217436</v>
      </c>
      <c r="AJ25" s="26">
        <f t="shared" si="5"/>
        <v>7.333333333333945</v>
      </c>
      <c r="AK25" s="26">
        <f t="shared" si="5"/>
        <v>7.9444444444436151</v>
      </c>
    </row>
    <row r="26" spans="4:37" ht="20.100000000000001" customHeight="1">
      <c r="D26" s="27">
        <f t="shared" si="3"/>
        <v>6.3888888888888856E-2</v>
      </c>
      <c r="E26" s="16">
        <f t="shared" si="6"/>
        <v>16.994444444445733</v>
      </c>
      <c r="F26" s="16">
        <f t="shared" si="6"/>
        <v>17.633333333331649</v>
      </c>
      <c r="G26" s="16">
        <f t="shared" si="6"/>
        <v>18.272222222221345</v>
      </c>
      <c r="H26" s="17">
        <f t="shared" si="6"/>
        <v>15.716666666665809</v>
      </c>
      <c r="I26" s="17">
        <f t="shared" si="6"/>
        <v>16.355555555556329</v>
      </c>
      <c r="J26" s="17">
        <f t="shared" si="6"/>
        <v>16.994444444445733</v>
      </c>
      <c r="K26" s="18">
        <f t="shared" si="6"/>
        <v>14.438888888890455</v>
      </c>
      <c r="L26" s="18">
        <f t="shared" si="6"/>
        <v>15.07777777777639</v>
      </c>
      <c r="M26" s="18">
        <f t="shared" si="6"/>
        <v>15.716666666665809</v>
      </c>
      <c r="N26" s="19">
        <f t="shared" si="6"/>
        <v>11.5</v>
      </c>
      <c r="O26" s="19">
        <f t="shared" si="6"/>
        <v>12.138888888890314</v>
      </c>
      <c r="P26" s="19">
        <f t="shared" si="6"/>
        <v>12.77777777777909</v>
      </c>
      <c r="Q26" s="20">
        <f t="shared" si="6"/>
        <v>10.861111111109786</v>
      </c>
      <c r="R26" s="20">
        <f t="shared" si="6"/>
        <v>11.5</v>
      </c>
      <c r="S26" s="20">
        <f t="shared" si="6"/>
        <v>12.138888888890314</v>
      </c>
      <c r="T26" s="21">
        <f t="shared" si="4"/>
        <v>10.222222222221721</v>
      </c>
      <c r="U26" s="21">
        <f t="shared" si="4"/>
        <v>10.861111111109786</v>
      </c>
      <c r="V26" s="21">
        <f t="shared" si="4"/>
        <v>11.5</v>
      </c>
      <c r="W26" s="22">
        <f t="shared" si="4"/>
        <v>9.5833333333332433</v>
      </c>
      <c r="X26" s="22">
        <f t="shared" si="4"/>
        <v>10.222222222221721</v>
      </c>
      <c r="Y26" s="22">
        <f t="shared" si="4"/>
        <v>10.861111111109786</v>
      </c>
      <c r="Z26" s="23">
        <f t="shared" si="4"/>
        <v>8.9444444444452955</v>
      </c>
      <c r="AA26" s="23">
        <f t="shared" si="4"/>
        <v>9.5833333333332433</v>
      </c>
      <c r="AB26" s="23">
        <f t="shared" si="4"/>
        <v>10.222222222221721</v>
      </c>
      <c r="AC26" s="24">
        <f t="shared" si="4"/>
        <v>8.3055555555547258</v>
      </c>
      <c r="AD26" s="24">
        <f t="shared" si="4"/>
        <v>8.9444444444452955</v>
      </c>
      <c r="AE26" s="24">
        <f t="shared" si="4"/>
        <v>9.5833333333332433</v>
      </c>
      <c r="AF26" s="25">
        <f t="shared" si="4"/>
        <v>7.666666666667278</v>
      </c>
      <c r="AG26" s="25">
        <f t="shared" si="4"/>
        <v>8.3055555555547258</v>
      </c>
      <c r="AH26" s="25">
        <f t="shared" si="4"/>
        <v>8.9444444444452955</v>
      </c>
      <c r="AI26" s="26">
        <f t="shared" si="4"/>
        <v>7.027777777777299</v>
      </c>
      <c r="AJ26" s="26">
        <f t="shared" si="5"/>
        <v>7.666666666667278</v>
      </c>
      <c r="AK26" s="26">
        <f t="shared" si="5"/>
        <v>8.3055555555547258</v>
      </c>
    </row>
    <row r="27" spans="4:37" ht="20.100000000000001" customHeight="1">
      <c r="D27" s="27">
        <f t="shared" si="3"/>
        <v>6.6666666666666638E-2</v>
      </c>
      <c r="E27" s="16">
        <f t="shared" si="6"/>
        <v>17.73333333333462</v>
      </c>
      <c r="F27" s="16">
        <f t="shared" si="6"/>
        <v>18.399999999998315</v>
      </c>
      <c r="G27" s="16">
        <f t="shared" si="6"/>
        <v>19.066666666665789</v>
      </c>
      <c r="H27" s="17">
        <f t="shared" si="6"/>
        <v>16.399999999999142</v>
      </c>
      <c r="I27" s="17">
        <f t="shared" si="6"/>
        <v>17.066666666667441</v>
      </c>
      <c r="J27" s="17">
        <f t="shared" si="6"/>
        <v>17.73333333333462</v>
      </c>
      <c r="K27" s="18">
        <f t="shared" si="6"/>
        <v>15.066666666668233</v>
      </c>
      <c r="L27" s="18">
        <f t="shared" si="6"/>
        <v>15.733333333331945</v>
      </c>
      <c r="M27" s="18">
        <f t="shared" si="6"/>
        <v>16.399999999999142</v>
      </c>
      <c r="N27" s="19">
        <f t="shared" si="6"/>
        <v>12</v>
      </c>
      <c r="O27" s="19">
        <f t="shared" si="6"/>
        <v>12.666666666668092</v>
      </c>
      <c r="P27" s="19">
        <f t="shared" si="6"/>
        <v>13.333333333334645</v>
      </c>
      <c r="Q27" s="20">
        <f t="shared" si="6"/>
        <v>11.333333333332007</v>
      </c>
      <c r="R27" s="20">
        <f t="shared" si="6"/>
        <v>12</v>
      </c>
      <c r="S27" s="20">
        <f t="shared" si="6"/>
        <v>12.666666666668092</v>
      </c>
      <c r="T27" s="21">
        <f t="shared" si="4"/>
        <v>10.666666666666165</v>
      </c>
      <c r="U27" s="21">
        <f t="shared" si="4"/>
        <v>11.333333333332007</v>
      </c>
      <c r="V27" s="21">
        <f t="shared" si="4"/>
        <v>12</v>
      </c>
      <c r="W27" s="22">
        <f t="shared" si="4"/>
        <v>9.9999999999999094</v>
      </c>
      <c r="X27" s="22">
        <f t="shared" si="4"/>
        <v>10.666666666666165</v>
      </c>
      <c r="Y27" s="22">
        <f t="shared" si="4"/>
        <v>11.333333333332007</v>
      </c>
      <c r="Z27" s="23">
        <f t="shared" si="4"/>
        <v>9.3333333333341848</v>
      </c>
      <c r="AA27" s="23">
        <f t="shared" si="4"/>
        <v>9.9999999999999094</v>
      </c>
      <c r="AB27" s="23">
        <f t="shared" si="4"/>
        <v>10.666666666666165</v>
      </c>
      <c r="AC27" s="24">
        <f t="shared" si="4"/>
        <v>8.6666666666658365</v>
      </c>
      <c r="AD27" s="24">
        <f t="shared" si="4"/>
        <v>9.3333333333341848</v>
      </c>
      <c r="AE27" s="24">
        <f t="shared" si="4"/>
        <v>9.9999999999999094</v>
      </c>
      <c r="AF27" s="25">
        <f t="shared" si="4"/>
        <v>8.0000000000006111</v>
      </c>
      <c r="AG27" s="25">
        <f t="shared" si="4"/>
        <v>8.6666666666658365</v>
      </c>
      <c r="AH27" s="25">
        <f t="shared" si="4"/>
        <v>9.3333333333341848</v>
      </c>
      <c r="AI27" s="26">
        <f t="shared" si="4"/>
        <v>7.3333333333328543</v>
      </c>
      <c r="AJ27" s="26">
        <f t="shared" si="5"/>
        <v>8.0000000000006111</v>
      </c>
      <c r="AK27" s="26">
        <f t="shared" si="5"/>
        <v>8.6666666666658365</v>
      </c>
    </row>
    <row r="28" spans="4:37" ht="20.100000000000001" customHeight="1">
      <c r="D28" s="27">
        <f t="shared" si="3"/>
        <v>6.944444444444442E-2</v>
      </c>
      <c r="E28" s="16">
        <f t="shared" si="6"/>
        <v>18.472222222223508</v>
      </c>
      <c r="F28" s="16">
        <f t="shared" si="6"/>
        <v>19.16666666666498</v>
      </c>
      <c r="G28" s="16">
        <f t="shared" si="6"/>
        <v>19.861111111110233</v>
      </c>
      <c r="H28" s="17">
        <f t="shared" si="6"/>
        <v>17.083333333332476</v>
      </c>
      <c r="I28" s="17">
        <f t="shared" si="6"/>
        <v>17.777777777778553</v>
      </c>
      <c r="J28" s="17">
        <f t="shared" si="6"/>
        <v>18.472222222223508</v>
      </c>
      <c r="K28" s="18">
        <f t="shared" si="6"/>
        <v>15.694444444446011</v>
      </c>
      <c r="L28" s="18">
        <f t="shared" si="6"/>
        <v>16.3888888888875</v>
      </c>
      <c r="M28" s="18">
        <f t="shared" si="6"/>
        <v>17.083333333332476</v>
      </c>
      <c r="N28" s="19">
        <f t="shared" si="6"/>
        <v>12.5</v>
      </c>
      <c r="O28" s="19">
        <f t="shared" si="6"/>
        <v>13.194444444445871</v>
      </c>
      <c r="P28" s="19">
        <f t="shared" si="6"/>
        <v>13.8888888888902</v>
      </c>
      <c r="Q28" s="20">
        <f t="shared" si="6"/>
        <v>11.805555555554228</v>
      </c>
      <c r="R28" s="20">
        <f t="shared" si="6"/>
        <v>12.5</v>
      </c>
      <c r="S28" s="20">
        <f t="shared" si="6"/>
        <v>13.194444444445871</v>
      </c>
      <c r="T28" s="21">
        <f t="shared" si="4"/>
        <v>11.11111111111061</v>
      </c>
      <c r="U28" s="21">
        <f t="shared" si="4"/>
        <v>11.805555555554228</v>
      </c>
      <c r="V28" s="21">
        <f t="shared" si="4"/>
        <v>12.5</v>
      </c>
      <c r="W28" s="22">
        <f t="shared" si="4"/>
        <v>10.416666666666575</v>
      </c>
      <c r="X28" s="22">
        <f t="shared" si="4"/>
        <v>11.11111111111061</v>
      </c>
      <c r="Y28" s="22">
        <f t="shared" si="4"/>
        <v>11.805555555554228</v>
      </c>
      <c r="Z28" s="23">
        <f t="shared" si="4"/>
        <v>9.7222222222230741</v>
      </c>
      <c r="AA28" s="23">
        <f t="shared" si="4"/>
        <v>10.416666666666575</v>
      </c>
      <c r="AB28" s="23">
        <f t="shared" si="4"/>
        <v>11.11111111111061</v>
      </c>
      <c r="AC28" s="24">
        <f t="shared" si="4"/>
        <v>9.0277777777769472</v>
      </c>
      <c r="AD28" s="24">
        <f t="shared" si="4"/>
        <v>9.7222222222230741</v>
      </c>
      <c r="AE28" s="24">
        <f t="shared" si="4"/>
        <v>10.416666666666575</v>
      </c>
      <c r="AF28" s="25">
        <f t="shared" si="4"/>
        <v>8.333333333333945</v>
      </c>
      <c r="AG28" s="25">
        <f t="shared" si="4"/>
        <v>9.0277777777769472</v>
      </c>
      <c r="AH28" s="25">
        <f t="shared" si="4"/>
        <v>9.7222222222230741</v>
      </c>
      <c r="AI28" s="26">
        <f t="shared" si="4"/>
        <v>7.6388888888884097</v>
      </c>
      <c r="AJ28" s="26">
        <f t="shared" si="5"/>
        <v>8.333333333333945</v>
      </c>
      <c r="AK28" s="26">
        <f t="shared" si="5"/>
        <v>9.0277777777769472</v>
      </c>
    </row>
    <row r="29" spans="4:37" ht="20.100000000000001" customHeight="1">
      <c r="D29" s="27">
        <f t="shared" si="3"/>
        <v>7.2222222222222202E-2</v>
      </c>
      <c r="E29" s="16">
        <f t="shared" si="6"/>
        <v>19.211111111112395</v>
      </c>
      <c r="F29" s="16">
        <f t="shared" si="6"/>
        <v>19.933333333331646</v>
      </c>
      <c r="G29" s="16">
        <f t="shared" si="6"/>
        <v>20.655555555554677</v>
      </c>
      <c r="H29" s="17">
        <f t="shared" si="6"/>
        <v>17.76666666666581</v>
      </c>
      <c r="I29" s="17">
        <f t="shared" si="6"/>
        <v>18.488888888889665</v>
      </c>
      <c r="J29" s="17">
        <f t="shared" si="6"/>
        <v>19.211111111112395</v>
      </c>
      <c r="K29" s="18">
        <f t="shared" si="6"/>
        <v>16.32222222222379</v>
      </c>
      <c r="L29" s="18">
        <f t="shared" si="6"/>
        <v>17.044444444443055</v>
      </c>
      <c r="M29" s="18">
        <f t="shared" si="6"/>
        <v>17.76666666666581</v>
      </c>
      <c r="N29" s="19">
        <f t="shared" si="6"/>
        <v>13</v>
      </c>
      <c r="O29" s="19">
        <f t="shared" si="6"/>
        <v>13.72222222222365</v>
      </c>
      <c r="P29" s="19">
        <f t="shared" si="6"/>
        <v>14.444444444445756</v>
      </c>
      <c r="Q29" s="20">
        <f t="shared" si="6"/>
        <v>12.27777777777645</v>
      </c>
      <c r="R29" s="20">
        <f t="shared" si="6"/>
        <v>13</v>
      </c>
      <c r="S29" s="20">
        <f t="shared" si="6"/>
        <v>13.72222222222365</v>
      </c>
      <c r="T29" s="21">
        <f t="shared" si="4"/>
        <v>11.555555555555054</v>
      </c>
      <c r="U29" s="21">
        <f t="shared" si="4"/>
        <v>12.27777777777645</v>
      </c>
      <c r="V29" s="21">
        <f t="shared" si="4"/>
        <v>13</v>
      </c>
      <c r="W29" s="22">
        <f t="shared" si="4"/>
        <v>10.833333333333242</v>
      </c>
      <c r="X29" s="22">
        <f t="shared" si="4"/>
        <v>11.555555555555054</v>
      </c>
      <c r="Y29" s="22">
        <f t="shared" si="4"/>
        <v>12.27777777777645</v>
      </c>
      <c r="Z29" s="23">
        <f t="shared" si="4"/>
        <v>10.111111111111963</v>
      </c>
      <c r="AA29" s="23">
        <f t="shared" si="4"/>
        <v>10.833333333333242</v>
      </c>
      <c r="AB29" s="23">
        <f t="shared" si="4"/>
        <v>11.555555555555054</v>
      </c>
      <c r="AC29" s="24">
        <f t="shared" si="4"/>
        <v>9.3888888888880579</v>
      </c>
      <c r="AD29" s="24">
        <f t="shared" si="4"/>
        <v>10.111111111111963</v>
      </c>
      <c r="AE29" s="24">
        <f t="shared" si="4"/>
        <v>10.833333333333242</v>
      </c>
      <c r="AF29" s="25">
        <f t="shared" si="4"/>
        <v>8.6666666666672789</v>
      </c>
      <c r="AG29" s="25">
        <f t="shared" si="4"/>
        <v>9.3888888888880579</v>
      </c>
      <c r="AH29" s="25">
        <f t="shared" si="4"/>
        <v>10.111111111111963</v>
      </c>
      <c r="AI29" s="26">
        <f t="shared" si="4"/>
        <v>7.944444444443965</v>
      </c>
      <c r="AJ29" s="26">
        <f t="shared" si="5"/>
        <v>8.6666666666672789</v>
      </c>
      <c r="AK29" s="26">
        <f t="shared" si="5"/>
        <v>9.3888888888880579</v>
      </c>
    </row>
    <row r="30" spans="4:37" ht="20.100000000000001" customHeight="1">
      <c r="D30" s="27">
        <f t="shared" si="3"/>
        <v>7.4999999999999983E-2</v>
      </c>
      <c r="E30" s="16">
        <f t="shared" si="6"/>
        <v>19.950000000001282</v>
      </c>
      <c r="F30" s="16">
        <f t="shared" si="6"/>
        <v>20.699999999998312</v>
      </c>
      <c r="G30" s="16">
        <f t="shared" si="6"/>
        <v>21.449999999999122</v>
      </c>
      <c r="H30" s="17">
        <f t="shared" si="6"/>
        <v>18.449999999999143</v>
      </c>
      <c r="I30" s="17">
        <f t="shared" si="6"/>
        <v>19.200000000000777</v>
      </c>
      <c r="J30" s="17">
        <f t="shared" si="6"/>
        <v>19.950000000001282</v>
      </c>
      <c r="K30" s="18">
        <f t="shared" si="6"/>
        <v>16.950000000001566</v>
      </c>
      <c r="L30" s="18">
        <f t="shared" si="6"/>
        <v>17.69999999999861</v>
      </c>
      <c r="M30" s="18">
        <f t="shared" si="6"/>
        <v>18.449999999999143</v>
      </c>
      <c r="N30" s="19">
        <f t="shared" si="6"/>
        <v>13.5</v>
      </c>
      <c r="O30" s="19">
        <f t="shared" si="6"/>
        <v>14.250000000001428</v>
      </c>
      <c r="P30" s="19">
        <f t="shared" si="6"/>
        <v>15.000000000001311</v>
      </c>
      <c r="Q30" s="20">
        <f t="shared" si="6"/>
        <v>12.749999999998671</v>
      </c>
      <c r="R30" s="20">
        <f t="shared" si="6"/>
        <v>13.5</v>
      </c>
      <c r="S30" s="20">
        <f t="shared" si="6"/>
        <v>14.250000000001428</v>
      </c>
      <c r="T30" s="21">
        <f t="shared" si="4"/>
        <v>11.999999999999499</v>
      </c>
      <c r="U30" s="21">
        <f t="shared" si="4"/>
        <v>12.749999999998671</v>
      </c>
      <c r="V30" s="21">
        <f t="shared" si="4"/>
        <v>13.5</v>
      </c>
      <c r="W30" s="22">
        <f t="shared" si="4"/>
        <v>11.249999999999908</v>
      </c>
      <c r="X30" s="22">
        <f t="shared" si="4"/>
        <v>11.999999999999499</v>
      </c>
      <c r="Y30" s="22">
        <f t="shared" si="4"/>
        <v>12.749999999998671</v>
      </c>
      <c r="Z30" s="23">
        <f t="shared" si="4"/>
        <v>10.500000000000853</v>
      </c>
      <c r="AA30" s="23">
        <f t="shared" si="4"/>
        <v>11.249999999999908</v>
      </c>
      <c r="AB30" s="23">
        <f t="shared" si="4"/>
        <v>11.999999999999499</v>
      </c>
      <c r="AC30" s="24">
        <f t="shared" si="4"/>
        <v>9.7499999999991687</v>
      </c>
      <c r="AD30" s="24">
        <f t="shared" si="4"/>
        <v>10.500000000000853</v>
      </c>
      <c r="AE30" s="24">
        <f t="shared" si="4"/>
        <v>11.249999999999908</v>
      </c>
      <c r="AF30" s="25">
        <f t="shared" si="4"/>
        <v>9.0000000000006128</v>
      </c>
      <c r="AG30" s="25">
        <f t="shared" si="4"/>
        <v>9.7499999999991687</v>
      </c>
      <c r="AH30" s="25">
        <f t="shared" si="4"/>
        <v>10.500000000000853</v>
      </c>
      <c r="AI30" s="26">
        <f t="shared" si="4"/>
        <v>8.2499999999995204</v>
      </c>
      <c r="AJ30" s="26">
        <f t="shared" si="5"/>
        <v>9.0000000000006128</v>
      </c>
      <c r="AK30" s="26">
        <f t="shared" si="5"/>
        <v>9.7499999999991687</v>
      </c>
    </row>
    <row r="31" spans="4:37" ht="20.100000000000001" customHeight="1">
      <c r="D31" s="27">
        <f t="shared" si="3"/>
        <v>7.7777777777777765E-2</v>
      </c>
      <c r="E31" s="16">
        <f t="shared" si="6"/>
        <v>20.688888888890169</v>
      </c>
      <c r="F31" s="16">
        <f t="shared" si="6"/>
        <v>21.466666666664977</v>
      </c>
      <c r="G31" s="16">
        <f t="shared" si="6"/>
        <v>22.244444444443566</v>
      </c>
      <c r="H31" s="17">
        <f t="shared" si="6"/>
        <v>19.133333333332477</v>
      </c>
      <c r="I31" s="17">
        <f t="shared" si="6"/>
        <v>19.911111111111889</v>
      </c>
      <c r="J31" s="17">
        <f t="shared" si="6"/>
        <v>20.688888888890169</v>
      </c>
      <c r="K31" s="18">
        <f t="shared" si="6"/>
        <v>17.577777777779342</v>
      </c>
      <c r="L31" s="18">
        <f t="shared" si="6"/>
        <v>18.355555555554165</v>
      </c>
      <c r="M31" s="18">
        <f t="shared" si="6"/>
        <v>19.133333333332477</v>
      </c>
      <c r="N31" s="19">
        <f t="shared" si="6"/>
        <v>14</v>
      </c>
      <c r="O31" s="19">
        <f t="shared" si="6"/>
        <v>14.777777777779207</v>
      </c>
      <c r="P31" s="19">
        <f t="shared" si="6"/>
        <v>15.555555555556866</v>
      </c>
      <c r="Q31" s="20">
        <f t="shared" si="6"/>
        <v>13.222222222220893</v>
      </c>
      <c r="R31" s="20">
        <f t="shared" si="6"/>
        <v>14</v>
      </c>
      <c r="S31" s="20">
        <f t="shared" si="6"/>
        <v>14.777777777779207</v>
      </c>
      <c r="T31" s="21">
        <f t="shared" si="4"/>
        <v>12.444444444443944</v>
      </c>
      <c r="U31" s="21">
        <f t="shared" si="4"/>
        <v>13.222222222220893</v>
      </c>
      <c r="V31" s="21">
        <f t="shared" si="4"/>
        <v>14</v>
      </c>
      <c r="W31" s="22">
        <f t="shared" si="4"/>
        <v>11.666666666666574</v>
      </c>
      <c r="X31" s="22">
        <f t="shared" si="4"/>
        <v>12.444444444443944</v>
      </c>
      <c r="Y31" s="22">
        <f t="shared" si="4"/>
        <v>13.222222222220893</v>
      </c>
      <c r="Z31" s="23">
        <f t="shared" si="4"/>
        <v>10.888888888889742</v>
      </c>
      <c r="AA31" s="23">
        <f t="shared" si="4"/>
        <v>11.666666666666574</v>
      </c>
      <c r="AB31" s="23">
        <f t="shared" si="4"/>
        <v>12.444444444443944</v>
      </c>
      <c r="AC31" s="24">
        <f t="shared" si="4"/>
        <v>10.111111111110279</v>
      </c>
      <c r="AD31" s="24">
        <f t="shared" si="4"/>
        <v>10.888888888889742</v>
      </c>
      <c r="AE31" s="24">
        <f t="shared" si="4"/>
        <v>11.666666666666574</v>
      </c>
      <c r="AF31" s="25">
        <f t="shared" si="4"/>
        <v>9.3333333333339468</v>
      </c>
      <c r="AG31" s="25">
        <f t="shared" si="4"/>
        <v>10.111111111110279</v>
      </c>
      <c r="AH31" s="25">
        <f t="shared" si="4"/>
        <v>10.888888888889742</v>
      </c>
      <c r="AI31" s="26">
        <f t="shared" si="4"/>
        <v>8.5555555555550757</v>
      </c>
      <c r="AJ31" s="26">
        <f t="shared" si="5"/>
        <v>9.3333333333339468</v>
      </c>
      <c r="AK31" s="26">
        <f t="shared" si="5"/>
        <v>10.111111111110279</v>
      </c>
    </row>
    <row r="32" spans="4:37" ht="20.100000000000001" customHeight="1">
      <c r="D32" s="27">
        <f t="shared" si="3"/>
        <v>8.0555555555555547E-2</v>
      </c>
      <c r="E32" s="16">
        <f t="shared" si="6"/>
        <v>21.427777777779056</v>
      </c>
      <c r="F32" s="16">
        <f t="shared" si="6"/>
        <v>22.233333333331643</v>
      </c>
      <c r="G32" s="16">
        <f t="shared" si="6"/>
        <v>23.03888888888801</v>
      </c>
      <c r="H32" s="17">
        <f t="shared" si="6"/>
        <v>19.81666666666581</v>
      </c>
      <c r="I32" s="17">
        <f t="shared" si="6"/>
        <v>20.622222222223002</v>
      </c>
      <c r="J32" s="17">
        <f t="shared" si="6"/>
        <v>21.427777777779056</v>
      </c>
      <c r="K32" s="18">
        <f t="shared" si="6"/>
        <v>18.205555555557119</v>
      </c>
      <c r="L32" s="18">
        <f t="shared" si="6"/>
        <v>19.01111111110972</v>
      </c>
      <c r="M32" s="18">
        <f t="shared" si="6"/>
        <v>19.81666666666581</v>
      </c>
      <c r="N32" s="19">
        <f t="shared" si="6"/>
        <v>14.5</v>
      </c>
      <c r="O32" s="19">
        <f t="shared" si="6"/>
        <v>15.305555555556985</v>
      </c>
      <c r="P32" s="19">
        <f t="shared" si="6"/>
        <v>16.111111111112422</v>
      </c>
      <c r="Q32" s="20">
        <f t="shared" si="6"/>
        <v>13.694444444443114</v>
      </c>
      <c r="R32" s="20">
        <f t="shared" si="6"/>
        <v>14.5</v>
      </c>
      <c r="S32" s="20">
        <f t="shared" si="6"/>
        <v>15.305555555556985</v>
      </c>
      <c r="T32" s="21">
        <f t="shared" si="4"/>
        <v>12.888888888888388</v>
      </c>
      <c r="U32" s="21">
        <f t="shared" si="4"/>
        <v>13.694444444443114</v>
      </c>
      <c r="V32" s="21">
        <f t="shared" si="4"/>
        <v>14.5</v>
      </c>
      <c r="W32" s="22">
        <f t="shared" si="4"/>
        <v>12.08333333333324</v>
      </c>
      <c r="X32" s="22">
        <f t="shared" si="4"/>
        <v>12.888888888888388</v>
      </c>
      <c r="Y32" s="22">
        <f t="shared" si="4"/>
        <v>13.694444444443114</v>
      </c>
      <c r="Z32" s="23">
        <f t="shared" si="4"/>
        <v>11.277777777778631</v>
      </c>
      <c r="AA32" s="23">
        <f t="shared" si="4"/>
        <v>12.08333333333324</v>
      </c>
      <c r="AB32" s="23">
        <f t="shared" si="4"/>
        <v>12.888888888888388</v>
      </c>
      <c r="AC32" s="24">
        <f t="shared" si="4"/>
        <v>10.47222222222139</v>
      </c>
      <c r="AD32" s="24">
        <f t="shared" si="4"/>
        <v>11.277777777778631</v>
      </c>
      <c r="AE32" s="24">
        <f t="shared" si="4"/>
        <v>12.08333333333324</v>
      </c>
      <c r="AF32" s="25">
        <f t="shared" si="4"/>
        <v>9.6666666666672807</v>
      </c>
      <c r="AG32" s="25">
        <f t="shared" si="4"/>
        <v>10.47222222222139</v>
      </c>
      <c r="AH32" s="25">
        <f t="shared" si="4"/>
        <v>11.277777777778631</v>
      </c>
      <c r="AI32" s="26">
        <f t="shared" si="4"/>
        <v>8.8611111111106311</v>
      </c>
      <c r="AJ32" s="26">
        <f t="shared" si="5"/>
        <v>9.6666666666672807</v>
      </c>
      <c r="AK32" s="26">
        <f t="shared" si="5"/>
        <v>10.47222222222139</v>
      </c>
    </row>
    <row r="33" spans="4:37" ht="20.100000000000001" customHeight="1">
      <c r="D33" s="27">
        <f t="shared" si="3"/>
        <v>8.3333333333333329E-2</v>
      </c>
      <c r="E33" s="16">
        <f t="shared" si="6"/>
        <v>22.166666666667943</v>
      </c>
      <c r="F33" s="16">
        <f t="shared" si="6"/>
        <v>22.999999999998309</v>
      </c>
      <c r="G33" s="16">
        <f t="shared" si="6"/>
        <v>23.833333333332455</v>
      </c>
      <c r="H33" s="17">
        <f t="shared" si="6"/>
        <v>20.499999999999144</v>
      </c>
      <c r="I33" s="17">
        <f t="shared" si="6"/>
        <v>21.333333333334114</v>
      </c>
      <c r="J33" s="17">
        <f t="shared" si="6"/>
        <v>22.166666666667943</v>
      </c>
      <c r="K33" s="18">
        <f t="shared" si="6"/>
        <v>18.833333333334895</v>
      </c>
      <c r="L33" s="18">
        <f t="shared" si="6"/>
        <v>19.666666666665275</v>
      </c>
      <c r="M33" s="18">
        <f t="shared" si="6"/>
        <v>20.499999999999144</v>
      </c>
      <c r="N33" s="19">
        <f t="shared" si="6"/>
        <v>15</v>
      </c>
      <c r="O33" s="19">
        <f t="shared" si="6"/>
        <v>15.833333333334764</v>
      </c>
      <c r="P33" s="19">
        <f t="shared" si="6"/>
        <v>16.666666666667979</v>
      </c>
      <c r="Q33" s="20">
        <f t="shared" si="6"/>
        <v>14.166666666665336</v>
      </c>
      <c r="R33" s="20">
        <f t="shared" si="6"/>
        <v>15</v>
      </c>
      <c r="S33" s="20">
        <f t="shared" si="6"/>
        <v>15.833333333334764</v>
      </c>
      <c r="T33" s="21">
        <f t="shared" si="4"/>
        <v>13.333333333332833</v>
      </c>
      <c r="U33" s="21">
        <f t="shared" si="4"/>
        <v>14.166666666665336</v>
      </c>
      <c r="V33" s="21">
        <f t="shared" si="4"/>
        <v>15</v>
      </c>
      <c r="W33" s="22">
        <f t="shared" si="4"/>
        <v>12.499999999999906</v>
      </c>
      <c r="X33" s="22">
        <f t="shared" si="4"/>
        <v>13.333333333332833</v>
      </c>
      <c r="Y33" s="22">
        <f t="shared" si="4"/>
        <v>14.166666666665336</v>
      </c>
      <c r="Z33" s="23">
        <f t="shared" si="4"/>
        <v>11.666666666667521</v>
      </c>
      <c r="AA33" s="23">
        <f t="shared" si="4"/>
        <v>12.499999999999906</v>
      </c>
      <c r="AB33" s="23">
        <f t="shared" si="4"/>
        <v>13.333333333332833</v>
      </c>
      <c r="AC33" s="24">
        <f t="shared" si="4"/>
        <v>10.833333333332501</v>
      </c>
      <c r="AD33" s="24">
        <f t="shared" si="4"/>
        <v>11.666666666667521</v>
      </c>
      <c r="AE33" s="24">
        <f t="shared" si="4"/>
        <v>12.499999999999906</v>
      </c>
      <c r="AF33" s="25">
        <f t="shared" si="4"/>
        <v>10.000000000000615</v>
      </c>
      <c r="AG33" s="25">
        <f t="shared" si="4"/>
        <v>10.833333333332501</v>
      </c>
      <c r="AH33" s="25">
        <f t="shared" si="4"/>
        <v>11.666666666667521</v>
      </c>
      <c r="AI33" s="26">
        <f t="shared" si="4"/>
        <v>9.1666666666661865</v>
      </c>
      <c r="AJ33" s="26">
        <f t="shared" si="5"/>
        <v>10.000000000000615</v>
      </c>
      <c r="AK33" s="26">
        <f t="shared" si="5"/>
        <v>10.833333333332501</v>
      </c>
    </row>
    <row r="34" spans="4:37" ht="20.100000000000001" customHeight="1">
      <c r="D34" s="27">
        <f t="shared" si="3"/>
        <v>8.611111111111111E-2</v>
      </c>
      <c r="E34" s="16">
        <f t="shared" si="6"/>
        <v>22.90555555555683</v>
      </c>
      <c r="F34" s="16">
        <f t="shared" si="6"/>
        <v>23.766666666664975</v>
      </c>
      <c r="G34" s="16">
        <f t="shared" si="6"/>
        <v>24.627777777776899</v>
      </c>
      <c r="H34" s="17">
        <f t="shared" si="6"/>
        <v>21.183333333332477</v>
      </c>
      <c r="I34" s="17">
        <f t="shared" si="6"/>
        <v>22.044444444445226</v>
      </c>
      <c r="J34" s="17">
        <f t="shared" si="6"/>
        <v>22.90555555555683</v>
      </c>
      <c r="K34" s="18">
        <f t="shared" si="6"/>
        <v>19.461111111112672</v>
      </c>
      <c r="L34" s="18">
        <f t="shared" si="6"/>
        <v>20.32222222222083</v>
      </c>
      <c r="M34" s="18">
        <f t="shared" si="6"/>
        <v>21.183333333332477</v>
      </c>
      <c r="N34" s="19">
        <f t="shared" si="6"/>
        <v>15.5</v>
      </c>
      <c r="O34" s="19">
        <f t="shared" si="6"/>
        <v>16.361111111112542</v>
      </c>
      <c r="P34" s="19">
        <f t="shared" si="6"/>
        <v>17.222222222223536</v>
      </c>
      <c r="Q34" s="20">
        <f t="shared" si="6"/>
        <v>14.638888888887557</v>
      </c>
      <c r="R34" s="20">
        <f t="shared" si="6"/>
        <v>15.5</v>
      </c>
      <c r="S34" s="20">
        <f t="shared" si="6"/>
        <v>16.361111111112542</v>
      </c>
      <c r="T34" s="21">
        <f t="shared" si="4"/>
        <v>13.777777777777278</v>
      </c>
      <c r="U34" s="21">
        <f t="shared" si="4"/>
        <v>14.638888888887557</v>
      </c>
      <c r="V34" s="21">
        <f t="shared" si="4"/>
        <v>15.5</v>
      </c>
      <c r="W34" s="22">
        <f t="shared" si="4"/>
        <v>12.916666666666572</v>
      </c>
      <c r="X34" s="22">
        <f t="shared" si="4"/>
        <v>13.777777777777278</v>
      </c>
      <c r="Y34" s="22">
        <f t="shared" si="4"/>
        <v>14.638888888887557</v>
      </c>
      <c r="Z34" s="23">
        <f t="shared" si="4"/>
        <v>12.05555555555641</v>
      </c>
      <c r="AA34" s="23">
        <f t="shared" si="4"/>
        <v>12.916666666666572</v>
      </c>
      <c r="AB34" s="23">
        <f t="shared" si="4"/>
        <v>13.777777777777278</v>
      </c>
      <c r="AC34" s="24">
        <f t="shared" si="4"/>
        <v>11.194444444443612</v>
      </c>
      <c r="AD34" s="24">
        <f t="shared" si="4"/>
        <v>12.05555555555641</v>
      </c>
      <c r="AE34" s="24">
        <f t="shared" si="4"/>
        <v>12.916666666666572</v>
      </c>
      <c r="AF34" s="25">
        <f t="shared" si="4"/>
        <v>10.333333333333949</v>
      </c>
      <c r="AG34" s="25">
        <f t="shared" si="4"/>
        <v>11.194444444443612</v>
      </c>
      <c r="AH34" s="25">
        <f t="shared" ref="AE34:AK70" si="7">AH35-(AH$363/360)</f>
        <v>12.05555555555641</v>
      </c>
      <c r="AI34" s="26">
        <f t="shared" si="7"/>
        <v>9.4722222222217418</v>
      </c>
      <c r="AJ34" s="26">
        <f t="shared" si="7"/>
        <v>10.333333333333949</v>
      </c>
      <c r="AK34" s="26">
        <f t="shared" si="7"/>
        <v>11.194444444443612</v>
      </c>
    </row>
    <row r="35" spans="4:37" ht="20.100000000000001" customHeight="1">
      <c r="D35" s="27">
        <f t="shared" si="3"/>
        <v>8.8888888888888892E-2</v>
      </c>
      <c r="E35" s="16">
        <f t="shared" si="6"/>
        <v>23.644444444445718</v>
      </c>
      <c r="F35" s="16">
        <f t="shared" si="6"/>
        <v>24.53333333333164</v>
      </c>
      <c r="G35" s="16">
        <f t="shared" si="6"/>
        <v>25.422222222221343</v>
      </c>
      <c r="H35" s="17">
        <f t="shared" si="6"/>
        <v>21.866666666665811</v>
      </c>
      <c r="I35" s="17">
        <f t="shared" si="6"/>
        <v>22.755555555556338</v>
      </c>
      <c r="J35" s="17">
        <f t="shared" si="6"/>
        <v>23.644444444445718</v>
      </c>
      <c r="K35" s="18">
        <f t="shared" si="6"/>
        <v>20.088888888890448</v>
      </c>
      <c r="L35" s="18">
        <f t="shared" si="6"/>
        <v>20.977777777776385</v>
      </c>
      <c r="M35" s="18">
        <f t="shared" si="6"/>
        <v>21.866666666665811</v>
      </c>
      <c r="N35" s="19">
        <f t="shared" si="6"/>
        <v>16</v>
      </c>
      <c r="O35" s="19">
        <f t="shared" si="6"/>
        <v>16.888888888890321</v>
      </c>
      <c r="P35" s="19">
        <f t="shared" si="6"/>
        <v>17.777777777779093</v>
      </c>
      <c r="Q35" s="20">
        <f t="shared" si="6"/>
        <v>15.111111111109778</v>
      </c>
      <c r="R35" s="20">
        <f t="shared" si="6"/>
        <v>16</v>
      </c>
      <c r="S35" s="20">
        <f t="shared" si="6"/>
        <v>16.888888888890321</v>
      </c>
      <c r="T35" s="21">
        <f t="shared" ref="T35:AG55" si="8">T36-(T$363/360)</f>
        <v>14.222222222221722</v>
      </c>
      <c r="U35" s="21">
        <f t="shared" si="8"/>
        <v>15.111111111109778</v>
      </c>
      <c r="V35" s="21">
        <f t="shared" si="8"/>
        <v>16</v>
      </c>
      <c r="W35" s="22">
        <f t="shared" si="8"/>
        <v>13.333333333333238</v>
      </c>
      <c r="X35" s="22">
        <f t="shared" si="8"/>
        <v>14.222222222221722</v>
      </c>
      <c r="Y35" s="22">
        <f t="shared" si="8"/>
        <v>15.111111111109778</v>
      </c>
      <c r="Z35" s="23">
        <f t="shared" si="8"/>
        <v>12.444444444445299</v>
      </c>
      <c r="AA35" s="23">
        <f t="shared" si="8"/>
        <v>13.333333333333238</v>
      </c>
      <c r="AB35" s="23">
        <f t="shared" si="8"/>
        <v>14.222222222221722</v>
      </c>
      <c r="AC35" s="24">
        <f t="shared" si="8"/>
        <v>11.555555555554722</v>
      </c>
      <c r="AD35" s="24">
        <f t="shared" si="8"/>
        <v>12.444444444445299</v>
      </c>
      <c r="AE35" s="24">
        <f t="shared" si="7"/>
        <v>13.333333333333238</v>
      </c>
      <c r="AF35" s="25">
        <f t="shared" si="7"/>
        <v>10.666666666667282</v>
      </c>
      <c r="AG35" s="25">
        <f t="shared" si="7"/>
        <v>11.555555555554722</v>
      </c>
      <c r="AH35" s="25">
        <f t="shared" si="7"/>
        <v>12.444444444445299</v>
      </c>
      <c r="AI35" s="26">
        <f t="shared" si="7"/>
        <v>9.7777777777772972</v>
      </c>
      <c r="AJ35" s="26">
        <f t="shared" si="7"/>
        <v>10.666666666667282</v>
      </c>
      <c r="AK35" s="26">
        <f t="shared" si="7"/>
        <v>11.555555555554722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24.383333333334605</v>
      </c>
      <c r="F36" s="16">
        <f t="shared" si="9"/>
        <v>25.299999999998306</v>
      </c>
      <c r="G36" s="16">
        <f t="shared" si="9"/>
        <v>26.216666666665787</v>
      </c>
      <c r="H36" s="17">
        <f t="shared" si="9"/>
        <v>22.549999999999145</v>
      </c>
      <c r="I36" s="17">
        <f t="shared" si="9"/>
        <v>23.46666666666745</v>
      </c>
      <c r="J36" s="17">
        <f t="shared" si="9"/>
        <v>24.383333333334605</v>
      </c>
      <c r="K36" s="18">
        <f t="shared" si="9"/>
        <v>20.716666666668225</v>
      </c>
      <c r="L36" s="18">
        <f t="shared" si="9"/>
        <v>21.63333333333194</v>
      </c>
      <c r="M36" s="18">
        <f t="shared" si="9"/>
        <v>22.549999999999145</v>
      </c>
      <c r="N36" s="19">
        <f t="shared" si="9"/>
        <v>16.5</v>
      </c>
      <c r="O36" s="19">
        <f t="shared" si="9"/>
        <v>17.4166666666681</v>
      </c>
      <c r="P36" s="19">
        <f t="shared" si="9"/>
        <v>18.33333333333465</v>
      </c>
      <c r="Q36" s="20">
        <f t="shared" si="9"/>
        <v>15.583333333332</v>
      </c>
      <c r="R36" s="20">
        <f t="shared" si="9"/>
        <v>16.5</v>
      </c>
      <c r="S36" s="20">
        <f t="shared" si="9"/>
        <v>17.4166666666681</v>
      </c>
      <c r="T36" s="21">
        <f t="shared" si="8"/>
        <v>14.666666666666167</v>
      </c>
      <c r="U36" s="21">
        <f t="shared" si="8"/>
        <v>15.583333333332</v>
      </c>
      <c r="V36" s="21">
        <f t="shared" si="8"/>
        <v>16.5</v>
      </c>
      <c r="W36" s="22">
        <f t="shared" si="8"/>
        <v>13.749999999999904</v>
      </c>
      <c r="X36" s="22">
        <f t="shared" si="8"/>
        <v>14.666666666666167</v>
      </c>
      <c r="Y36" s="22">
        <f t="shared" si="8"/>
        <v>15.583333333332</v>
      </c>
      <c r="Z36" s="23">
        <f t="shared" si="8"/>
        <v>12.833333333334188</v>
      </c>
      <c r="AA36" s="23">
        <f t="shared" si="8"/>
        <v>13.749999999999904</v>
      </c>
      <c r="AB36" s="23">
        <f t="shared" si="8"/>
        <v>14.666666666666167</v>
      </c>
      <c r="AC36" s="24">
        <f t="shared" si="8"/>
        <v>11.916666666665833</v>
      </c>
      <c r="AD36" s="24">
        <f t="shared" si="8"/>
        <v>12.833333333334188</v>
      </c>
      <c r="AE36" s="24">
        <f t="shared" si="7"/>
        <v>13.749999999999904</v>
      </c>
      <c r="AF36" s="25">
        <f t="shared" si="7"/>
        <v>11.000000000000616</v>
      </c>
      <c r="AG36" s="25">
        <f t="shared" si="7"/>
        <v>11.916666666665833</v>
      </c>
      <c r="AH36" s="25">
        <f t="shared" si="7"/>
        <v>12.833333333334188</v>
      </c>
      <c r="AI36" s="26">
        <f t="shared" si="7"/>
        <v>10.083333333332853</v>
      </c>
      <c r="AJ36" s="26">
        <f t="shared" si="7"/>
        <v>11.000000000000616</v>
      </c>
      <c r="AK36" s="26">
        <f t="shared" si="7"/>
        <v>11.916666666665833</v>
      </c>
    </row>
    <row r="37" spans="4:37" ht="20.100000000000001" customHeight="1">
      <c r="D37" s="27">
        <f t="shared" si="3"/>
        <v>9.4444444444444456E-2</v>
      </c>
      <c r="E37" s="16">
        <f t="shared" si="9"/>
        <v>25.122222222223492</v>
      </c>
      <c r="F37" s="16">
        <f t="shared" si="9"/>
        <v>26.066666666664972</v>
      </c>
      <c r="G37" s="16">
        <f t="shared" si="9"/>
        <v>27.011111111110232</v>
      </c>
      <c r="H37" s="17">
        <f t="shared" si="9"/>
        <v>23.233333333332478</v>
      </c>
      <c r="I37" s="17">
        <f t="shared" si="9"/>
        <v>24.177777777778562</v>
      </c>
      <c r="J37" s="17">
        <f t="shared" si="9"/>
        <v>25.122222222223492</v>
      </c>
      <c r="K37" s="18">
        <f t="shared" si="9"/>
        <v>21.344444444446001</v>
      </c>
      <c r="L37" s="18">
        <f t="shared" si="9"/>
        <v>22.288888888887495</v>
      </c>
      <c r="M37" s="18">
        <f t="shared" si="9"/>
        <v>23.233333333332478</v>
      </c>
      <c r="N37" s="19">
        <f t="shared" si="9"/>
        <v>17</v>
      </c>
      <c r="O37" s="19">
        <f t="shared" si="9"/>
        <v>17.944444444445878</v>
      </c>
      <c r="P37" s="19">
        <f t="shared" si="9"/>
        <v>18.888888888890207</v>
      </c>
      <c r="Q37" s="20">
        <f t="shared" si="9"/>
        <v>16.055555555554221</v>
      </c>
      <c r="R37" s="20">
        <f t="shared" si="9"/>
        <v>17</v>
      </c>
      <c r="S37" s="20">
        <f t="shared" si="9"/>
        <v>17.944444444445878</v>
      </c>
      <c r="T37" s="21">
        <f t="shared" si="8"/>
        <v>15.111111111110612</v>
      </c>
      <c r="U37" s="21">
        <f t="shared" si="8"/>
        <v>16.055555555554221</v>
      </c>
      <c r="V37" s="21">
        <f t="shared" si="8"/>
        <v>17</v>
      </c>
      <c r="W37" s="22">
        <f t="shared" si="8"/>
        <v>14.16666666666657</v>
      </c>
      <c r="X37" s="22">
        <f t="shared" si="8"/>
        <v>15.111111111110612</v>
      </c>
      <c r="Y37" s="22">
        <f t="shared" si="8"/>
        <v>16.055555555554221</v>
      </c>
      <c r="Z37" s="23">
        <f t="shared" si="8"/>
        <v>13.222222222223078</v>
      </c>
      <c r="AA37" s="23">
        <f t="shared" si="8"/>
        <v>14.16666666666657</v>
      </c>
      <c r="AB37" s="23">
        <f t="shared" si="8"/>
        <v>15.111111111110612</v>
      </c>
      <c r="AC37" s="24">
        <f t="shared" si="8"/>
        <v>12.277777777776944</v>
      </c>
      <c r="AD37" s="24">
        <f t="shared" si="8"/>
        <v>13.222222222223078</v>
      </c>
      <c r="AE37" s="24">
        <f t="shared" si="7"/>
        <v>14.16666666666657</v>
      </c>
      <c r="AF37" s="25">
        <f t="shared" si="7"/>
        <v>11.33333333333395</v>
      </c>
      <c r="AG37" s="25">
        <f t="shared" si="7"/>
        <v>12.277777777776944</v>
      </c>
      <c r="AH37" s="25">
        <f t="shared" si="7"/>
        <v>13.222222222223078</v>
      </c>
      <c r="AI37" s="26">
        <f t="shared" si="7"/>
        <v>10.388888888888408</v>
      </c>
      <c r="AJ37" s="26">
        <f t="shared" si="7"/>
        <v>11.33333333333395</v>
      </c>
      <c r="AK37" s="26">
        <f t="shared" si="7"/>
        <v>12.277777777776944</v>
      </c>
    </row>
    <row r="38" spans="4:37" ht="20.100000000000001" customHeight="1">
      <c r="D38" s="27">
        <f t="shared" si="3"/>
        <v>9.7222222222222238E-2</v>
      </c>
      <c r="E38" s="16">
        <f t="shared" si="9"/>
        <v>25.861111111112379</v>
      </c>
      <c r="F38" s="16">
        <f t="shared" si="9"/>
        <v>26.833333333331638</v>
      </c>
      <c r="G38" s="16">
        <f t="shared" si="9"/>
        <v>27.805555555554676</v>
      </c>
      <c r="H38" s="17">
        <f t="shared" si="9"/>
        <v>23.916666666665812</v>
      </c>
      <c r="I38" s="17">
        <f t="shared" si="9"/>
        <v>24.888888888889674</v>
      </c>
      <c r="J38" s="17">
        <f t="shared" si="9"/>
        <v>25.861111111112379</v>
      </c>
      <c r="K38" s="18">
        <f t="shared" si="9"/>
        <v>21.972222222223778</v>
      </c>
      <c r="L38" s="18">
        <f t="shared" si="9"/>
        <v>22.94444444444305</v>
      </c>
      <c r="M38" s="18">
        <f t="shared" si="9"/>
        <v>23.916666666665812</v>
      </c>
      <c r="N38" s="19">
        <f t="shared" si="9"/>
        <v>17.5</v>
      </c>
      <c r="O38" s="19">
        <f t="shared" si="9"/>
        <v>18.472222222223657</v>
      </c>
      <c r="P38" s="19">
        <f t="shared" si="9"/>
        <v>19.444444444445764</v>
      </c>
      <c r="Q38" s="20">
        <f t="shared" si="9"/>
        <v>16.527777777776443</v>
      </c>
      <c r="R38" s="20">
        <f t="shared" si="9"/>
        <v>17.5</v>
      </c>
      <c r="S38" s="20">
        <f t="shared" si="9"/>
        <v>18.472222222223657</v>
      </c>
      <c r="T38" s="21">
        <f t="shared" si="8"/>
        <v>15.555555555555056</v>
      </c>
      <c r="U38" s="21">
        <f t="shared" si="8"/>
        <v>16.527777777776443</v>
      </c>
      <c r="V38" s="21">
        <f t="shared" si="8"/>
        <v>17.5</v>
      </c>
      <c r="W38" s="22">
        <f t="shared" si="8"/>
        <v>14.583333333333236</v>
      </c>
      <c r="X38" s="22">
        <f t="shared" si="8"/>
        <v>15.555555555555056</v>
      </c>
      <c r="Y38" s="22">
        <f t="shared" si="8"/>
        <v>16.527777777776443</v>
      </c>
      <c r="Z38" s="23">
        <f t="shared" si="8"/>
        <v>13.611111111111967</v>
      </c>
      <c r="AA38" s="23">
        <f t="shared" si="8"/>
        <v>14.583333333333236</v>
      </c>
      <c r="AB38" s="23">
        <f t="shared" si="8"/>
        <v>15.555555555555056</v>
      </c>
      <c r="AC38" s="24">
        <f t="shared" si="8"/>
        <v>12.638888888888054</v>
      </c>
      <c r="AD38" s="24">
        <f t="shared" si="8"/>
        <v>13.611111111111967</v>
      </c>
      <c r="AE38" s="24">
        <f t="shared" si="7"/>
        <v>14.583333333333236</v>
      </c>
      <c r="AF38" s="25">
        <f t="shared" si="7"/>
        <v>11.666666666667284</v>
      </c>
      <c r="AG38" s="25">
        <f t="shared" si="7"/>
        <v>12.638888888888054</v>
      </c>
      <c r="AH38" s="25">
        <f t="shared" si="7"/>
        <v>13.611111111111967</v>
      </c>
      <c r="AI38" s="26">
        <f t="shared" si="7"/>
        <v>10.694444444443963</v>
      </c>
      <c r="AJ38" s="26">
        <f t="shared" si="7"/>
        <v>11.666666666667284</v>
      </c>
      <c r="AK38" s="26">
        <f t="shared" si="7"/>
        <v>12.638888888888054</v>
      </c>
    </row>
    <row r="39" spans="4:37" ht="20.100000000000001" customHeight="1">
      <c r="D39" s="27">
        <f t="shared" si="3"/>
        <v>0.10000000000000002</v>
      </c>
      <c r="E39" s="16">
        <f t="shared" si="9"/>
        <v>26.600000000001266</v>
      </c>
      <c r="F39" s="16">
        <f t="shared" si="9"/>
        <v>27.599999999998303</v>
      </c>
      <c r="G39" s="16">
        <f t="shared" si="9"/>
        <v>28.59999999999912</v>
      </c>
      <c r="H39" s="17">
        <f t="shared" si="9"/>
        <v>24.599999999999145</v>
      </c>
      <c r="I39" s="17">
        <f t="shared" si="9"/>
        <v>25.600000000000787</v>
      </c>
      <c r="J39" s="17">
        <f t="shared" si="9"/>
        <v>26.600000000001266</v>
      </c>
      <c r="K39" s="18">
        <f t="shared" si="9"/>
        <v>22.600000000001554</v>
      </c>
      <c r="L39" s="18">
        <f t="shared" si="9"/>
        <v>23.599999999998605</v>
      </c>
      <c r="M39" s="18">
        <f t="shared" si="9"/>
        <v>24.599999999999145</v>
      </c>
      <c r="N39" s="19">
        <f t="shared" si="9"/>
        <v>18</v>
      </c>
      <c r="O39" s="19">
        <f t="shared" si="9"/>
        <v>19.000000000001435</v>
      </c>
      <c r="P39" s="19">
        <f t="shared" si="9"/>
        <v>20.000000000001322</v>
      </c>
      <c r="Q39" s="20">
        <f t="shared" si="9"/>
        <v>16.999999999998664</v>
      </c>
      <c r="R39" s="20">
        <f t="shared" si="9"/>
        <v>18</v>
      </c>
      <c r="S39" s="20">
        <f t="shared" si="9"/>
        <v>19.000000000001435</v>
      </c>
      <c r="T39" s="21">
        <f t="shared" si="8"/>
        <v>15.999999999999501</v>
      </c>
      <c r="U39" s="21">
        <f t="shared" si="8"/>
        <v>16.999999999998664</v>
      </c>
      <c r="V39" s="21">
        <f t="shared" si="8"/>
        <v>18</v>
      </c>
      <c r="W39" s="22">
        <f t="shared" si="8"/>
        <v>14.999999999999902</v>
      </c>
      <c r="X39" s="22">
        <f t="shared" si="8"/>
        <v>15.999999999999501</v>
      </c>
      <c r="Y39" s="22">
        <f t="shared" si="8"/>
        <v>16.999999999998664</v>
      </c>
      <c r="Z39" s="23">
        <f t="shared" si="8"/>
        <v>14.000000000000856</v>
      </c>
      <c r="AA39" s="23">
        <f t="shared" si="8"/>
        <v>14.999999999999902</v>
      </c>
      <c r="AB39" s="23">
        <f t="shared" si="8"/>
        <v>15.999999999999501</v>
      </c>
      <c r="AC39" s="24">
        <f t="shared" si="8"/>
        <v>12.999999999999165</v>
      </c>
      <c r="AD39" s="24">
        <f t="shared" si="8"/>
        <v>14.000000000000856</v>
      </c>
      <c r="AE39" s="24">
        <f t="shared" si="7"/>
        <v>14.999999999999902</v>
      </c>
      <c r="AF39" s="25">
        <f t="shared" si="7"/>
        <v>12.000000000000618</v>
      </c>
      <c r="AG39" s="25">
        <f t="shared" si="7"/>
        <v>12.999999999999165</v>
      </c>
      <c r="AH39" s="25">
        <f t="shared" si="7"/>
        <v>14.000000000000856</v>
      </c>
      <c r="AI39" s="26">
        <f t="shared" si="7"/>
        <v>10.999999999999519</v>
      </c>
      <c r="AJ39" s="26">
        <f t="shared" si="7"/>
        <v>12.000000000000618</v>
      </c>
      <c r="AK39" s="26">
        <f t="shared" si="7"/>
        <v>12.999999999999165</v>
      </c>
    </row>
    <row r="40" spans="4:37" ht="20.100000000000001" customHeight="1">
      <c r="D40" s="27">
        <f t="shared" si="3"/>
        <v>0.1027777777777778</v>
      </c>
      <c r="E40" s="16">
        <f t="shared" si="9"/>
        <v>27.338888888890153</v>
      </c>
      <c r="F40" s="16">
        <f t="shared" si="9"/>
        <v>28.366666666664969</v>
      </c>
      <c r="G40" s="16">
        <f t="shared" si="9"/>
        <v>29.394444444443565</v>
      </c>
      <c r="H40" s="17">
        <f t="shared" si="9"/>
        <v>25.283333333332479</v>
      </c>
      <c r="I40" s="17">
        <f t="shared" si="9"/>
        <v>26.311111111111899</v>
      </c>
      <c r="J40" s="17">
        <f t="shared" si="9"/>
        <v>27.338888888890153</v>
      </c>
      <c r="K40" s="18">
        <f t="shared" si="9"/>
        <v>23.22777777777933</v>
      </c>
      <c r="L40" s="18">
        <f t="shared" si="9"/>
        <v>24.25555555555416</v>
      </c>
      <c r="M40" s="18">
        <f t="shared" si="9"/>
        <v>25.283333333332479</v>
      </c>
      <c r="N40" s="19">
        <f t="shared" si="9"/>
        <v>18.5</v>
      </c>
      <c r="O40" s="19">
        <f t="shared" si="9"/>
        <v>19.527777777779214</v>
      </c>
      <c r="P40" s="19">
        <f t="shared" si="9"/>
        <v>20.555555555556879</v>
      </c>
      <c r="Q40" s="20">
        <f t="shared" si="9"/>
        <v>17.472222222220886</v>
      </c>
      <c r="R40" s="20">
        <f t="shared" si="9"/>
        <v>18.5</v>
      </c>
      <c r="S40" s="20">
        <f t="shared" si="9"/>
        <v>19.527777777779214</v>
      </c>
      <c r="T40" s="21">
        <f t="shared" si="8"/>
        <v>16.444444444443945</v>
      </c>
      <c r="U40" s="21">
        <f t="shared" si="8"/>
        <v>17.472222222220886</v>
      </c>
      <c r="V40" s="21">
        <f t="shared" si="8"/>
        <v>18.5</v>
      </c>
      <c r="W40" s="22">
        <f t="shared" si="8"/>
        <v>15.416666666666568</v>
      </c>
      <c r="X40" s="22">
        <f t="shared" si="8"/>
        <v>16.444444444443945</v>
      </c>
      <c r="Y40" s="22">
        <f t="shared" si="8"/>
        <v>17.472222222220886</v>
      </c>
      <c r="Z40" s="23">
        <f t="shared" si="8"/>
        <v>14.388888888889745</v>
      </c>
      <c r="AA40" s="23">
        <f t="shared" si="8"/>
        <v>15.416666666666568</v>
      </c>
      <c r="AB40" s="23">
        <f t="shared" si="8"/>
        <v>16.444444444443945</v>
      </c>
      <c r="AC40" s="24">
        <f t="shared" si="8"/>
        <v>13.361111111110276</v>
      </c>
      <c r="AD40" s="24">
        <f t="shared" si="8"/>
        <v>14.388888888889745</v>
      </c>
      <c r="AE40" s="24">
        <f>AE41-(AE$363/360)</f>
        <v>15.416666666666568</v>
      </c>
      <c r="AF40" s="25">
        <f>AF41-(AF$363/360)</f>
        <v>12.333333333333952</v>
      </c>
      <c r="AG40" s="25">
        <f>AG41-(AG$363/360)</f>
        <v>13.361111111110276</v>
      </c>
      <c r="AH40" s="25">
        <f>AH41-(AH$363/360)</f>
        <v>14.388888888889745</v>
      </c>
      <c r="AI40" s="26">
        <f>AI41-(AI$363/360)</f>
        <v>11.305555555555074</v>
      </c>
      <c r="AJ40" s="26">
        <f t="shared" si="7"/>
        <v>12.333333333333952</v>
      </c>
      <c r="AK40" s="26">
        <f t="shared" si="7"/>
        <v>13.361111111110276</v>
      </c>
    </row>
    <row r="41" spans="4:37" ht="20.100000000000001" customHeight="1">
      <c r="D41" s="27">
        <f t="shared" si="3"/>
        <v>0.10555555555555558</v>
      </c>
      <c r="E41" s="16">
        <f t="shared" si="9"/>
        <v>28.07777777777904</v>
      </c>
      <c r="F41" s="16">
        <f t="shared" si="9"/>
        <v>29.133333333331635</v>
      </c>
      <c r="G41" s="16">
        <f t="shared" si="9"/>
        <v>30.188888888888009</v>
      </c>
      <c r="H41" s="17">
        <f t="shared" si="9"/>
        <v>25.966666666665812</v>
      </c>
      <c r="I41" s="17">
        <f t="shared" si="9"/>
        <v>27.022222222223011</v>
      </c>
      <c r="J41" s="17">
        <f t="shared" si="9"/>
        <v>28.07777777777904</v>
      </c>
      <c r="K41" s="18">
        <f t="shared" si="9"/>
        <v>23.855555555557107</v>
      </c>
      <c r="L41" s="18">
        <f t="shared" si="9"/>
        <v>24.911111111109715</v>
      </c>
      <c r="M41" s="18">
        <f t="shared" si="9"/>
        <v>25.966666666665812</v>
      </c>
      <c r="N41" s="19">
        <f t="shared" si="9"/>
        <v>19</v>
      </c>
      <c r="O41" s="19">
        <f t="shared" si="9"/>
        <v>20.055555555556992</v>
      </c>
      <c r="P41" s="19">
        <f t="shared" si="9"/>
        <v>21.111111111112436</v>
      </c>
      <c r="Q41" s="20">
        <f t="shared" si="9"/>
        <v>17.944444444443107</v>
      </c>
      <c r="R41" s="20">
        <f t="shared" si="9"/>
        <v>19</v>
      </c>
      <c r="S41" s="20">
        <f t="shared" si="9"/>
        <v>20.055555555556992</v>
      </c>
      <c r="T41" s="21">
        <f t="shared" si="8"/>
        <v>16.888888888888388</v>
      </c>
      <c r="U41" s="21">
        <f t="shared" si="8"/>
        <v>17.944444444443107</v>
      </c>
      <c r="V41" s="21">
        <f t="shared" si="8"/>
        <v>19</v>
      </c>
      <c r="W41" s="22">
        <f t="shared" si="8"/>
        <v>15.833333333333234</v>
      </c>
      <c r="X41" s="22">
        <f t="shared" si="8"/>
        <v>16.888888888888388</v>
      </c>
      <c r="Y41" s="22">
        <f t="shared" si="8"/>
        <v>17.944444444443107</v>
      </c>
      <c r="Z41" s="23">
        <f t="shared" si="8"/>
        <v>14.777777777778635</v>
      </c>
      <c r="AA41" s="23">
        <f t="shared" si="8"/>
        <v>15.833333333333234</v>
      </c>
      <c r="AB41" s="23">
        <f t="shared" si="8"/>
        <v>16.888888888888388</v>
      </c>
      <c r="AC41" s="24">
        <f t="shared" si="8"/>
        <v>13.722222222221387</v>
      </c>
      <c r="AD41" s="24">
        <f t="shared" si="8"/>
        <v>14.777777777778635</v>
      </c>
      <c r="AE41" s="24">
        <f t="shared" si="8"/>
        <v>15.833333333333234</v>
      </c>
      <c r="AF41" s="25">
        <f t="shared" si="8"/>
        <v>12.666666666667286</v>
      </c>
      <c r="AG41" s="25">
        <f t="shared" si="8"/>
        <v>13.722222222221387</v>
      </c>
      <c r="AH41" s="25">
        <f t="shared" si="7"/>
        <v>14.777777777778635</v>
      </c>
      <c r="AI41" s="26">
        <f t="shared" si="7"/>
        <v>11.611111111110629</v>
      </c>
      <c r="AJ41" s="26">
        <f t="shared" si="7"/>
        <v>12.666666666667286</v>
      </c>
      <c r="AK41" s="26">
        <f t="shared" si="7"/>
        <v>13.722222222221387</v>
      </c>
    </row>
    <row r="42" spans="4:37" ht="20.100000000000001" customHeight="1">
      <c r="D42" s="27">
        <f t="shared" si="3"/>
        <v>0.10833333333333336</v>
      </c>
      <c r="E42" s="16">
        <f t="shared" si="9"/>
        <v>28.816666666667928</v>
      </c>
      <c r="F42" s="16">
        <f t="shared" si="9"/>
        <v>29.8999999999983</v>
      </c>
      <c r="G42" s="16">
        <f t="shared" si="9"/>
        <v>30.983333333332453</v>
      </c>
      <c r="H42" s="17">
        <f t="shared" si="9"/>
        <v>26.649999999999146</v>
      </c>
      <c r="I42" s="17">
        <f t="shared" si="9"/>
        <v>27.733333333334123</v>
      </c>
      <c r="J42" s="17">
        <f t="shared" si="9"/>
        <v>28.816666666667928</v>
      </c>
      <c r="K42" s="18">
        <f t="shared" si="9"/>
        <v>24.483333333334883</v>
      </c>
      <c r="L42" s="18">
        <f t="shared" si="9"/>
        <v>25.56666666666527</v>
      </c>
      <c r="M42" s="18">
        <f t="shared" si="9"/>
        <v>26.649999999999146</v>
      </c>
      <c r="N42" s="19">
        <f t="shared" si="9"/>
        <v>19.5</v>
      </c>
      <c r="O42" s="19">
        <f t="shared" si="9"/>
        <v>20.583333333334771</v>
      </c>
      <c r="P42" s="19">
        <f t="shared" si="9"/>
        <v>21.666666666667993</v>
      </c>
      <c r="Q42" s="20">
        <f t="shared" si="9"/>
        <v>18.416666666665328</v>
      </c>
      <c r="R42" s="20">
        <f t="shared" si="9"/>
        <v>19.5</v>
      </c>
      <c r="S42" s="20">
        <f t="shared" si="9"/>
        <v>20.583333333334771</v>
      </c>
      <c r="T42" s="21">
        <f t="shared" si="9"/>
        <v>17.333333333332831</v>
      </c>
      <c r="U42" s="21">
        <f t="shared" si="8"/>
        <v>18.416666666665328</v>
      </c>
      <c r="V42" s="21">
        <f t="shared" si="8"/>
        <v>19.5</v>
      </c>
      <c r="W42" s="22">
        <f t="shared" si="8"/>
        <v>16.249999999999901</v>
      </c>
      <c r="X42" s="22">
        <f t="shared" si="8"/>
        <v>17.333333333332831</v>
      </c>
      <c r="Y42" s="22">
        <f t="shared" si="8"/>
        <v>18.416666666665328</v>
      </c>
      <c r="Z42" s="23">
        <f t="shared" si="8"/>
        <v>15.166666666667524</v>
      </c>
      <c r="AA42" s="23">
        <f t="shared" si="8"/>
        <v>16.249999999999901</v>
      </c>
      <c r="AB42" s="23">
        <f t="shared" si="8"/>
        <v>17.333333333332831</v>
      </c>
      <c r="AC42" s="24">
        <f t="shared" si="8"/>
        <v>14.083333333332497</v>
      </c>
      <c r="AD42" s="24">
        <f t="shared" si="8"/>
        <v>15.166666666667524</v>
      </c>
      <c r="AE42" s="24">
        <f t="shared" si="8"/>
        <v>16.249999999999901</v>
      </c>
      <c r="AF42" s="25">
        <f t="shared" si="8"/>
        <v>13.00000000000062</v>
      </c>
      <c r="AG42" s="25">
        <f t="shared" si="8"/>
        <v>14.083333333332497</v>
      </c>
      <c r="AH42" s="25">
        <f t="shared" si="7"/>
        <v>15.166666666667524</v>
      </c>
      <c r="AI42" s="26">
        <f t="shared" si="7"/>
        <v>11.916666666666185</v>
      </c>
      <c r="AJ42" s="26">
        <f t="shared" si="7"/>
        <v>13.00000000000062</v>
      </c>
      <c r="AK42" s="26">
        <f t="shared" si="7"/>
        <v>14.083333333332497</v>
      </c>
    </row>
    <row r="43" spans="4:37" ht="20.100000000000001" customHeight="1">
      <c r="D43" s="27">
        <f t="shared" si="3"/>
        <v>0.11111111111111115</v>
      </c>
      <c r="E43" s="16">
        <f t="shared" si="9"/>
        <v>29.555555555556815</v>
      </c>
      <c r="F43" s="16">
        <f t="shared" si="9"/>
        <v>30.666666666664966</v>
      </c>
      <c r="G43" s="16">
        <f t="shared" si="9"/>
        <v>31.777777777776897</v>
      </c>
      <c r="H43" s="17">
        <f t="shared" si="9"/>
        <v>27.333333333332479</v>
      </c>
      <c r="I43" s="17">
        <f t="shared" si="9"/>
        <v>28.444444444445235</v>
      </c>
      <c r="J43" s="17">
        <f t="shared" si="9"/>
        <v>29.555555555556815</v>
      </c>
      <c r="K43" s="18">
        <f t="shared" si="9"/>
        <v>25.11111111111266</v>
      </c>
      <c r="L43" s="18">
        <f t="shared" si="9"/>
        <v>26.222222222220825</v>
      </c>
      <c r="M43" s="18">
        <f t="shared" si="9"/>
        <v>27.333333333332479</v>
      </c>
      <c r="N43" s="19">
        <f t="shared" si="9"/>
        <v>20</v>
      </c>
      <c r="O43" s="19">
        <f t="shared" si="9"/>
        <v>21.11111111111255</v>
      </c>
      <c r="P43" s="19">
        <f t="shared" si="9"/>
        <v>22.22222222222355</v>
      </c>
      <c r="Q43" s="20">
        <f t="shared" si="9"/>
        <v>18.88888888888755</v>
      </c>
      <c r="R43" s="20">
        <f t="shared" si="9"/>
        <v>20</v>
      </c>
      <c r="S43" s="20">
        <f t="shared" si="9"/>
        <v>21.11111111111255</v>
      </c>
      <c r="T43" s="21">
        <f t="shared" si="9"/>
        <v>17.777777777777274</v>
      </c>
      <c r="U43" s="21">
        <f t="shared" si="8"/>
        <v>18.88888888888755</v>
      </c>
      <c r="V43" s="21">
        <f t="shared" si="8"/>
        <v>20</v>
      </c>
      <c r="W43" s="22">
        <f t="shared" si="8"/>
        <v>16.666666666666568</v>
      </c>
      <c r="X43" s="22">
        <f t="shared" si="8"/>
        <v>17.777777777777274</v>
      </c>
      <c r="Y43" s="22">
        <f t="shared" si="8"/>
        <v>18.88888888888755</v>
      </c>
      <c r="Z43" s="23">
        <f t="shared" si="8"/>
        <v>15.555555555556413</v>
      </c>
      <c r="AA43" s="23">
        <f t="shared" si="8"/>
        <v>16.666666666666568</v>
      </c>
      <c r="AB43" s="23">
        <f t="shared" si="8"/>
        <v>17.777777777777274</v>
      </c>
      <c r="AC43" s="24">
        <f t="shared" si="8"/>
        <v>14.444444444443608</v>
      </c>
      <c r="AD43" s="24">
        <f t="shared" si="8"/>
        <v>15.555555555556413</v>
      </c>
      <c r="AE43" s="24">
        <f t="shared" si="8"/>
        <v>16.666666666666568</v>
      </c>
      <c r="AF43" s="25">
        <f t="shared" si="8"/>
        <v>13.333333333333954</v>
      </c>
      <c r="AG43" s="25">
        <f t="shared" si="8"/>
        <v>14.444444444443608</v>
      </c>
      <c r="AH43" s="25">
        <f t="shared" si="7"/>
        <v>15.555555555556413</v>
      </c>
      <c r="AI43" s="26">
        <f t="shared" si="7"/>
        <v>12.22222222222174</v>
      </c>
      <c r="AJ43" s="26">
        <f t="shared" si="7"/>
        <v>13.333333333333954</v>
      </c>
      <c r="AK43" s="26">
        <f t="shared" si="7"/>
        <v>14.444444444443608</v>
      </c>
    </row>
    <row r="44" spans="4:37" ht="20.100000000000001" customHeight="1">
      <c r="D44" s="27">
        <f t="shared" si="3"/>
        <v>0.11388888888888893</v>
      </c>
      <c r="E44" s="16">
        <f t="shared" si="9"/>
        <v>30.294444444445702</v>
      </c>
      <c r="F44" s="16">
        <f t="shared" si="9"/>
        <v>31.433333333331632</v>
      </c>
      <c r="G44" s="16">
        <f t="shared" si="9"/>
        <v>32.572222222221342</v>
      </c>
      <c r="H44" s="17">
        <f t="shared" si="9"/>
        <v>28.016666666665813</v>
      </c>
      <c r="I44" s="17">
        <f t="shared" si="9"/>
        <v>29.155555555556347</v>
      </c>
      <c r="J44" s="17">
        <f t="shared" si="9"/>
        <v>30.294444444445702</v>
      </c>
      <c r="K44" s="18">
        <f t="shared" si="9"/>
        <v>25.738888888890436</v>
      </c>
      <c r="L44" s="18">
        <f t="shared" si="9"/>
        <v>26.87777777777638</v>
      </c>
      <c r="M44" s="18">
        <f t="shared" si="9"/>
        <v>28.016666666665813</v>
      </c>
      <c r="N44" s="19">
        <f t="shared" si="9"/>
        <v>20.5</v>
      </c>
      <c r="O44" s="19">
        <f t="shared" si="9"/>
        <v>21.638888888890328</v>
      </c>
      <c r="P44" s="19">
        <f t="shared" si="9"/>
        <v>22.777777777779107</v>
      </c>
      <c r="Q44" s="20">
        <f t="shared" si="9"/>
        <v>19.361111111109771</v>
      </c>
      <c r="R44" s="20">
        <f t="shared" si="9"/>
        <v>20.5</v>
      </c>
      <c r="S44" s="20">
        <f t="shared" si="9"/>
        <v>21.638888888890328</v>
      </c>
      <c r="T44" s="21">
        <f t="shared" si="9"/>
        <v>18.222222222221717</v>
      </c>
      <c r="U44" s="21">
        <f t="shared" si="8"/>
        <v>19.361111111109771</v>
      </c>
      <c r="V44" s="21">
        <f t="shared" si="8"/>
        <v>20.5</v>
      </c>
      <c r="W44" s="22">
        <f t="shared" si="8"/>
        <v>17.083333333333236</v>
      </c>
      <c r="X44" s="22">
        <f t="shared" si="8"/>
        <v>18.222222222221717</v>
      </c>
      <c r="Y44" s="22">
        <f t="shared" si="8"/>
        <v>19.361111111109771</v>
      </c>
      <c r="Z44" s="23">
        <f t="shared" si="8"/>
        <v>15.944444444445303</v>
      </c>
      <c r="AA44" s="23">
        <f t="shared" si="8"/>
        <v>17.083333333333236</v>
      </c>
      <c r="AB44" s="23">
        <f t="shared" si="8"/>
        <v>18.222222222221717</v>
      </c>
      <c r="AC44" s="24">
        <f t="shared" si="8"/>
        <v>14.805555555554719</v>
      </c>
      <c r="AD44" s="24">
        <f t="shared" si="8"/>
        <v>15.944444444445303</v>
      </c>
      <c r="AE44" s="24">
        <f t="shared" si="8"/>
        <v>17.083333333333236</v>
      </c>
      <c r="AF44" s="25">
        <f t="shared" si="8"/>
        <v>13.666666666667288</v>
      </c>
      <c r="AG44" s="25">
        <f t="shared" si="8"/>
        <v>14.805555555554719</v>
      </c>
      <c r="AH44" s="25">
        <f t="shared" si="7"/>
        <v>15.944444444445303</v>
      </c>
      <c r="AI44" s="26">
        <f t="shared" si="7"/>
        <v>12.527777777777295</v>
      </c>
      <c r="AJ44" s="26">
        <f t="shared" si="7"/>
        <v>13.666666666667288</v>
      </c>
      <c r="AK44" s="26">
        <f t="shared" si="7"/>
        <v>14.805555555554719</v>
      </c>
    </row>
    <row r="45" spans="4:37" ht="20.100000000000001" customHeight="1">
      <c r="D45" s="27">
        <f t="shared" si="3"/>
        <v>0.11666666666666671</v>
      </c>
      <c r="E45" s="16">
        <f t="shared" si="9"/>
        <v>31.033333333334589</v>
      </c>
      <c r="F45" s="16">
        <f t="shared" si="9"/>
        <v>32.199999999998298</v>
      </c>
      <c r="G45" s="16">
        <f t="shared" si="9"/>
        <v>33.366666666665786</v>
      </c>
      <c r="H45" s="17">
        <f t="shared" si="9"/>
        <v>28.699999999999147</v>
      </c>
      <c r="I45" s="17">
        <f t="shared" si="9"/>
        <v>29.866666666667459</v>
      </c>
      <c r="J45" s="17">
        <f t="shared" si="9"/>
        <v>31.033333333334589</v>
      </c>
      <c r="K45" s="18">
        <f t="shared" si="9"/>
        <v>26.366666666668213</v>
      </c>
      <c r="L45" s="18">
        <f t="shared" si="9"/>
        <v>27.533333333331935</v>
      </c>
      <c r="M45" s="18">
        <f t="shared" si="9"/>
        <v>28.699999999999147</v>
      </c>
      <c r="N45" s="19">
        <f t="shared" si="9"/>
        <v>21</v>
      </c>
      <c r="O45" s="19">
        <f t="shared" si="9"/>
        <v>22.166666666668107</v>
      </c>
      <c r="P45" s="19">
        <f t="shared" si="9"/>
        <v>23.333333333334664</v>
      </c>
      <c r="Q45" s="20">
        <f t="shared" si="9"/>
        <v>19.833333333331993</v>
      </c>
      <c r="R45" s="20">
        <f t="shared" si="9"/>
        <v>21</v>
      </c>
      <c r="S45" s="20">
        <f t="shared" si="9"/>
        <v>22.166666666668107</v>
      </c>
      <c r="T45" s="21">
        <f t="shared" si="9"/>
        <v>18.66666666666616</v>
      </c>
      <c r="U45" s="21">
        <f t="shared" si="8"/>
        <v>19.833333333331993</v>
      </c>
      <c r="V45" s="21">
        <f t="shared" si="8"/>
        <v>21</v>
      </c>
      <c r="W45" s="22">
        <f t="shared" si="8"/>
        <v>17.499999999999904</v>
      </c>
      <c r="X45" s="22">
        <f t="shared" si="8"/>
        <v>18.66666666666616</v>
      </c>
      <c r="Y45" s="22">
        <f t="shared" si="8"/>
        <v>19.833333333331993</v>
      </c>
      <c r="Z45" s="23">
        <f t="shared" si="8"/>
        <v>16.333333333334192</v>
      </c>
      <c r="AA45" s="23">
        <f t="shared" si="8"/>
        <v>17.499999999999904</v>
      </c>
      <c r="AB45" s="23">
        <f t="shared" si="8"/>
        <v>18.66666666666616</v>
      </c>
      <c r="AC45" s="24">
        <f t="shared" si="8"/>
        <v>15.166666666665829</v>
      </c>
      <c r="AD45" s="24">
        <f t="shared" si="8"/>
        <v>16.333333333334192</v>
      </c>
      <c r="AE45" s="24">
        <f t="shared" si="8"/>
        <v>17.499999999999904</v>
      </c>
      <c r="AF45" s="25">
        <f t="shared" si="8"/>
        <v>14.000000000000622</v>
      </c>
      <c r="AG45" s="25">
        <f t="shared" si="8"/>
        <v>15.166666666665829</v>
      </c>
      <c r="AH45" s="25">
        <f t="shared" si="7"/>
        <v>16.333333333334192</v>
      </c>
      <c r="AI45" s="26">
        <f t="shared" si="7"/>
        <v>12.833333333332851</v>
      </c>
      <c r="AJ45" s="26">
        <f t="shared" si="7"/>
        <v>14.000000000000622</v>
      </c>
      <c r="AK45" s="26">
        <f t="shared" si="7"/>
        <v>15.166666666665829</v>
      </c>
    </row>
    <row r="46" spans="4:37" ht="20.100000000000001" customHeight="1">
      <c r="D46" s="27">
        <f t="shared" si="3"/>
        <v>0.11944444444444449</v>
      </c>
      <c r="E46" s="16">
        <f t="shared" si="9"/>
        <v>31.772222222223476</v>
      </c>
      <c r="F46" s="16">
        <f t="shared" si="9"/>
        <v>32.966666666664963</v>
      </c>
      <c r="G46" s="16">
        <f t="shared" si="9"/>
        <v>34.16111111111023</v>
      </c>
      <c r="H46" s="17">
        <f t="shared" si="9"/>
        <v>29.38333333333248</v>
      </c>
      <c r="I46" s="17">
        <f t="shared" si="9"/>
        <v>30.577777777778572</v>
      </c>
      <c r="J46" s="17">
        <f t="shared" si="9"/>
        <v>31.772222222223476</v>
      </c>
      <c r="K46" s="18">
        <f t="shared" si="9"/>
        <v>26.994444444445989</v>
      </c>
      <c r="L46" s="18">
        <f t="shared" si="9"/>
        <v>28.18888888888749</v>
      </c>
      <c r="M46" s="18">
        <f t="shared" si="9"/>
        <v>29.38333333333248</v>
      </c>
      <c r="N46" s="19">
        <f t="shared" si="9"/>
        <v>21.5</v>
      </c>
      <c r="O46" s="19">
        <f t="shared" si="9"/>
        <v>22.694444444445885</v>
      </c>
      <c r="P46" s="19">
        <f t="shared" si="9"/>
        <v>23.888888888890222</v>
      </c>
      <c r="Q46" s="20">
        <f t="shared" si="9"/>
        <v>20.305555555554214</v>
      </c>
      <c r="R46" s="20">
        <f t="shared" si="9"/>
        <v>21.5</v>
      </c>
      <c r="S46" s="20">
        <f t="shared" si="9"/>
        <v>22.694444444445885</v>
      </c>
      <c r="T46" s="21">
        <f t="shared" si="9"/>
        <v>19.111111111110603</v>
      </c>
      <c r="U46" s="21">
        <f t="shared" si="8"/>
        <v>20.305555555554214</v>
      </c>
      <c r="V46" s="21">
        <f t="shared" si="8"/>
        <v>21.5</v>
      </c>
      <c r="W46" s="22">
        <f t="shared" si="8"/>
        <v>17.916666666666572</v>
      </c>
      <c r="X46" s="22">
        <f t="shared" si="8"/>
        <v>19.111111111110603</v>
      </c>
      <c r="Y46" s="22">
        <f t="shared" si="8"/>
        <v>20.305555555554214</v>
      </c>
      <c r="Z46" s="23">
        <f t="shared" si="8"/>
        <v>16.722222222223081</v>
      </c>
      <c r="AA46" s="23">
        <f t="shared" si="8"/>
        <v>17.916666666666572</v>
      </c>
      <c r="AB46" s="23">
        <f t="shared" si="8"/>
        <v>19.111111111110603</v>
      </c>
      <c r="AC46" s="24">
        <f t="shared" si="8"/>
        <v>15.52777777777694</v>
      </c>
      <c r="AD46" s="24">
        <f t="shared" si="8"/>
        <v>16.722222222223081</v>
      </c>
      <c r="AE46" s="24">
        <f t="shared" si="8"/>
        <v>17.916666666666572</v>
      </c>
      <c r="AF46" s="25">
        <f t="shared" si="8"/>
        <v>14.333333333333956</v>
      </c>
      <c r="AG46" s="25">
        <f t="shared" si="8"/>
        <v>15.52777777777694</v>
      </c>
      <c r="AH46" s="25">
        <f t="shared" si="7"/>
        <v>16.722222222223081</v>
      </c>
      <c r="AI46" s="26">
        <f t="shared" si="7"/>
        <v>13.138888888888406</v>
      </c>
      <c r="AJ46" s="26">
        <f t="shared" si="7"/>
        <v>14.333333333333956</v>
      </c>
      <c r="AK46" s="26">
        <f t="shared" si="7"/>
        <v>15.52777777777694</v>
      </c>
    </row>
    <row r="47" spans="4:37" ht="20.100000000000001" customHeight="1">
      <c r="D47" s="27">
        <f t="shared" si="3"/>
        <v>0.12222222222222227</v>
      </c>
      <c r="E47" s="16">
        <f t="shared" si="9"/>
        <v>32.511111111112363</v>
      </c>
      <c r="F47" s="16">
        <f t="shared" si="9"/>
        <v>33.733333333331629</v>
      </c>
      <c r="G47" s="16">
        <f t="shared" si="9"/>
        <v>34.955555555554675</v>
      </c>
      <c r="H47" s="17">
        <f t="shared" si="9"/>
        <v>30.066666666665814</v>
      </c>
      <c r="I47" s="17">
        <f t="shared" si="9"/>
        <v>31.288888888889684</v>
      </c>
      <c r="J47" s="17">
        <f t="shared" si="9"/>
        <v>32.511111111112363</v>
      </c>
      <c r="K47" s="18">
        <f t="shared" si="9"/>
        <v>27.622222222223765</v>
      </c>
      <c r="L47" s="18">
        <f t="shared" si="9"/>
        <v>28.844444444443045</v>
      </c>
      <c r="M47" s="18">
        <f t="shared" si="9"/>
        <v>30.066666666665814</v>
      </c>
      <c r="N47" s="19">
        <f t="shared" si="9"/>
        <v>22</v>
      </c>
      <c r="O47" s="19">
        <f t="shared" si="9"/>
        <v>23.222222222223664</v>
      </c>
      <c r="P47" s="19">
        <f t="shared" si="9"/>
        <v>24.444444444445779</v>
      </c>
      <c r="Q47" s="20">
        <f t="shared" si="9"/>
        <v>20.777777777776436</v>
      </c>
      <c r="R47" s="20">
        <f t="shared" si="9"/>
        <v>22</v>
      </c>
      <c r="S47" s="20">
        <f t="shared" si="9"/>
        <v>23.222222222223664</v>
      </c>
      <c r="T47" s="21">
        <f t="shared" si="9"/>
        <v>19.555555555555046</v>
      </c>
      <c r="U47" s="21">
        <f t="shared" si="8"/>
        <v>20.777777777776436</v>
      </c>
      <c r="V47" s="21">
        <f t="shared" si="8"/>
        <v>22</v>
      </c>
      <c r="W47" s="22">
        <f t="shared" si="8"/>
        <v>18.33333333333324</v>
      </c>
      <c r="X47" s="22">
        <f t="shared" si="8"/>
        <v>19.555555555555046</v>
      </c>
      <c r="Y47" s="22">
        <f t="shared" si="8"/>
        <v>20.777777777776436</v>
      </c>
      <c r="Z47" s="23">
        <f t="shared" si="8"/>
        <v>17.11111111111197</v>
      </c>
      <c r="AA47" s="23">
        <f t="shared" si="8"/>
        <v>18.33333333333324</v>
      </c>
      <c r="AB47" s="23">
        <f t="shared" si="8"/>
        <v>19.555555555555046</v>
      </c>
      <c r="AC47" s="24">
        <f t="shared" si="8"/>
        <v>15.888888888888051</v>
      </c>
      <c r="AD47" s="24">
        <f t="shared" si="8"/>
        <v>17.11111111111197</v>
      </c>
      <c r="AE47" s="24">
        <f t="shared" si="8"/>
        <v>18.33333333333324</v>
      </c>
      <c r="AF47" s="25">
        <f t="shared" si="8"/>
        <v>14.66666666666729</v>
      </c>
      <c r="AG47" s="25">
        <f t="shared" si="8"/>
        <v>15.888888888888051</v>
      </c>
      <c r="AH47" s="25">
        <f t="shared" si="7"/>
        <v>17.11111111111197</v>
      </c>
      <c r="AI47" s="26">
        <f t="shared" si="7"/>
        <v>13.444444444443961</v>
      </c>
      <c r="AJ47" s="26">
        <f t="shared" si="7"/>
        <v>14.66666666666729</v>
      </c>
      <c r="AK47" s="26">
        <f t="shared" si="7"/>
        <v>15.888888888888051</v>
      </c>
    </row>
    <row r="48" spans="4:37" ht="20.100000000000001" customHeight="1">
      <c r="D48" s="27">
        <f t="shared" si="3"/>
        <v>0.12500000000000006</v>
      </c>
      <c r="E48" s="16">
        <f t="shared" si="9"/>
        <v>33.250000000001251</v>
      </c>
      <c r="F48" s="16">
        <f t="shared" si="9"/>
        <v>34.499999999998295</v>
      </c>
      <c r="G48" s="16">
        <f t="shared" si="9"/>
        <v>35.749999999999119</v>
      </c>
      <c r="H48" s="17">
        <f t="shared" si="9"/>
        <v>30.749999999999147</v>
      </c>
      <c r="I48" s="17">
        <f t="shared" si="9"/>
        <v>32.000000000000796</v>
      </c>
      <c r="J48" s="17">
        <f t="shared" si="9"/>
        <v>33.250000000001251</v>
      </c>
      <c r="K48" s="18">
        <f t="shared" si="9"/>
        <v>28.250000000001542</v>
      </c>
      <c r="L48" s="18">
        <f t="shared" si="9"/>
        <v>29.4999999999986</v>
      </c>
      <c r="M48" s="18">
        <f t="shared" si="9"/>
        <v>30.749999999999147</v>
      </c>
      <c r="N48" s="19">
        <f t="shared" si="9"/>
        <v>22.5</v>
      </c>
      <c r="O48" s="19">
        <f t="shared" si="9"/>
        <v>23.750000000001442</v>
      </c>
      <c r="P48" s="19">
        <f t="shared" si="9"/>
        <v>25.000000000001336</v>
      </c>
      <c r="Q48" s="20">
        <f t="shared" si="9"/>
        <v>21.249999999998657</v>
      </c>
      <c r="R48" s="20">
        <f t="shared" si="9"/>
        <v>22.5</v>
      </c>
      <c r="S48" s="20">
        <f t="shared" si="9"/>
        <v>23.750000000001442</v>
      </c>
      <c r="T48" s="21">
        <f t="shared" si="9"/>
        <v>19.999999999999488</v>
      </c>
      <c r="U48" s="21">
        <f t="shared" si="8"/>
        <v>21.249999999998657</v>
      </c>
      <c r="V48" s="21">
        <f t="shared" si="8"/>
        <v>22.5</v>
      </c>
      <c r="W48" s="22">
        <f t="shared" si="8"/>
        <v>18.749999999999908</v>
      </c>
      <c r="X48" s="22">
        <f t="shared" si="8"/>
        <v>19.999999999999488</v>
      </c>
      <c r="Y48" s="22">
        <f t="shared" si="8"/>
        <v>21.249999999998657</v>
      </c>
      <c r="Z48" s="23">
        <f t="shared" si="8"/>
        <v>17.50000000000086</v>
      </c>
      <c r="AA48" s="23">
        <f t="shared" si="8"/>
        <v>18.749999999999908</v>
      </c>
      <c r="AB48" s="23">
        <f t="shared" si="8"/>
        <v>19.999999999999488</v>
      </c>
      <c r="AC48" s="24">
        <f t="shared" si="8"/>
        <v>16.249999999999162</v>
      </c>
      <c r="AD48" s="24">
        <f t="shared" si="8"/>
        <v>17.50000000000086</v>
      </c>
      <c r="AE48" s="24">
        <f t="shared" si="8"/>
        <v>18.749999999999908</v>
      </c>
      <c r="AF48" s="25">
        <f t="shared" si="8"/>
        <v>15.000000000000624</v>
      </c>
      <c r="AG48" s="25">
        <f t="shared" si="8"/>
        <v>16.249999999999162</v>
      </c>
      <c r="AH48" s="25">
        <f t="shared" si="7"/>
        <v>17.50000000000086</v>
      </c>
      <c r="AI48" s="26">
        <f t="shared" si="7"/>
        <v>13.749999999999517</v>
      </c>
      <c r="AJ48" s="26">
        <f t="shared" si="7"/>
        <v>15.000000000000624</v>
      </c>
      <c r="AK48" s="26">
        <f t="shared" si="7"/>
        <v>16.249999999999162</v>
      </c>
    </row>
    <row r="49" spans="4:37" ht="20.100000000000001" customHeight="1">
      <c r="D49" s="27">
        <f t="shared" si="3"/>
        <v>0.12777777777777782</v>
      </c>
      <c r="E49" s="16">
        <f t="shared" si="9"/>
        <v>33.988888888890138</v>
      </c>
      <c r="F49" s="16">
        <f t="shared" si="9"/>
        <v>35.26666666666496</v>
      </c>
      <c r="G49" s="16">
        <f t="shared" si="9"/>
        <v>36.544444444443563</v>
      </c>
      <c r="H49" s="17">
        <f t="shared" si="9"/>
        <v>31.433333333332481</v>
      </c>
      <c r="I49" s="17">
        <f t="shared" si="9"/>
        <v>32.711111111111904</v>
      </c>
      <c r="J49" s="17">
        <f t="shared" si="9"/>
        <v>33.988888888890138</v>
      </c>
      <c r="K49" s="18">
        <f t="shared" si="9"/>
        <v>28.877777777779318</v>
      </c>
      <c r="L49" s="18">
        <f t="shared" si="9"/>
        <v>30.155555555554155</v>
      </c>
      <c r="M49" s="18">
        <f t="shared" si="9"/>
        <v>31.433333333332481</v>
      </c>
      <c r="N49" s="19">
        <f t="shared" si="9"/>
        <v>23</v>
      </c>
      <c r="O49" s="19">
        <f t="shared" si="9"/>
        <v>24.277777777779221</v>
      </c>
      <c r="P49" s="19">
        <f t="shared" si="9"/>
        <v>25.555555555556893</v>
      </c>
      <c r="Q49" s="20">
        <f t="shared" si="9"/>
        <v>21.722222222220879</v>
      </c>
      <c r="R49" s="20">
        <f t="shared" si="9"/>
        <v>23</v>
      </c>
      <c r="S49" s="20">
        <f t="shared" si="9"/>
        <v>24.277777777779221</v>
      </c>
      <c r="T49" s="21">
        <f t="shared" si="9"/>
        <v>20.444444444443931</v>
      </c>
      <c r="U49" s="21">
        <f t="shared" si="8"/>
        <v>21.722222222220879</v>
      </c>
      <c r="V49" s="21">
        <f t="shared" si="8"/>
        <v>23</v>
      </c>
      <c r="W49" s="22">
        <f t="shared" si="8"/>
        <v>19.166666666666575</v>
      </c>
      <c r="X49" s="22">
        <f t="shared" si="8"/>
        <v>20.444444444443931</v>
      </c>
      <c r="Y49" s="22">
        <f t="shared" si="8"/>
        <v>21.722222222220879</v>
      </c>
      <c r="Z49" s="23">
        <f t="shared" si="8"/>
        <v>17.888888888889749</v>
      </c>
      <c r="AA49" s="23">
        <f t="shared" si="8"/>
        <v>19.166666666666575</v>
      </c>
      <c r="AB49" s="23">
        <f t="shared" si="8"/>
        <v>20.444444444443931</v>
      </c>
      <c r="AC49" s="24">
        <f t="shared" si="8"/>
        <v>16.611111111110272</v>
      </c>
      <c r="AD49" s="24">
        <f t="shared" si="8"/>
        <v>17.888888888889749</v>
      </c>
      <c r="AE49" s="24">
        <f t="shared" si="8"/>
        <v>19.166666666666575</v>
      </c>
      <c r="AF49" s="25">
        <f t="shared" si="8"/>
        <v>15.333333333333957</v>
      </c>
      <c r="AG49" s="25">
        <f t="shared" si="8"/>
        <v>16.611111111110272</v>
      </c>
      <c r="AH49" s="25">
        <f t="shared" si="7"/>
        <v>17.888888888889749</v>
      </c>
      <c r="AI49" s="26">
        <f t="shared" si="7"/>
        <v>14.055555555555072</v>
      </c>
      <c r="AJ49" s="26">
        <f t="shared" si="7"/>
        <v>15.333333333333957</v>
      </c>
      <c r="AK49" s="26">
        <f t="shared" si="7"/>
        <v>16.611111111110272</v>
      </c>
    </row>
    <row r="50" spans="4:37" ht="20.100000000000001" customHeight="1">
      <c r="D50" s="27">
        <f t="shared" si="3"/>
        <v>0.13055555555555559</v>
      </c>
      <c r="E50" s="16">
        <f t="shared" si="9"/>
        <v>34.727777777779025</v>
      </c>
      <c r="F50" s="16">
        <f t="shared" si="9"/>
        <v>36.033333333331626</v>
      </c>
      <c r="G50" s="16">
        <f t="shared" si="9"/>
        <v>37.338888888888008</v>
      </c>
      <c r="H50" s="17">
        <f t="shared" si="9"/>
        <v>32.116666666665814</v>
      </c>
      <c r="I50" s="17">
        <f t="shared" si="9"/>
        <v>33.422222222223013</v>
      </c>
      <c r="J50" s="17">
        <f t="shared" si="9"/>
        <v>34.727777777779025</v>
      </c>
      <c r="K50" s="18">
        <f t="shared" si="9"/>
        <v>29.505555555557095</v>
      </c>
      <c r="L50" s="18">
        <f t="shared" si="9"/>
        <v>30.81111111110971</v>
      </c>
      <c r="M50" s="18">
        <f t="shared" si="9"/>
        <v>32.116666666665814</v>
      </c>
      <c r="N50" s="19">
        <f t="shared" si="9"/>
        <v>23.5</v>
      </c>
      <c r="O50" s="19">
        <f t="shared" si="9"/>
        <v>24.805555555557</v>
      </c>
      <c r="P50" s="19">
        <f t="shared" si="9"/>
        <v>26.11111111111245</v>
      </c>
      <c r="Q50" s="20">
        <f t="shared" si="9"/>
        <v>22.1944444444431</v>
      </c>
      <c r="R50" s="20">
        <f t="shared" si="9"/>
        <v>23.5</v>
      </c>
      <c r="S50" s="20">
        <f t="shared" si="9"/>
        <v>24.805555555557</v>
      </c>
      <c r="T50" s="21">
        <f t="shared" si="9"/>
        <v>20.888888888888374</v>
      </c>
      <c r="U50" s="21">
        <f t="shared" si="8"/>
        <v>22.1944444444431</v>
      </c>
      <c r="V50" s="21">
        <f t="shared" si="8"/>
        <v>23.5</v>
      </c>
      <c r="W50" s="22">
        <f t="shared" si="8"/>
        <v>19.583333333333243</v>
      </c>
      <c r="X50" s="22">
        <f t="shared" si="8"/>
        <v>20.888888888888374</v>
      </c>
      <c r="Y50" s="22">
        <f t="shared" si="8"/>
        <v>22.1944444444431</v>
      </c>
      <c r="Z50" s="23">
        <f t="shared" si="8"/>
        <v>18.277777777778638</v>
      </c>
      <c r="AA50" s="23">
        <f t="shared" si="8"/>
        <v>19.583333333333243</v>
      </c>
      <c r="AB50" s="23">
        <f t="shared" si="8"/>
        <v>20.888888888888374</v>
      </c>
      <c r="AC50" s="24">
        <f t="shared" si="8"/>
        <v>16.972222222221383</v>
      </c>
      <c r="AD50" s="24">
        <f t="shared" si="8"/>
        <v>18.277777777778638</v>
      </c>
      <c r="AE50" s="24">
        <f t="shared" si="8"/>
        <v>19.583333333333243</v>
      </c>
      <c r="AF50" s="25">
        <f t="shared" si="8"/>
        <v>15.666666666667291</v>
      </c>
      <c r="AG50" s="25">
        <f t="shared" si="8"/>
        <v>16.972222222221383</v>
      </c>
      <c r="AH50" s="25">
        <f t="shared" si="7"/>
        <v>18.277777777778638</v>
      </c>
      <c r="AI50" s="26">
        <f t="shared" si="7"/>
        <v>14.361111111110628</v>
      </c>
      <c r="AJ50" s="26">
        <f t="shared" si="7"/>
        <v>15.666666666667291</v>
      </c>
      <c r="AK50" s="26">
        <f t="shared" si="7"/>
        <v>16.972222222221383</v>
      </c>
    </row>
    <row r="51" spans="4:37" ht="20.100000000000001" customHeight="1">
      <c r="D51" s="27">
        <f t="shared" si="3"/>
        <v>0.13333333333333336</v>
      </c>
      <c r="E51" s="16">
        <f t="shared" si="9"/>
        <v>35.466666666667912</v>
      </c>
      <c r="F51" s="16">
        <f t="shared" si="9"/>
        <v>36.799999999998292</v>
      </c>
      <c r="G51" s="16">
        <f t="shared" si="9"/>
        <v>38.133333333332452</v>
      </c>
      <c r="H51" s="17">
        <f t="shared" si="9"/>
        <v>32.799999999999145</v>
      </c>
      <c r="I51" s="17">
        <f t="shared" si="9"/>
        <v>34.133333333334122</v>
      </c>
      <c r="J51" s="17">
        <f t="shared" si="9"/>
        <v>35.466666666667912</v>
      </c>
      <c r="K51" s="18">
        <f t="shared" si="9"/>
        <v>30.133333333334871</v>
      </c>
      <c r="L51" s="18">
        <f t="shared" si="9"/>
        <v>31.466666666665265</v>
      </c>
      <c r="M51" s="18">
        <f t="shared" si="9"/>
        <v>32.799999999999145</v>
      </c>
      <c r="N51" s="19">
        <f t="shared" si="9"/>
        <v>24</v>
      </c>
      <c r="O51" s="19">
        <f t="shared" si="9"/>
        <v>25.333333333334778</v>
      </c>
      <c r="P51" s="19">
        <f t="shared" si="9"/>
        <v>26.666666666668007</v>
      </c>
      <c r="Q51" s="20">
        <f t="shared" si="9"/>
        <v>22.666666666665321</v>
      </c>
      <c r="R51" s="20">
        <f t="shared" si="9"/>
        <v>24</v>
      </c>
      <c r="S51" s="20">
        <f t="shared" si="9"/>
        <v>25.333333333334778</v>
      </c>
      <c r="T51" s="21">
        <f t="shared" si="9"/>
        <v>21.333333333332817</v>
      </c>
      <c r="U51" s="21">
        <f t="shared" si="8"/>
        <v>22.666666666665321</v>
      </c>
      <c r="V51" s="21">
        <f t="shared" si="8"/>
        <v>24</v>
      </c>
      <c r="W51" s="22">
        <f t="shared" si="8"/>
        <v>19.999999999999911</v>
      </c>
      <c r="X51" s="22">
        <f t="shared" si="8"/>
        <v>21.333333333332817</v>
      </c>
      <c r="Y51" s="22">
        <f t="shared" si="8"/>
        <v>22.666666666665321</v>
      </c>
      <c r="Z51" s="23">
        <f t="shared" si="8"/>
        <v>18.666666666667528</v>
      </c>
      <c r="AA51" s="23">
        <f t="shared" si="8"/>
        <v>19.999999999999911</v>
      </c>
      <c r="AB51" s="23">
        <f t="shared" si="8"/>
        <v>21.333333333332817</v>
      </c>
      <c r="AC51" s="24">
        <f t="shared" si="8"/>
        <v>17.333333333332494</v>
      </c>
      <c r="AD51" s="24">
        <f t="shared" si="8"/>
        <v>18.666666666667528</v>
      </c>
      <c r="AE51" s="24">
        <f t="shared" si="8"/>
        <v>19.999999999999911</v>
      </c>
      <c r="AF51" s="25">
        <f t="shared" si="8"/>
        <v>16.000000000000625</v>
      </c>
      <c r="AG51" s="25">
        <f t="shared" si="8"/>
        <v>17.333333333332494</v>
      </c>
      <c r="AH51" s="25">
        <f t="shared" si="7"/>
        <v>18.666666666667528</v>
      </c>
      <c r="AI51" s="26">
        <f t="shared" si="7"/>
        <v>14.666666666666183</v>
      </c>
      <c r="AJ51" s="26">
        <f t="shared" si="7"/>
        <v>16.000000000000625</v>
      </c>
      <c r="AK51" s="26">
        <f t="shared" si="7"/>
        <v>17.333333333332494</v>
      </c>
    </row>
    <row r="52" spans="4:37" ht="20.100000000000001" customHeight="1">
      <c r="D52" s="27">
        <f t="shared" si="3"/>
        <v>0.13611111111111113</v>
      </c>
      <c r="E52" s="16">
        <f t="shared" si="9"/>
        <v>36.205555555556799</v>
      </c>
      <c r="F52" s="16">
        <f t="shared" si="9"/>
        <v>37.566666666664958</v>
      </c>
      <c r="G52" s="16">
        <f t="shared" si="9"/>
        <v>38.927777777776896</v>
      </c>
      <c r="H52" s="17">
        <f t="shared" si="9"/>
        <v>33.483333333332475</v>
      </c>
      <c r="I52" s="17">
        <f t="shared" si="9"/>
        <v>34.84444444444523</v>
      </c>
      <c r="J52" s="17">
        <f t="shared" ref="J52:Y69" si="10">J53-(J$363/360)</f>
        <v>36.205555555556799</v>
      </c>
      <c r="K52" s="18">
        <f t="shared" si="10"/>
        <v>30.761111111112648</v>
      </c>
      <c r="L52" s="18">
        <f t="shared" si="10"/>
        <v>32.12222222222082</v>
      </c>
      <c r="M52" s="18">
        <f t="shared" si="10"/>
        <v>33.483333333332475</v>
      </c>
      <c r="N52" s="19">
        <f t="shared" si="10"/>
        <v>24.5</v>
      </c>
      <c r="O52" s="19">
        <f t="shared" si="10"/>
        <v>25.861111111112557</v>
      </c>
      <c r="P52" s="19">
        <f t="shared" si="10"/>
        <v>27.222222222223564</v>
      </c>
      <c r="Q52" s="20">
        <f t="shared" si="10"/>
        <v>23.138888888887543</v>
      </c>
      <c r="R52" s="20">
        <f t="shared" si="10"/>
        <v>24.5</v>
      </c>
      <c r="S52" s="20">
        <f t="shared" si="10"/>
        <v>25.861111111112557</v>
      </c>
      <c r="T52" s="21">
        <f t="shared" si="10"/>
        <v>21.77777777777726</v>
      </c>
      <c r="U52" s="21">
        <f t="shared" si="8"/>
        <v>23.138888888887543</v>
      </c>
      <c r="V52" s="21">
        <f t="shared" si="8"/>
        <v>24.5</v>
      </c>
      <c r="W52" s="22">
        <f t="shared" si="8"/>
        <v>20.416666666666579</v>
      </c>
      <c r="X52" s="22">
        <f t="shared" si="8"/>
        <v>21.77777777777726</v>
      </c>
      <c r="Y52" s="22">
        <f t="shared" si="8"/>
        <v>23.138888888887543</v>
      </c>
      <c r="Z52" s="23">
        <f t="shared" si="8"/>
        <v>19.055555555556417</v>
      </c>
      <c r="AA52" s="23">
        <f t="shared" si="8"/>
        <v>20.416666666666579</v>
      </c>
      <c r="AB52" s="23">
        <f t="shared" si="8"/>
        <v>21.77777777777726</v>
      </c>
      <c r="AC52" s="24">
        <f t="shared" si="8"/>
        <v>17.694444444443604</v>
      </c>
      <c r="AD52" s="24">
        <f t="shared" si="8"/>
        <v>19.055555555556417</v>
      </c>
      <c r="AE52" s="24">
        <f t="shared" si="8"/>
        <v>20.416666666666579</v>
      </c>
      <c r="AF52" s="25">
        <f t="shared" si="8"/>
        <v>16.333333333333957</v>
      </c>
      <c r="AG52" s="25">
        <f t="shared" si="8"/>
        <v>17.694444444443604</v>
      </c>
      <c r="AH52" s="25">
        <f t="shared" si="7"/>
        <v>19.055555555556417</v>
      </c>
      <c r="AI52" s="26">
        <f t="shared" si="7"/>
        <v>14.972222222221738</v>
      </c>
      <c r="AJ52" s="26">
        <f t="shared" si="7"/>
        <v>16.333333333333957</v>
      </c>
      <c r="AK52" s="26">
        <f t="shared" si="7"/>
        <v>17.694444444443604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36.944444444445686</v>
      </c>
      <c r="F53" s="16">
        <f t="shared" si="11"/>
        <v>38.333333333331623</v>
      </c>
      <c r="G53" s="16">
        <f t="shared" si="11"/>
        <v>39.72222222222134</v>
      </c>
      <c r="H53" s="17">
        <f t="shared" si="11"/>
        <v>34.166666666665805</v>
      </c>
      <c r="I53" s="17">
        <f t="shared" si="11"/>
        <v>35.555555555556339</v>
      </c>
      <c r="J53" s="17">
        <f t="shared" si="10"/>
        <v>36.944444444445686</v>
      </c>
      <c r="K53" s="18">
        <f t="shared" si="10"/>
        <v>31.388888888890424</v>
      </c>
      <c r="L53" s="18">
        <f t="shared" si="10"/>
        <v>32.777777777776379</v>
      </c>
      <c r="M53" s="18">
        <f t="shared" si="10"/>
        <v>34.166666666665805</v>
      </c>
      <c r="N53" s="19">
        <f t="shared" si="10"/>
        <v>25</v>
      </c>
      <c r="O53" s="19">
        <f t="shared" si="10"/>
        <v>26.388888888890335</v>
      </c>
      <c r="P53" s="19">
        <f t="shared" si="10"/>
        <v>27.777777777779121</v>
      </c>
      <c r="Q53" s="20">
        <f t="shared" si="10"/>
        <v>23.611111111109764</v>
      </c>
      <c r="R53" s="20">
        <f t="shared" si="10"/>
        <v>25</v>
      </c>
      <c r="S53" s="20">
        <f t="shared" si="10"/>
        <v>26.388888888890335</v>
      </c>
      <c r="T53" s="21">
        <f t="shared" si="10"/>
        <v>22.222222222221703</v>
      </c>
      <c r="U53" s="21">
        <f t="shared" si="8"/>
        <v>23.611111111109764</v>
      </c>
      <c r="V53" s="21">
        <f t="shared" si="8"/>
        <v>25</v>
      </c>
      <c r="W53" s="22">
        <f t="shared" si="8"/>
        <v>20.833333333333247</v>
      </c>
      <c r="X53" s="22">
        <f t="shared" si="8"/>
        <v>22.222222222221703</v>
      </c>
      <c r="Y53" s="22">
        <f t="shared" si="8"/>
        <v>23.611111111109764</v>
      </c>
      <c r="Z53" s="23">
        <f t="shared" si="8"/>
        <v>19.444444444445306</v>
      </c>
      <c r="AA53" s="23">
        <f t="shared" si="8"/>
        <v>20.833333333333247</v>
      </c>
      <c r="AB53" s="23">
        <f t="shared" si="8"/>
        <v>22.222222222221703</v>
      </c>
      <c r="AC53" s="24">
        <f t="shared" si="8"/>
        <v>18.055555555554715</v>
      </c>
      <c r="AD53" s="24">
        <f t="shared" si="8"/>
        <v>19.444444444445306</v>
      </c>
      <c r="AE53" s="24">
        <f t="shared" si="8"/>
        <v>20.833333333333247</v>
      </c>
      <c r="AF53" s="25">
        <f t="shared" si="8"/>
        <v>16.66666666666729</v>
      </c>
      <c r="AG53" s="25">
        <f t="shared" si="8"/>
        <v>18.055555555554715</v>
      </c>
      <c r="AH53" s="25">
        <f t="shared" si="7"/>
        <v>19.444444444445306</v>
      </c>
      <c r="AI53" s="26">
        <f t="shared" si="7"/>
        <v>15.277777777777294</v>
      </c>
      <c r="AJ53" s="26">
        <f t="shared" si="7"/>
        <v>16.66666666666729</v>
      </c>
      <c r="AK53" s="26">
        <f t="shared" si="7"/>
        <v>18.055555555554715</v>
      </c>
    </row>
    <row r="54" spans="4:37" ht="20.100000000000001" customHeight="1">
      <c r="D54" s="27">
        <f t="shared" si="3"/>
        <v>0.14166666666666666</v>
      </c>
      <c r="E54" s="16">
        <f t="shared" si="11"/>
        <v>37.683333333334573</v>
      </c>
      <c r="F54" s="16">
        <f t="shared" si="11"/>
        <v>39.099999999998289</v>
      </c>
      <c r="G54" s="16">
        <f t="shared" si="11"/>
        <v>40.516666666665785</v>
      </c>
      <c r="H54" s="17">
        <f t="shared" si="11"/>
        <v>34.849999999999135</v>
      </c>
      <c r="I54" s="17">
        <f t="shared" si="11"/>
        <v>36.266666666667447</v>
      </c>
      <c r="J54" s="17">
        <f t="shared" si="10"/>
        <v>37.683333333334573</v>
      </c>
      <c r="K54" s="18">
        <f t="shared" si="10"/>
        <v>32.0166666666682</v>
      </c>
      <c r="L54" s="18">
        <f t="shared" si="10"/>
        <v>33.433333333331937</v>
      </c>
      <c r="M54" s="18">
        <f t="shared" si="10"/>
        <v>34.849999999999135</v>
      </c>
      <c r="N54" s="19">
        <f t="shared" si="10"/>
        <v>25.5</v>
      </c>
      <c r="O54" s="19">
        <f t="shared" si="10"/>
        <v>26.916666666668114</v>
      </c>
      <c r="P54" s="19">
        <f t="shared" si="10"/>
        <v>28.333333333334679</v>
      </c>
      <c r="Q54" s="20">
        <f t="shared" si="10"/>
        <v>24.083333333331986</v>
      </c>
      <c r="R54" s="20">
        <f t="shared" si="10"/>
        <v>25.5</v>
      </c>
      <c r="S54" s="20">
        <f t="shared" si="10"/>
        <v>26.916666666668114</v>
      </c>
      <c r="T54" s="21">
        <f t="shared" si="10"/>
        <v>22.666666666666146</v>
      </c>
      <c r="U54" s="21">
        <f t="shared" si="8"/>
        <v>24.083333333331986</v>
      </c>
      <c r="V54" s="21">
        <f t="shared" si="8"/>
        <v>25.5</v>
      </c>
      <c r="W54" s="22">
        <f t="shared" si="8"/>
        <v>21.249999999999915</v>
      </c>
      <c r="X54" s="22">
        <f t="shared" si="8"/>
        <v>22.666666666666146</v>
      </c>
      <c r="Y54" s="22">
        <f t="shared" si="8"/>
        <v>24.083333333331986</v>
      </c>
      <c r="Z54" s="23">
        <f t="shared" si="8"/>
        <v>19.833333333334195</v>
      </c>
      <c r="AA54" s="23">
        <f t="shared" si="8"/>
        <v>21.249999999999915</v>
      </c>
      <c r="AB54" s="23">
        <f t="shared" si="8"/>
        <v>22.666666666666146</v>
      </c>
      <c r="AC54" s="24">
        <f t="shared" si="8"/>
        <v>18.416666666665826</v>
      </c>
      <c r="AD54" s="24">
        <f t="shared" si="8"/>
        <v>19.833333333334195</v>
      </c>
      <c r="AE54" s="24">
        <f t="shared" si="8"/>
        <v>21.249999999999915</v>
      </c>
      <c r="AF54" s="25">
        <f t="shared" si="8"/>
        <v>17.000000000000622</v>
      </c>
      <c r="AG54" s="25">
        <f t="shared" si="8"/>
        <v>18.416666666665826</v>
      </c>
      <c r="AH54" s="25">
        <f t="shared" si="7"/>
        <v>19.833333333334195</v>
      </c>
      <c r="AI54" s="26">
        <f t="shared" si="7"/>
        <v>15.583333333332849</v>
      </c>
      <c r="AJ54" s="26">
        <f t="shared" si="7"/>
        <v>17.000000000000622</v>
      </c>
      <c r="AK54" s="26">
        <f t="shared" si="7"/>
        <v>18.416666666665826</v>
      </c>
    </row>
    <row r="55" spans="4:37" ht="20.100000000000001" customHeight="1">
      <c r="D55" s="27">
        <f t="shared" si="3"/>
        <v>0.14444444444444443</v>
      </c>
      <c r="E55" s="16">
        <f t="shared" si="11"/>
        <v>38.422222222223461</v>
      </c>
      <c r="F55" s="16">
        <f t="shared" si="11"/>
        <v>39.866666666664955</v>
      </c>
      <c r="G55" s="16">
        <f t="shared" si="11"/>
        <v>41.311111111110229</v>
      </c>
      <c r="H55" s="17">
        <f t="shared" si="11"/>
        <v>35.533333333332465</v>
      </c>
      <c r="I55" s="17">
        <f t="shared" si="11"/>
        <v>36.977777777778556</v>
      </c>
      <c r="J55" s="17">
        <f t="shared" si="10"/>
        <v>38.422222222223461</v>
      </c>
      <c r="K55" s="18">
        <f t="shared" si="10"/>
        <v>32.64444444444598</v>
      </c>
      <c r="L55" s="18">
        <f t="shared" si="10"/>
        <v>34.088888888887496</v>
      </c>
      <c r="M55" s="18">
        <f t="shared" si="10"/>
        <v>35.533333333332465</v>
      </c>
      <c r="N55" s="19">
        <f t="shared" si="10"/>
        <v>26</v>
      </c>
      <c r="O55" s="19">
        <f t="shared" si="10"/>
        <v>27.444444444445892</v>
      </c>
      <c r="P55" s="19">
        <f t="shared" si="10"/>
        <v>28.888888888890236</v>
      </c>
      <c r="Q55" s="20">
        <f t="shared" si="10"/>
        <v>24.555555555554207</v>
      </c>
      <c r="R55" s="20">
        <f t="shared" si="10"/>
        <v>26</v>
      </c>
      <c r="S55" s="20">
        <f t="shared" si="10"/>
        <v>27.444444444445892</v>
      </c>
      <c r="T55" s="21">
        <f t="shared" si="10"/>
        <v>23.111111111110588</v>
      </c>
      <c r="U55" s="21">
        <f t="shared" si="8"/>
        <v>24.555555555554207</v>
      </c>
      <c r="V55" s="21">
        <f t="shared" si="8"/>
        <v>26</v>
      </c>
      <c r="W55" s="22">
        <f t="shared" si="8"/>
        <v>21.666666666666583</v>
      </c>
      <c r="X55" s="22">
        <f t="shared" si="8"/>
        <v>23.111111111110588</v>
      </c>
      <c r="Y55" s="22">
        <f t="shared" si="8"/>
        <v>24.555555555554207</v>
      </c>
      <c r="Z55" s="23">
        <f t="shared" si="8"/>
        <v>20.222222222223085</v>
      </c>
      <c r="AA55" s="23">
        <f t="shared" ref="AA55:AK85" si="12">AA56-(AA$363/360)</f>
        <v>21.666666666666583</v>
      </c>
      <c r="AB55" s="23">
        <f t="shared" si="12"/>
        <v>23.111111111110588</v>
      </c>
      <c r="AC55" s="24">
        <f t="shared" si="12"/>
        <v>18.777777777776937</v>
      </c>
      <c r="AD55" s="24">
        <f t="shared" si="12"/>
        <v>20.222222222223085</v>
      </c>
      <c r="AE55" s="24">
        <f t="shared" si="12"/>
        <v>21.666666666666583</v>
      </c>
      <c r="AF55" s="25">
        <f t="shared" si="12"/>
        <v>17.333333333333954</v>
      </c>
      <c r="AG55" s="25">
        <f t="shared" si="12"/>
        <v>18.777777777776937</v>
      </c>
      <c r="AH55" s="25">
        <f t="shared" si="7"/>
        <v>20.222222222223085</v>
      </c>
      <c r="AI55" s="26">
        <f t="shared" si="7"/>
        <v>15.888888888888404</v>
      </c>
      <c r="AJ55" s="26">
        <f t="shared" si="7"/>
        <v>17.333333333333954</v>
      </c>
      <c r="AK55" s="26">
        <f t="shared" si="7"/>
        <v>18.777777777776937</v>
      </c>
    </row>
    <row r="56" spans="4:37" ht="20.100000000000001" customHeight="1">
      <c r="D56" s="27">
        <f t="shared" si="3"/>
        <v>0.1472222222222222</v>
      </c>
      <c r="E56" s="16">
        <f t="shared" si="11"/>
        <v>39.161111111112348</v>
      </c>
      <c r="F56" s="16">
        <f t="shared" si="11"/>
        <v>40.63333333333162</v>
      </c>
      <c r="G56" s="16">
        <f t="shared" si="11"/>
        <v>42.105555555554673</v>
      </c>
      <c r="H56" s="17">
        <f t="shared" si="11"/>
        <v>36.216666666665795</v>
      </c>
      <c r="I56" s="17">
        <f t="shared" si="11"/>
        <v>37.688888888889664</v>
      </c>
      <c r="J56" s="17">
        <f t="shared" si="10"/>
        <v>39.161111111112348</v>
      </c>
      <c r="K56" s="18">
        <f t="shared" si="10"/>
        <v>33.27222222222376</v>
      </c>
      <c r="L56" s="18">
        <f t="shared" si="10"/>
        <v>34.744444444443054</v>
      </c>
      <c r="M56" s="18">
        <f t="shared" si="10"/>
        <v>36.216666666665795</v>
      </c>
      <c r="N56" s="19">
        <f t="shared" si="10"/>
        <v>26.5</v>
      </c>
      <c r="O56" s="19">
        <f t="shared" si="10"/>
        <v>27.972222222223671</v>
      </c>
      <c r="P56" s="19">
        <f t="shared" si="10"/>
        <v>29.444444444445793</v>
      </c>
      <c r="Q56" s="20">
        <f t="shared" si="10"/>
        <v>25.027777777776429</v>
      </c>
      <c r="R56" s="20">
        <f t="shared" si="10"/>
        <v>26.5</v>
      </c>
      <c r="S56" s="20">
        <f t="shared" si="10"/>
        <v>27.972222222223671</v>
      </c>
      <c r="T56" s="21">
        <f t="shared" si="10"/>
        <v>23.555555555555031</v>
      </c>
      <c r="U56" s="21">
        <f t="shared" si="10"/>
        <v>25.027777777776429</v>
      </c>
      <c r="V56" s="21">
        <f t="shared" si="10"/>
        <v>26.5</v>
      </c>
      <c r="W56" s="22">
        <f t="shared" si="10"/>
        <v>22.08333333333325</v>
      </c>
      <c r="X56" s="22">
        <f t="shared" si="10"/>
        <v>23.555555555555031</v>
      </c>
      <c r="Y56" s="22">
        <f t="shared" si="10"/>
        <v>25.027777777776429</v>
      </c>
      <c r="Z56" s="23">
        <f t="shared" ref="Z56:Z68" si="13">Z57-(Z$363/360)</f>
        <v>20.611111111111974</v>
      </c>
      <c r="AA56" s="23">
        <f t="shared" si="12"/>
        <v>22.08333333333325</v>
      </c>
      <c r="AB56" s="23">
        <f t="shared" si="12"/>
        <v>23.555555555555031</v>
      </c>
      <c r="AC56" s="24">
        <f t="shared" si="12"/>
        <v>19.138888888888047</v>
      </c>
      <c r="AD56" s="24">
        <f t="shared" si="12"/>
        <v>20.611111111111974</v>
      </c>
      <c r="AE56" s="24">
        <f t="shared" si="12"/>
        <v>22.08333333333325</v>
      </c>
      <c r="AF56" s="25">
        <f t="shared" si="12"/>
        <v>17.666666666667286</v>
      </c>
      <c r="AG56" s="25">
        <f t="shared" si="12"/>
        <v>19.138888888888047</v>
      </c>
      <c r="AH56" s="25">
        <f t="shared" si="7"/>
        <v>20.611111111111974</v>
      </c>
      <c r="AI56" s="26">
        <f t="shared" si="7"/>
        <v>16.19444444444396</v>
      </c>
      <c r="AJ56" s="26">
        <f t="shared" si="7"/>
        <v>17.666666666667286</v>
      </c>
      <c r="AK56" s="26">
        <f t="shared" si="7"/>
        <v>19.138888888888047</v>
      </c>
    </row>
    <row r="57" spans="4:37" ht="20.100000000000001" customHeight="1">
      <c r="D57" s="27">
        <f t="shared" si="3"/>
        <v>0.14999999999999997</v>
      </c>
      <c r="E57" s="16">
        <f t="shared" si="11"/>
        <v>39.900000000001235</v>
      </c>
      <c r="F57" s="16">
        <f t="shared" si="11"/>
        <v>41.399999999998286</v>
      </c>
      <c r="G57" s="16">
        <f t="shared" si="11"/>
        <v>42.899999999999118</v>
      </c>
      <c r="H57" s="17">
        <f t="shared" si="11"/>
        <v>36.899999999999125</v>
      </c>
      <c r="I57" s="17">
        <f t="shared" si="11"/>
        <v>38.400000000000773</v>
      </c>
      <c r="J57" s="17">
        <f t="shared" si="10"/>
        <v>39.900000000001235</v>
      </c>
      <c r="K57" s="18">
        <f t="shared" si="10"/>
        <v>33.90000000000154</v>
      </c>
      <c r="L57" s="18">
        <f t="shared" si="10"/>
        <v>35.399999999998613</v>
      </c>
      <c r="M57" s="18">
        <f t="shared" si="10"/>
        <v>36.899999999999125</v>
      </c>
      <c r="N57" s="19">
        <f t="shared" si="10"/>
        <v>27</v>
      </c>
      <c r="O57" s="19">
        <f t="shared" si="10"/>
        <v>28.50000000000145</v>
      </c>
      <c r="P57" s="19">
        <f t="shared" si="10"/>
        <v>30.00000000000135</v>
      </c>
      <c r="Q57" s="20">
        <f t="shared" si="10"/>
        <v>25.49999999999865</v>
      </c>
      <c r="R57" s="20">
        <f t="shared" si="10"/>
        <v>27</v>
      </c>
      <c r="S57" s="20">
        <f t="shared" si="10"/>
        <v>28.50000000000145</v>
      </c>
      <c r="T57" s="21">
        <f t="shared" si="10"/>
        <v>23.999999999999474</v>
      </c>
      <c r="U57" s="21">
        <f t="shared" si="10"/>
        <v>25.49999999999865</v>
      </c>
      <c r="V57" s="21">
        <f t="shared" si="10"/>
        <v>27</v>
      </c>
      <c r="W57" s="22">
        <f t="shared" si="10"/>
        <v>22.499999999999918</v>
      </c>
      <c r="X57" s="22">
        <f t="shared" si="10"/>
        <v>23.999999999999474</v>
      </c>
      <c r="Y57" s="22">
        <f t="shared" si="10"/>
        <v>25.49999999999865</v>
      </c>
      <c r="Z57" s="23">
        <f t="shared" si="13"/>
        <v>21.000000000000863</v>
      </c>
      <c r="AA57" s="23">
        <f t="shared" si="12"/>
        <v>22.499999999999918</v>
      </c>
      <c r="AB57" s="23">
        <f t="shared" si="12"/>
        <v>23.999999999999474</v>
      </c>
      <c r="AC57" s="24">
        <f t="shared" si="12"/>
        <v>19.499999999999158</v>
      </c>
      <c r="AD57" s="24">
        <f t="shared" si="12"/>
        <v>21.000000000000863</v>
      </c>
      <c r="AE57" s="24">
        <f t="shared" si="12"/>
        <v>22.499999999999918</v>
      </c>
      <c r="AF57" s="25">
        <f t="shared" si="12"/>
        <v>18.000000000000618</v>
      </c>
      <c r="AG57" s="25">
        <f t="shared" si="12"/>
        <v>19.499999999999158</v>
      </c>
      <c r="AH57" s="25">
        <f t="shared" si="7"/>
        <v>21.000000000000863</v>
      </c>
      <c r="AI57" s="26">
        <f t="shared" si="7"/>
        <v>16.499999999999517</v>
      </c>
      <c r="AJ57" s="26">
        <f t="shared" si="7"/>
        <v>18.000000000000618</v>
      </c>
      <c r="AK57" s="26">
        <f t="shared" si="7"/>
        <v>19.499999999999158</v>
      </c>
    </row>
    <row r="58" spans="4:37" ht="20.100000000000001" customHeight="1">
      <c r="D58" s="27">
        <f t="shared" si="3"/>
        <v>0.15277777777777773</v>
      </c>
      <c r="E58" s="16">
        <f t="shared" si="11"/>
        <v>40.638888888890122</v>
      </c>
      <c r="F58" s="16">
        <f t="shared" si="11"/>
        <v>42.166666666664952</v>
      </c>
      <c r="G58" s="16">
        <f t="shared" si="11"/>
        <v>43.694444444443562</v>
      </c>
      <c r="H58" s="17">
        <f t="shared" si="11"/>
        <v>37.583333333332455</v>
      </c>
      <c r="I58" s="17">
        <f t="shared" si="11"/>
        <v>39.111111111111882</v>
      </c>
      <c r="J58" s="17">
        <f t="shared" si="10"/>
        <v>40.638888888890122</v>
      </c>
      <c r="K58" s="18">
        <f t="shared" si="10"/>
        <v>34.52777777777932</v>
      </c>
      <c r="L58" s="18">
        <f t="shared" si="10"/>
        <v>36.055555555554172</v>
      </c>
      <c r="M58" s="18">
        <f t="shared" si="10"/>
        <v>37.583333333332455</v>
      </c>
      <c r="N58" s="19">
        <f t="shared" si="10"/>
        <v>27.5</v>
      </c>
      <c r="O58" s="19">
        <f t="shared" si="10"/>
        <v>29.027777777779228</v>
      </c>
      <c r="P58" s="19">
        <f t="shared" si="10"/>
        <v>30.555555555556907</v>
      </c>
      <c r="Q58" s="20">
        <f t="shared" si="10"/>
        <v>25.972222222220871</v>
      </c>
      <c r="R58" s="20">
        <f t="shared" si="10"/>
        <v>27.5</v>
      </c>
      <c r="S58" s="20">
        <f t="shared" si="10"/>
        <v>29.027777777779228</v>
      </c>
      <c r="T58" s="21">
        <f t="shared" si="10"/>
        <v>24.444444444443917</v>
      </c>
      <c r="U58" s="21">
        <f t="shared" si="10"/>
        <v>25.972222222220871</v>
      </c>
      <c r="V58" s="21">
        <f t="shared" si="10"/>
        <v>27.5</v>
      </c>
      <c r="W58" s="22">
        <f t="shared" si="10"/>
        <v>22.916666666666586</v>
      </c>
      <c r="X58" s="22">
        <f t="shared" si="10"/>
        <v>24.444444444443917</v>
      </c>
      <c r="Y58" s="22">
        <f t="shared" si="10"/>
        <v>25.972222222220871</v>
      </c>
      <c r="Z58" s="23">
        <f t="shared" si="13"/>
        <v>21.388888888889753</v>
      </c>
      <c r="AA58" s="23">
        <f t="shared" si="12"/>
        <v>22.916666666666586</v>
      </c>
      <c r="AB58" s="23">
        <f t="shared" si="12"/>
        <v>24.444444444443917</v>
      </c>
      <c r="AC58" s="24">
        <f t="shared" si="12"/>
        <v>19.861111111110269</v>
      </c>
      <c r="AD58" s="24">
        <f t="shared" si="12"/>
        <v>21.388888888889753</v>
      </c>
      <c r="AE58" s="24">
        <f t="shared" si="12"/>
        <v>22.916666666666586</v>
      </c>
      <c r="AF58" s="25">
        <f t="shared" si="12"/>
        <v>18.33333333333395</v>
      </c>
      <c r="AG58" s="25">
        <f t="shared" si="12"/>
        <v>19.861111111110269</v>
      </c>
      <c r="AH58" s="25">
        <f t="shared" si="7"/>
        <v>21.388888888889753</v>
      </c>
      <c r="AI58" s="26">
        <f t="shared" si="7"/>
        <v>16.805555555555074</v>
      </c>
      <c r="AJ58" s="26">
        <f t="shared" si="7"/>
        <v>18.33333333333395</v>
      </c>
      <c r="AK58" s="26">
        <f t="shared" si="7"/>
        <v>19.861111111110269</v>
      </c>
    </row>
    <row r="59" spans="4:37" ht="20.100000000000001" customHeight="1">
      <c r="D59" s="27">
        <f t="shared" si="3"/>
        <v>0.1555555555555555</v>
      </c>
      <c r="E59" s="16">
        <f t="shared" si="11"/>
        <v>41.377777777779009</v>
      </c>
      <c r="F59" s="16">
        <f t="shared" si="11"/>
        <v>42.933333333331618</v>
      </c>
      <c r="G59" s="16">
        <f t="shared" si="11"/>
        <v>44.488888888888006</v>
      </c>
      <c r="H59" s="17">
        <f t="shared" si="11"/>
        <v>38.266666666665785</v>
      </c>
      <c r="I59" s="17">
        <f t="shared" si="11"/>
        <v>39.82222222222299</v>
      </c>
      <c r="J59" s="17">
        <f t="shared" si="10"/>
        <v>41.377777777779009</v>
      </c>
      <c r="K59" s="18">
        <f t="shared" si="10"/>
        <v>35.1555555555571</v>
      </c>
      <c r="L59" s="18">
        <f t="shared" si="10"/>
        <v>36.71111111110973</v>
      </c>
      <c r="M59" s="18">
        <f t="shared" si="10"/>
        <v>38.266666666665785</v>
      </c>
      <c r="N59" s="19">
        <f t="shared" si="10"/>
        <v>28</v>
      </c>
      <c r="O59" s="19">
        <f t="shared" si="10"/>
        <v>29.555555555557007</v>
      </c>
      <c r="P59" s="19">
        <f t="shared" si="10"/>
        <v>31.111111111112464</v>
      </c>
      <c r="Q59" s="20">
        <f t="shared" si="10"/>
        <v>26.444444444443093</v>
      </c>
      <c r="R59" s="20">
        <f t="shared" si="10"/>
        <v>28</v>
      </c>
      <c r="S59" s="20">
        <f t="shared" si="10"/>
        <v>29.555555555557007</v>
      </c>
      <c r="T59" s="21">
        <f t="shared" si="10"/>
        <v>24.88888888888836</v>
      </c>
      <c r="U59" s="21">
        <f t="shared" si="10"/>
        <v>26.444444444443093</v>
      </c>
      <c r="V59" s="21">
        <f t="shared" si="10"/>
        <v>28</v>
      </c>
      <c r="W59" s="22">
        <f t="shared" si="10"/>
        <v>23.333333333333254</v>
      </c>
      <c r="X59" s="22">
        <f t="shared" si="10"/>
        <v>24.88888888888836</v>
      </c>
      <c r="Y59" s="22">
        <f t="shared" si="10"/>
        <v>26.444444444443093</v>
      </c>
      <c r="Z59" s="23">
        <f t="shared" si="13"/>
        <v>21.777777777778642</v>
      </c>
      <c r="AA59" s="23">
        <f t="shared" si="12"/>
        <v>23.333333333333254</v>
      </c>
      <c r="AB59" s="23">
        <f t="shared" si="12"/>
        <v>24.88888888888836</v>
      </c>
      <c r="AC59" s="24">
        <f t="shared" si="12"/>
        <v>20.222222222221379</v>
      </c>
      <c r="AD59" s="24">
        <f t="shared" si="12"/>
        <v>21.777777777778642</v>
      </c>
      <c r="AE59" s="24">
        <f t="shared" si="12"/>
        <v>23.333333333333254</v>
      </c>
      <c r="AF59" s="25">
        <f t="shared" si="12"/>
        <v>18.666666666667282</v>
      </c>
      <c r="AG59" s="25">
        <f t="shared" si="12"/>
        <v>20.222222222221379</v>
      </c>
      <c r="AH59" s="25">
        <f t="shared" si="7"/>
        <v>21.777777777778642</v>
      </c>
      <c r="AI59" s="26">
        <f t="shared" si="7"/>
        <v>17.111111111110631</v>
      </c>
      <c r="AJ59" s="26">
        <f t="shared" si="7"/>
        <v>18.666666666667282</v>
      </c>
      <c r="AK59" s="26">
        <f t="shared" si="7"/>
        <v>20.222222222221379</v>
      </c>
    </row>
    <row r="60" spans="4:37" ht="20.100000000000001" customHeight="1">
      <c r="D60" s="27">
        <f t="shared" si="3"/>
        <v>0.15833333333333327</v>
      </c>
      <c r="E60" s="16">
        <f t="shared" si="11"/>
        <v>42.116666666667896</v>
      </c>
      <c r="F60" s="16">
        <f t="shared" si="11"/>
        <v>43.699999999998283</v>
      </c>
      <c r="G60" s="16">
        <f t="shared" si="11"/>
        <v>45.28333333333245</v>
      </c>
      <c r="H60" s="17">
        <f t="shared" si="11"/>
        <v>38.949999999999115</v>
      </c>
      <c r="I60" s="17">
        <f t="shared" si="11"/>
        <v>40.533333333334099</v>
      </c>
      <c r="J60" s="17">
        <f t="shared" si="10"/>
        <v>42.116666666667896</v>
      </c>
      <c r="K60" s="18">
        <f t="shared" si="10"/>
        <v>35.78333333333488</v>
      </c>
      <c r="L60" s="18">
        <f t="shared" si="10"/>
        <v>37.366666666665289</v>
      </c>
      <c r="M60" s="18">
        <f t="shared" si="10"/>
        <v>38.949999999999115</v>
      </c>
      <c r="N60" s="19">
        <f t="shared" si="10"/>
        <v>28.5</v>
      </c>
      <c r="O60" s="19">
        <f t="shared" si="10"/>
        <v>30.083333333334785</v>
      </c>
      <c r="P60" s="19">
        <f t="shared" si="10"/>
        <v>31.666666666668021</v>
      </c>
      <c r="Q60" s="20">
        <f t="shared" si="10"/>
        <v>26.916666666665314</v>
      </c>
      <c r="R60" s="20">
        <f t="shared" si="10"/>
        <v>28.5</v>
      </c>
      <c r="S60" s="20">
        <f t="shared" si="10"/>
        <v>30.083333333334785</v>
      </c>
      <c r="T60" s="21">
        <f t="shared" si="10"/>
        <v>25.333333333332803</v>
      </c>
      <c r="U60" s="21">
        <f t="shared" si="10"/>
        <v>26.916666666665314</v>
      </c>
      <c r="V60" s="21">
        <f t="shared" si="10"/>
        <v>28.5</v>
      </c>
      <c r="W60" s="22">
        <f t="shared" si="10"/>
        <v>23.749999999999922</v>
      </c>
      <c r="X60" s="22">
        <f t="shared" si="10"/>
        <v>25.333333333332803</v>
      </c>
      <c r="Y60" s="22">
        <f t="shared" si="10"/>
        <v>26.916666666665314</v>
      </c>
      <c r="Z60" s="23">
        <f t="shared" si="13"/>
        <v>22.166666666667531</v>
      </c>
      <c r="AA60" s="23">
        <f t="shared" si="12"/>
        <v>23.749999999999922</v>
      </c>
      <c r="AB60" s="23">
        <f t="shared" si="12"/>
        <v>25.333333333332803</v>
      </c>
      <c r="AC60" s="24">
        <f t="shared" si="12"/>
        <v>20.58333333333249</v>
      </c>
      <c r="AD60" s="24">
        <f t="shared" si="12"/>
        <v>22.166666666667531</v>
      </c>
      <c r="AE60" s="24">
        <f t="shared" si="12"/>
        <v>23.749999999999922</v>
      </c>
      <c r="AF60" s="25">
        <f t="shared" si="12"/>
        <v>19.000000000000615</v>
      </c>
      <c r="AG60" s="25">
        <f t="shared" si="12"/>
        <v>20.58333333333249</v>
      </c>
      <c r="AH60" s="25">
        <f t="shared" si="7"/>
        <v>22.166666666667531</v>
      </c>
      <c r="AI60" s="26">
        <f t="shared" si="7"/>
        <v>17.416666666666188</v>
      </c>
      <c r="AJ60" s="26">
        <f t="shared" si="7"/>
        <v>19.000000000000615</v>
      </c>
      <c r="AK60" s="26">
        <f t="shared" si="7"/>
        <v>20.58333333333249</v>
      </c>
    </row>
    <row r="61" spans="4:37" ht="20.100000000000001" customHeight="1">
      <c r="D61" s="27">
        <f t="shared" si="3"/>
        <v>0.16111111111111104</v>
      </c>
      <c r="E61" s="16">
        <f t="shared" si="11"/>
        <v>42.855555555556784</v>
      </c>
      <c r="F61" s="16">
        <f t="shared" si="11"/>
        <v>44.466666666664949</v>
      </c>
      <c r="G61" s="16">
        <f t="shared" si="11"/>
        <v>46.077777777776895</v>
      </c>
      <c r="H61" s="17">
        <f t="shared" si="11"/>
        <v>39.633333333332445</v>
      </c>
      <c r="I61" s="17">
        <f t="shared" si="11"/>
        <v>41.244444444445207</v>
      </c>
      <c r="J61" s="17">
        <f t="shared" si="10"/>
        <v>42.855555555556784</v>
      </c>
      <c r="K61" s="18">
        <f t="shared" si="10"/>
        <v>36.41111111111266</v>
      </c>
      <c r="L61" s="18">
        <f t="shared" si="10"/>
        <v>38.022222222220847</v>
      </c>
      <c r="M61" s="18">
        <f t="shared" si="10"/>
        <v>39.633333333332445</v>
      </c>
      <c r="N61" s="19">
        <f t="shared" si="10"/>
        <v>29</v>
      </c>
      <c r="O61" s="19">
        <f t="shared" si="10"/>
        <v>30.611111111112564</v>
      </c>
      <c r="P61" s="19">
        <f t="shared" si="10"/>
        <v>32.222222222223579</v>
      </c>
      <c r="Q61" s="20">
        <f t="shared" si="10"/>
        <v>27.388888888887536</v>
      </c>
      <c r="R61" s="20">
        <f t="shared" si="10"/>
        <v>29</v>
      </c>
      <c r="S61" s="20">
        <f t="shared" si="10"/>
        <v>30.611111111112564</v>
      </c>
      <c r="T61" s="21">
        <f t="shared" si="10"/>
        <v>25.777777777777246</v>
      </c>
      <c r="U61" s="21">
        <f t="shared" si="10"/>
        <v>27.388888888887536</v>
      </c>
      <c r="V61" s="21">
        <f t="shared" si="10"/>
        <v>29</v>
      </c>
      <c r="W61" s="22">
        <f t="shared" si="10"/>
        <v>24.16666666666659</v>
      </c>
      <c r="X61" s="22">
        <f t="shared" si="10"/>
        <v>25.777777777777246</v>
      </c>
      <c r="Y61" s="22">
        <f t="shared" si="10"/>
        <v>27.388888888887536</v>
      </c>
      <c r="Z61" s="23">
        <f t="shared" si="13"/>
        <v>22.55555555555642</v>
      </c>
      <c r="AA61" s="23">
        <f t="shared" si="12"/>
        <v>24.16666666666659</v>
      </c>
      <c r="AB61" s="23">
        <f t="shared" si="12"/>
        <v>25.777777777777246</v>
      </c>
      <c r="AC61" s="24">
        <f t="shared" si="12"/>
        <v>20.944444444443601</v>
      </c>
      <c r="AD61" s="24">
        <f t="shared" si="12"/>
        <v>22.55555555555642</v>
      </c>
      <c r="AE61" s="24">
        <f t="shared" si="12"/>
        <v>24.16666666666659</v>
      </c>
      <c r="AF61" s="25">
        <f t="shared" si="12"/>
        <v>19.333333333333947</v>
      </c>
      <c r="AG61" s="25">
        <f t="shared" si="12"/>
        <v>20.944444444443601</v>
      </c>
      <c r="AH61" s="25">
        <f t="shared" si="7"/>
        <v>22.55555555555642</v>
      </c>
      <c r="AI61" s="26">
        <f t="shared" si="7"/>
        <v>17.722222222221745</v>
      </c>
      <c r="AJ61" s="26">
        <f t="shared" si="7"/>
        <v>19.333333333333947</v>
      </c>
      <c r="AK61" s="26">
        <f t="shared" si="7"/>
        <v>20.944444444443601</v>
      </c>
    </row>
    <row r="62" spans="4:37" ht="20.100000000000001" customHeight="1">
      <c r="D62" s="27">
        <f t="shared" si="3"/>
        <v>0.16388888888888881</v>
      </c>
      <c r="E62" s="16">
        <f t="shared" si="11"/>
        <v>43.594444444445671</v>
      </c>
      <c r="F62" s="16">
        <f t="shared" si="11"/>
        <v>45.233333333331615</v>
      </c>
      <c r="G62" s="16">
        <f t="shared" si="11"/>
        <v>46.872222222221339</v>
      </c>
      <c r="H62" s="17">
        <f t="shared" si="11"/>
        <v>40.316666666665775</v>
      </c>
      <c r="I62" s="17">
        <f t="shared" si="11"/>
        <v>41.955555555556316</v>
      </c>
      <c r="J62" s="17">
        <f t="shared" si="10"/>
        <v>43.594444444445671</v>
      </c>
      <c r="K62" s="18">
        <f t="shared" si="10"/>
        <v>37.03888888889044</v>
      </c>
      <c r="L62" s="18">
        <f t="shared" si="10"/>
        <v>38.677777777776406</v>
      </c>
      <c r="M62" s="18">
        <f t="shared" si="10"/>
        <v>40.316666666665775</v>
      </c>
      <c r="N62" s="19">
        <f t="shared" si="10"/>
        <v>29.5</v>
      </c>
      <c r="O62" s="19">
        <f t="shared" si="10"/>
        <v>31.138888888890342</v>
      </c>
      <c r="P62" s="19">
        <f t="shared" si="10"/>
        <v>32.777777777779136</v>
      </c>
      <c r="Q62" s="20">
        <f t="shared" si="10"/>
        <v>27.861111111109757</v>
      </c>
      <c r="R62" s="20">
        <f t="shared" si="10"/>
        <v>29.5</v>
      </c>
      <c r="S62" s="20">
        <f t="shared" si="10"/>
        <v>31.138888888890342</v>
      </c>
      <c r="T62" s="21">
        <f t="shared" si="10"/>
        <v>26.222222222221689</v>
      </c>
      <c r="U62" s="21">
        <f t="shared" si="10"/>
        <v>27.861111111109757</v>
      </c>
      <c r="V62" s="21">
        <f t="shared" si="10"/>
        <v>29.5</v>
      </c>
      <c r="W62" s="22">
        <f t="shared" si="10"/>
        <v>24.583333333333258</v>
      </c>
      <c r="X62" s="22">
        <f t="shared" si="10"/>
        <v>26.222222222221689</v>
      </c>
      <c r="Y62" s="22">
        <f t="shared" si="10"/>
        <v>27.861111111109757</v>
      </c>
      <c r="Z62" s="23">
        <f t="shared" si="13"/>
        <v>22.94444444444531</v>
      </c>
      <c r="AA62" s="23">
        <f t="shared" si="12"/>
        <v>24.583333333333258</v>
      </c>
      <c r="AB62" s="23">
        <f t="shared" si="12"/>
        <v>26.222222222221689</v>
      </c>
      <c r="AC62" s="24">
        <f t="shared" si="12"/>
        <v>21.305555555554712</v>
      </c>
      <c r="AD62" s="24">
        <f t="shared" si="12"/>
        <v>22.94444444444531</v>
      </c>
      <c r="AE62" s="24">
        <f t="shared" si="12"/>
        <v>24.583333333333258</v>
      </c>
      <c r="AF62" s="25">
        <f t="shared" si="12"/>
        <v>19.666666666667279</v>
      </c>
      <c r="AG62" s="25">
        <f t="shared" si="12"/>
        <v>21.305555555554712</v>
      </c>
      <c r="AH62" s="25">
        <f t="shared" si="7"/>
        <v>22.94444444444531</v>
      </c>
      <c r="AI62" s="26">
        <f t="shared" si="7"/>
        <v>18.027777777777303</v>
      </c>
      <c r="AJ62" s="26">
        <f t="shared" si="7"/>
        <v>19.666666666667279</v>
      </c>
      <c r="AK62" s="26">
        <f t="shared" si="7"/>
        <v>21.305555555554712</v>
      </c>
    </row>
    <row r="63" spans="4:37" ht="20.100000000000001" customHeight="1">
      <c r="D63" s="27">
        <f t="shared" si="3"/>
        <v>0.16666666666666657</v>
      </c>
      <c r="E63" s="16">
        <f t="shared" si="11"/>
        <v>44.333333333334558</v>
      </c>
      <c r="F63" s="16">
        <f t="shared" si="11"/>
        <v>45.99999999999828</v>
      </c>
      <c r="G63" s="16">
        <f t="shared" si="11"/>
        <v>47.666666666665783</v>
      </c>
      <c r="H63" s="17">
        <f t="shared" si="11"/>
        <v>40.999999999999105</v>
      </c>
      <c r="I63" s="17">
        <f t="shared" si="11"/>
        <v>42.666666666667425</v>
      </c>
      <c r="J63" s="17">
        <f t="shared" si="10"/>
        <v>44.333333333334558</v>
      </c>
      <c r="K63" s="18">
        <f t="shared" si="10"/>
        <v>37.66666666666822</v>
      </c>
      <c r="L63" s="18">
        <f t="shared" si="10"/>
        <v>39.333333333331964</v>
      </c>
      <c r="M63" s="18">
        <f t="shared" si="10"/>
        <v>40.999999999999105</v>
      </c>
      <c r="N63" s="19">
        <f t="shared" si="10"/>
        <v>30</v>
      </c>
      <c r="O63" s="19">
        <f t="shared" si="10"/>
        <v>31.666666666668121</v>
      </c>
      <c r="P63" s="19">
        <f t="shared" si="10"/>
        <v>33.333333333334693</v>
      </c>
      <c r="Q63" s="20">
        <f t="shared" si="10"/>
        <v>28.333333333331979</v>
      </c>
      <c r="R63" s="20">
        <f t="shared" si="10"/>
        <v>30</v>
      </c>
      <c r="S63" s="20">
        <f t="shared" si="10"/>
        <v>31.666666666668121</v>
      </c>
      <c r="T63" s="21">
        <f t="shared" si="10"/>
        <v>26.666666666666131</v>
      </c>
      <c r="U63" s="21">
        <f t="shared" si="10"/>
        <v>28.333333333331979</v>
      </c>
      <c r="V63" s="21">
        <f t="shared" si="10"/>
        <v>30</v>
      </c>
      <c r="W63" s="22">
        <f t="shared" si="10"/>
        <v>24.999999999999925</v>
      </c>
      <c r="X63" s="22">
        <f t="shared" si="10"/>
        <v>26.666666666666131</v>
      </c>
      <c r="Y63" s="22">
        <f t="shared" si="10"/>
        <v>28.333333333331979</v>
      </c>
      <c r="Z63" s="23">
        <f t="shared" si="13"/>
        <v>23.333333333334199</v>
      </c>
      <c r="AA63" s="23">
        <f t="shared" si="12"/>
        <v>24.999999999999925</v>
      </c>
      <c r="AB63" s="23">
        <f t="shared" si="12"/>
        <v>26.666666666666131</v>
      </c>
      <c r="AC63" s="24">
        <f t="shared" si="12"/>
        <v>21.666666666665822</v>
      </c>
      <c r="AD63" s="24">
        <f t="shared" si="12"/>
        <v>23.333333333334199</v>
      </c>
      <c r="AE63" s="24">
        <f t="shared" si="12"/>
        <v>24.999999999999925</v>
      </c>
      <c r="AF63" s="25">
        <f t="shared" si="12"/>
        <v>20.000000000000611</v>
      </c>
      <c r="AG63" s="25">
        <f t="shared" si="12"/>
        <v>21.666666666665822</v>
      </c>
      <c r="AH63" s="25">
        <f t="shared" si="7"/>
        <v>23.333333333334199</v>
      </c>
      <c r="AI63" s="26">
        <f t="shared" si="7"/>
        <v>18.33333333333286</v>
      </c>
      <c r="AJ63" s="26">
        <f t="shared" si="7"/>
        <v>20.000000000000611</v>
      </c>
      <c r="AK63" s="26">
        <f t="shared" si="7"/>
        <v>21.666666666665822</v>
      </c>
    </row>
    <row r="64" spans="4:37" ht="20.100000000000001" customHeight="1">
      <c r="D64" s="27">
        <f t="shared" si="3"/>
        <v>0.16944444444444434</v>
      </c>
      <c r="E64" s="16">
        <f t="shared" si="11"/>
        <v>45.072222222223445</v>
      </c>
      <c r="F64" s="16">
        <f t="shared" si="11"/>
        <v>46.766666666664946</v>
      </c>
      <c r="G64" s="16">
        <f t="shared" si="11"/>
        <v>48.461111111110228</v>
      </c>
      <c r="H64" s="17">
        <f t="shared" si="11"/>
        <v>41.683333333332435</v>
      </c>
      <c r="I64" s="17">
        <f t="shared" si="11"/>
        <v>43.377777777778533</v>
      </c>
      <c r="J64" s="17">
        <f t="shared" si="10"/>
        <v>45.072222222223445</v>
      </c>
      <c r="K64" s="18">
        <f t="shared" si="10"/>
        <v>38.294444444446</v>
      </c>
      <c r="L64" s="18">
        <f t="shared" si="10"/>
        <v>39.988888888887523</v>
      </c>
      <c r="M64" s="18">
        <f t="shared" si="10"/>
        <v>41.683333333332435</v>
      </c>
      <c r="N64" s="19">
        <f t="shared" si="10"/>
        <v>30.5</v>
      </c>
      <c r="O64" s="19">
        <f t="shared" si="10"/>
        <v>32.194444444445899</v>
      </c>
      <c r="P64" s="19">
        <f t="shared" si="10"/>
        <v>33.88888888889025</v>
      </c>
      <c r="Q64" s="20">
        <f t="shared" si="10"/>
        <v>28.8055555555542</v>
      </c>
      <c r="R64" s="20">
        <f t="shared" si="10"/>
        <v>30.5</v>
      </c>
      <c r="S64" s="20">
        <f t="shared" si="10"/>
        <v>32.194444444445899</v>
      </c>
      <c r="T64" s="21">
        <f t="shared" si="10"/>
        <v>27.111111111110574</v>
      </c>
      <c r="U64" s="21">
        <f t="shared" si="10"/>
        <v>28.8055555555542</v>
      </c>
      <c r="V64" s="21">
        <f t="shared" si="10"/>
        <v>30.5</v>
      </c>
      <c r="W64" s="22">
        <f t="shared" si="10"/>
        <v>25.416666666666593</v>
      </c>
      <c r="X64" s="22">
        <f t="shared" si="10"/>
        <v>27.111111111110574</v>
      </c>
      <c r="Y64" s="22">
        <f t="shared" si="10"/>
        <v>28.8055555555542</v>
      </c>
      <c r="Z64" s="23">
        <f t="shared" si="13"/>
        <v>23.722222222223088</v>
      </c>
      <c r="AA64" s="23">
        <f t="shared" si="12"/>
        <v>25.416666666666593</v>
      </c>
      <c r="AB64" s="23">
        <f t="shared" si="12"/>
        <v>27.111111111110574</v>
      </c>
      <c r="AC64" s="24">
        <f t="shared" si="12"/>
        <v>22.027777777776933</v>
      </c>
      <c r="AD64" s="24">
        <f t="shared" si="12"/>
        <v>23.722222222223088</v>
      </c>
      <c r="AE64" s="24">
        <f t="shared" si="12"/>
        <v>25.416666666666593</v>
      </c>
      <c r="AF64" s="25">
        <f t="shared" si="12"/>
        <v>20.333333333333943</v>
      </c>
      <c r="AG64" s="25">
        <f t="shared" si="12"/>
        <v>22.027777777776933</v>
      </c>
      <c r="AH64" s="25">
        <f t="shared" si="7"/>
        <v>23.722222222223088</v>
      </c>
      <c r="AI64" s="26">
        <f t="shared" si="7"/>
        <v>18.638888888888417</v>
      </c>
      <c r="AJ64" s="26">
        <f t="shared" si="7"/>
        <v>20.333333333333943</v>
      </c>
      <c r="AK64" s="26">
        <f t="shared" si="7"/>
        <v>22.027777777776933</v>
      </c>
    </row>
    <row r="65" spans="4:37" ht="20.100000000000001" customHeight="1">
      <c r="D65" s="27">
        <f t="shared" si="3"/>
        <v>0.17222222222222211</v>
      </c>
      <c r="E65" s="16">
        <f t="shared" si="11"/>
        <v>45.811111111112332</v>
      </c>
      <c r="F65" s="16">
        <f t="shared" si="11"/>
        <v>47.533333333331612</v>
      </c>
      <c r="G65" s="16">
        <f t="shared" si="11"/>
        <v>49.255555555554672</v>
      </c>
      <c r="H65" s="17">
        <f t="shared" si="11"/>
        <v>42.366666666665765</v>
      </c>
      <c r="I65" s="17">
        <f t="shared" si="11"/>
        <v>44.088888888889642</v>
      </c>
      <c r="J65" s="17">
        <f t="shared" si="10"/>
        <v>45.811111111112332</v>
      </c>
      <c r="K65" s="18">
        <f t="shared" si="10"/>
        <v>38.92222222222378</v>
      </c>
      <c r="L65" s="18">
        <f t="shared" si="10"/>
        <v>40.644444444443081</v>
      </c>
      <c r="M65" s="18">
        <f t="shared" si="10"/>
        <v>42.366666666665765</v>
      </c>
      <c r="N65" s="19">
        <f t="shared" si="10"/>
        <v>31</v>
      </c>
      <c r="O65" s="19">
        <f t="shared" si="10"/>
        <v>32.722222222223678</v>
      </c>
      <c r="P65" s="19">
        <f t="shared" si="10"/>
        <v>34.444444444445807</v>
      </c>
      <c r="Q65" s="20">
        <f t="shared" si="10"/>
        <v>29.277777777776421</v>
      </c>
      <c r="R65" s="20">
        <f t="shared" si="10"/>
        <v>31</v>
      </c>
      <c r="S65" s="20">
        <f t="shared" si="10"/>
        <v>32.722222222223678</v>
      </c>
      <c r="T65" s="21">
        <f t="shared" si="10"/>
        <v>27.555555555555017</v>
      </c>
      <c r="U65" s="21">
        <f t="shared" si="10"/>
        <v>29.277777777776421</v>
      </c>
      <c r="V65" s="21">
        <f t="shared" si="10"/>
        <v>31</v>
      </c>
      <c r="W65" s="22">
        <f t="shared" si="10"/>
        <v>25.833333333333261</v>
      </c>
      <c r="X65" s="22">
        <f t="shared" si="10"/>
        <v>27.555555555555017</v>
      </c>
      <c r="Y65" s="22">
        <f t="shared" si="10"/>
        <v>29.277777777776421</v>
      </c>
      <c r="Z65" s="23">
        <f t="shared" si="13"/>
        <v>24.111111111111978</v>
      </c>
      <c r="AA65" s="23">
        <f t="shared" si="12"/>
        <v>25.833333333333261</v>
      </c>
      <c r="AB65" s="23">
        <f t="shared" si="12"/>
        <v>27.555555555555017</v>
      </c>
      <c r="AC65" s="24">
        <f t="shared" si="12"/>
        <v>22.388888888888044</v>
      </c>
      <c r="AD65" s="24">
        <f t="shared" si="12"/>
        <v>24.111111111111978</v>
      </c>
      <c r="AE65" s="24">
        <f t="shared" si="12"/>
        <v>25.833333333333261</v>
      </c>
      <c r="AF65" s="25">
        <f t="shared" si="12"/>
        <v>20.666666666667275</v>
      </c>
      <c r="AG65" s="25">
        <f t="shared" si="12"/>
        <v>22.388888888888044</v>
      </c>
      <c r="AH65" s="25">
        <f t="shared" si="7"/>
        <v>24.111111111111978</v>
      </c>
      <c r="AI65" s="26">
        <f t="shared" si="7"/>
        <v>18.944444444443974</v>
      </c>
      <c r="AJ65" s="26">
        <f t="shared" si="7"/>
        <v>20.666666666667275</v>
      </c>
      <c r="AK65" s="26">
        <f t="shared" si="7"/>
        <v>22.388888888888044</v>
      </c>
    </row>
    <row r="66" spans="4:37" ht="20.100000000000001" customHeight="1">
      <c r="D66" s="27">
        <f t="shared" si="3"/>
        <v>0.17499999999999988</v>
      </c>
      <c r="E66" s="16">
        <f t="shared" si="11"/>
        <v>46.550000000001219</v>
      </c>
      <c r="F66" s="16">
        <f t="shared" si="11"/>
        <v>48.299999999998278</v>
      </c>
      <c r="G66" s="16">
        <f t="shared" si="11"/>
        <v>50.049999999999116</v>
      </c>
      <c r="H66" s="17">
        <f t="shared" si="11"/>
        <v>43.049999999999095</v>
      </c>
      <c r="I66" s="17">
        <f t="shared" si="11"/>
        <v>44.80000000000075</v>
      </c>
      <c r="J66" s="17">
        <f t="shared" si="10"/>
        <v>46.550000000001219</v>
      </c>
      <c r="K66" s="18">
        <f t="shared" si="10"/>
        <v>39.55000000000156</v>
      </c>
      <c r="L66" s="18">
        <f t="shared" si="10"/>
        <v>41.29999999999864</v>
      </c>
      <c r="M66" s="18">
        <f t="shared" si="10"/>
        <v>43.049999999999095</v>
      </c>
      <c r="N66" s="19">
        <f t="shared" si="10"/>
        <v>31.5</v>
      </c>
      <c r="O66" s="19">
        <f t="shared" si="10"/>
        <v>33.250000000001457</v>
      </c>
      <c r="P66" s="19">
        <f t="shared" si="10"/>
        <v>35.000000000001364</v>
      </c>
      <c r="Q66" s="20">
        <f t="shared" si="10"/>
        <v>29.749999999998643</v>
      </c>
      <c r="R66" s="20">
        <f t="shared" si="10"/>
        <v>31.5</v>
      </c>
      <c r="S66" s="20">
        <f t="shared" si="10"/>
        <v>33.250000000001457</v>
      </c>
      <c r="T66" s="21">
        <f t="shared" si="10"/>
        <v>27.99999999999946</v>
      </c>
      <c r="U66" s="21">
        <f t="shared" si="10"/>
        <v>29.749999999998643</v>
      </c>
      <c r="V66" s="21">
        <f t="shared" si="10"/>
        <v>31.5</v>
      </c>
      <c r="W66" s="22">
        <f t="shared" si="10"/>
        <v>26.249999999999929</v>
      </c>
      <c r="X66" s="22">
        <f t="shared" si="10"/>
        <v>27.99999999999946</v>
      </c>
      <c r="Y66" s="22">
        <f t="shared" si="10"/>
        <v>29.749999999998643</v>
      </c>
      <c r="Z66" s="23">
        <f t="shared" si="13"/>
        <v>24.500000000000867</v>
      </c>
      <c r="AA66" s="23">
        <f t="shared" si="12"/>
        <v>26.249999999999929</v>
      </c>
      <c r="AB66" s="23">
        <f t="shared" si="12"/>
        <v>27.99999999999946</v>
      </c>
      <c r="AC66" s="24">
        <f t="shared" si="12"/>
        <v>22.749999999999154</v>
      </c>
      <c r="AD66" s="24">
        <f t="shared" si="12"/>
        <v>24.500000000000867</v>
      </c>
      <c r="AE66" s="24">
        <f t="shared" si="12"/>
        <v>26.249999999999929</v>
      </c>
      <c r="AF66" s="25">
        <f t="shared" si="12"/>
        <v>21.000000000000608</v>
      </c>
      <c r="AG66" s="25">
        <f t="shared" si="12"/>
        <v>22.749999999999154</v>
      </c>
      <c r="AH66" s="25">
        <f t="shared" si="7"/>
        <v>24.500000000000867</v>
      </c>
      <c r="AI66" s="26">
        <f t="shared" si="7"/>
        <v>19.249999999999531</v>
      </c>
      <c r="AJ66" s="26">
        <f t="shared" si="7"/>
        <v>21.000000000000608</v>
      </c>
      <c r="AK66" s="26">
        <f t="shared" si="7"/>
        <v>22.749999999999154</v>
      </c>
    </row>
    <row r="67" spans="4:37" ht="20.100000000000001" customHeight="1">
      <c r="D67" s="27">
        <f t="shared" si="3"/>
        <v>0.17777777777777765</v>
      </c>
      <c r="E67" s="16">
        <f t="shared" si="11"/>
        <v>47.288888888890106</v>
      </c>
      <c r="F67" s="16">
        <f t="shared" si="11"/>
        <v>49.066666666664943</v>
      </c>
      <c r="G67" s="16">
        <f t="shared" si="11"/>
        <v>50.84444444444356</v>
      </c>
      <c r="H67" s="17">
        <f t="shared" si="11"/>
        <v>43.733333333332425</v>
      </c>
      <c r="I67" s="17">
        <f t="shared" si="11"/>
        <v>45.511111111111859</v>
      </c>
      <c r="J67" s="17">
        <f t="shared" si="10"/>
        <v>47.288888888890106</v>
      </c>
      <c r="K67" s="18">
        <f t="shared" si="10"/>
        <v>40.17777777777934</v>
      </c>
      <c r="L67" s="18">
        <f t="shared" si="10"/>
        <v>41.955555555554199</v>
      </c>
      <c r="M67" s="18">
        <f t="shared" si="10"/>
        <v>43.733333333332425</v>
      </c>
      <c r="N67" s="19">
        <f t="shared" si="10"/>
        <v>32</v>
      </c>
      <c r="O67" s="19">
        <f t="shared" si="10"/>
        <v>33.777777777779235</v>
      </c>
      <c r="P67" s="19">
        <f t="shared" si="10"/>
        <v>35.555555555556921</v>
      </c>
      <c r="Q67" s="20">
        <f t="shared" si="10"/>
        <v>30.222222222220864</v>
      </c>
      <c r="R67" s="20">
        <f t="shared" si="10"/>
        <v>32</v>
      </c>
      <c r="S67" s="20">
        <f t="shared" si="10"/>
        <v>33.777777777779235</v>
      </c>
      <c r="T67" s="21">
        <f t="shared" si="10"/>
        <v>28.444444444443903</v>
      </c>
      <c r="U67" s="21">
        <f t="shared" si="10"/>
        <v>30.222222222220864</v>
      </c>
      <c r="V67" s="21">
        <f t="shared" si="10"/>
        <v>32</v>
      </c>
      <c r="W67" s="22">
        <f t="shared" si="10"/>
        <v>26.666666666666597</v>
      </c>
      <c r="X67" s="22">
        <f t="shared" si="10"/>
        <v>28.444444444443903</v>
      </c>
      <c r="Y67" s="22">
        <f t="shared" si="10"/>
        <v>30.222222222220864</v>
      </c>
      <c r="Z67" s="23">
        <f t="shared" si="13"/>
        <v>24.888888888889756</v>
      </c>
      <c r="AA67" s="23">
        <f t="shared" si="12"/>
        <v>26.666666666666597</v>
      </c>
      <c r="AB67" s="23">
        <f t="shared" si="12"/>
        <v>28.444444444443903</v>
      </c>
      <c r="AC67" s="24">
        <f t="shared" si="12"/>
        <v>23.111111111110265</v>
      </c>
      <c r="AD67" s="24">
        <f t="shared" si="12"/>
        <v>24.888888888889756</v>
      </c>
      <c r="AE67" s="24">
        <f t="shared" si="12"/>
        <v>26.666666666666597</v>
      </c>
      <c r="AF67" s="25">
        <f t="shared" si="12"/>
        <v>21.33333333333394</v>
      </c>
      <c r="AG67" s="25">
        <f t="shared" si="12"/>
        <v>23.111111111110265</v>
      </c>
      <c r="AH67" s="25">
        <f t="shared" si="7"/>
        <v>24.888888888889756</v>
      </c>
      <c r="AI67" s="26">
        <f t="shared" si="7"/>
        <v>19.555555555555088</v>
      </c>
      <c r="AJ67" s="26">
        <f t="shared" si="7"/>
        <v>21.33333333333394</v>
      </c>
      <c r="AK67" s="26">
        <f t="shared" si="7"/>
        <v>23.111111111110265</v>
      </c>
    </row>
    <row r="68" spans="4:37" ht="20.100000000000001" customHeight="1">
      <c r="D68" s="27">
        <f t="shared" si="3"/>
        <v>0.18055555555555541</v>
      </c>
      <c r="E68" s="16">
        <f t="shared" si="11"/>
        <v>48.027777777778994</v>
      </c>
      <c r="F68" s="16">
        <f t="shared" si="11"/>
        <v>49.833333333331609</v>
      </c>
      <c r="G68" s="16">
        <f t="shared" si="11"/>
        <v>51.638888888888005</v>
      </c>
      <c r="H68" s="17">
        <f t="shared" si="11"/>
        <v>44.416666666665755</v>
      </c>
      <c r="I68" s="17">
        <f t="shared" si="11"/>
        <v>46.222222222222968</v>
      </c>
      <c r="J68" s="17">
        <f t="shared" si="10"/>
        <v>48.027777777778994</v>
      </c>
      <c r="K68" s="18">
        <f t="shared" si="10"/>
        <v>40.80555555555712</v>
      </c>
      <c r="L68" s="18">
        <f t="shared" si="10"/>
        <v>42.611111111109757</v>
      </c>
      <c r="M68" s="18">
        <f t="shared" si="10"/>
        <v>44.416666666665755</v>
      </c>
      <c r="N68" s="19">
        <f t="shared" si="10"/>
        <v>32.5</v>
      </c>
      <c r="O68" s="19">
        <f t="shared" si="10"/>
        <v>34.305555555557014</v>
      </c>
      <c r="P68" s="19">
        <f t="shared" si="10"/>
        <v>36.111111111112479</v>
      </c>
      <c r="Q68" s="20">
        <f t="shared" si="10"/>
        <v>30.694444444443086</v>
      </c>
      <c r="R68" s="20">
        <f t="shared" si="10"/>
        <v>32.5</v>
      </c>
      <c r="S68" s="20">
        <f t="shared" si="10"/>
        <v>34.305555555557014</v>
      </c>
      <c r="T68" s="21">
        <f t="shared" si="10"/>
        <v>28.888888888888346</v>
      </c>
      <c r="U68" s="21">
        <f t="shared" si="10"/>
        <v>30.694444444443086</v>
      </c>
      <c r="V68" s="21">
        <f t="shared" si="10"/>
        <v>32.5</v>
      </c>
      <c r="W68" s="22">
        <f t="shared" si="10"/>
        <v>27.083333333333265</v>
      </c>
      <c r="X68" s="22">
        <f t="shared" si="10"/>
        <v>28.888888888888346</v>
      </c>
      <c r="Y68" s="22">
        <f t="shared" si="10"/>
        <v>30.694444444443086</v>
      </c>
      <c r="Z68" s="23">
        <f t="shared" si="13"/>
        <v>25.277777777778645</v>
      </c>
      <c r="AA68" s="23">
        <f t="shared" si="12"/>
        <v>27.083333333333265</v>
      </c>
      <c r="AB68" s="23">
        <f t="shared" si="12"/>
        <v>28.888888888888346</v>
      </c>
      <c r="AC68" s="24">
        <f t="shared" si="12"/>
        <v>23.472222222221376</v>
      </c>
      <c r="AD68" s="24">
        <f t="shared" si="12"/>
        <v>25.277777777778645</v>
      </c>
      <c r="AE68" s="24">
        <f t="shared" si="12"/>
        <v>27.083333333333265</v>
      </c>
      <c r="AF68" s="25">
        <f t="shared" si="12"/>
        <v>21.666666666667272</v>
      </c>
      <c r="AG68" s="25">
        <f t="shared" si="12"/>
        <v>23.472222222221376</v>
      </c>
      <c r="AH68" s="25">
        <f t="shared" si="7"/>
        <v>25.277777777778645</v>
      </c>
      <c r="AI68" s="26">
        <f t="shared" si="7"/>
        <v>19.861111111110645</v>
      </c>
      <c r="AJ68" s="26">
        <f t="shared" si="7"/>
        <v>21.666666666667272</v>
      </c>
      <c r="AK68" s="26">
        <f t="shared" si="7"/>
        <v>23.472222222221376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48.766666666667881</v>
      </c>
      <c r="F69" s="16">
        <f t="shared" si="11"/>
        <v>50.599999999998275</v>
      </c>
      <c r="G69" s="16">
        <f t="shared" si="11"/>
        <v>52.433333333332449</v>
      </c>
      <c r="H69" s="17">
        <f t="shared" si="11"/>
        <v>45.099999999999085</v>
      </c>
      <c r="I69" s="17">
        <f t="shared" si="11"/>
        <v>46.933333333334076</v>
      </c>
      <c r="J69" s="17">
        <f t="shared" si="10"/>
        <v>48.766666666667881</v>
      </c>
      <c r="K69" s="18">
        <f t="shared" si="10"/>
        <v>41.4333333333349</v>
      </c>
      <c r="L69" s="18">
        <f t="shared" si="10"/>
        <v>43.266666666665316</v>
      </c>
      <c r="M69" s="18">
        <f t="shared" ref="M69:Z69" si="15">M70-(M$363/360)</f>
        <v>45.099999999999085</v>
      </c>
      <c r="N69" s="19">
        <f t="shared" si="15"/>
        <v>33</v>
      </c>
      <c r="O69" s="19">
        <f t="shared" si="15"/>
        <v>34.833333333334792</v>
      </c>
      <c r="P69" s="19">
        <f t="shared" si="15"/>
        <v>36.666666666668036</v>
      </c>
      <c r="Q69" s="20">
        <f t="shared" si="15"/>
        <v>31.166666666665307</v>
      </c>
      <c r="R69" s="20">
        <f t="shared" si="15"/>
        <v>33</v>
      </c>
      <c r="S69" s="20">
        <f t="shared" si="15"/>
        <v>34.833333333334792</v>
      </c>
      <c r="T69" s="21">
        <f t="shared" si="15"/>
        <v>29.333333333332789</v>
      </c>
      <c r="U69" s="21">
        <f t="shared" si="15"/>
        <v>31.166666666665307</v>
      </c>
      <c r="V69" s="21">
        <f t="shared" si="15"/>
        <v>33</v>
      </c>
      <c r="W69" s="22">
        <f t="shared" si="15"/>
        <v>27.499999999999932</v>
      </c>
      <c r="X69" s="22">
        <f t="shared" si="15"/>
        <v>29.333333333332789</v>
      </c>
      <c r="Y69" s="22">
        <f t="shared" si="15"/>
        <v>31.166666666665307</v>
      </c>
      <c r="Z69" s="23">
        <f t="shared" si="15"/>
        <v>25.666666666667535</v>
      </c>
      <c r="AA69" s="23">
        <f t="shared" si="12"/>
        <v>27.499999999999932</v>
      </c>
      <c r="AB69" s="23">
        <f t="shared" si="12"/>
        <v>29.333333333332789</v>
      </c>
      <c r="AC69" s="24">
        <f t="shared" si="12"/>
        <v>23.833333333332487</v>
      </c>
      <c r="AD69" s="24">
        <f t="shared" si="12"/>
        <v>25.666666666667535</v>
      </c>
      <c r="AE69" s="24">
        <f t="shared" si="12"/>
        <v>27.499999999999932</v>
      </c>
      <c r="AF69" s="25">
        <f t="shared" si="12"/>
        <v>22.000000000000604</v>
      </c>
      <c r="AG69" s="25">
        <f t="shared" si="12"/>
        <v>23.833333333332487</v>
      </c>
      <c r="AH69" s="25">
        <f t="shared" si="7"/>
        <v>25.666666666667535</v>
      </c>
      <c r="AI69" s="26">
        <f t="shared" si="7"/>
        <v>20.166666666666202</v>
      </c>
      <c r="AJ69" s="26">
        <f t="shared" si="7"/>
        <v>22.000000000000604</v>
      </c>
      <c r="AK69" s="26">
        <f t="shared" si="7"/>
        <v>23.833333333332487</v>
      </c>
    </row>
    <row r="70" spans="4:37" ht="20.100000000000001" customHeight="1">
      <c r="D70" s="27">
        <f t="shared" si="14"/>
        <v>0.18611111111111095</v>
      </c>
      <c r="E70" s="16">
        <f t="shared" si="11"/>
        <v>49.505555555556768</v>
      </c>
      <c r="F70" s="16">
        <f t="shared" si="11"/>
        <v>51.366666666664941</v>
      </c>
      <c r="G70" s="16">
        <f t="shared" si="11"/>
        <v>53.227777777776893</v>
      </c>
      <c r="H70" s="17">
        <f t="shared" si="11"/>
        <v>45.783333333332415</v>
      </c>
      <c r="I70" s="17">
        <f t="shared" si="11"/>
        <v>47.644444444445185</v>
      </c>
      <c r="J70" s="17">
        <f t="shared" si="11"/>
        <v>49.505555555556768</v>
      </c>
      <c r="K70" s="18">
        <f t="shared" si="11"/>
        <v>42.06111111111268</v>
      </c>
      <c r="L70" s="18">
        <f t="shared" si="11"/>
        <v>43.922222222220874</v>
      </c>
      <c r="M70" s="18">
        <f t="shared" si="11"/>
        <v>45.783333333332415</v>
      </c>
      <c r="N70" s="19">
        <f t="shared" si="11"/>
        <v>33.5</v>
      </c>
      <c r="O70" s="19">
        <f t="shared" si="11"/>
        <v>35.361111111112571</v>
      </c>
      <c r="P70" s="19">
        <f t="shared" si="11"/>
        <v>37.222222222223593</v>
      </c>
      <c r="Q70" s="20">
        <f t="shared" si="11"/>
        <v>31.638888888887529</v>
      </c>
      <c r="R70" s="20">
        <f t="shared" si="11"/>
        <v>33.5</v>
      </c>
      <c r="S70" s="20">
        <f t="shared" si="11"/>
        <v>35.361111111112571</v>
      </c>
      <c r="T70" s="21">
        <f t="shared" si="11"/>
        <v>29.777777777777231</v>
      </c>
      <c r="U70" s="21">
        <f t="shared" ref="U70:U91" si="16">U71-(U$363/360)</f>
        <v>31.638888888887529</v>
      </c>
      <c r="V70" s="21">
        <f t="shared" ref="V70:V91" si="17">V71-(V$363/360)</f>
        <v>33.5</v>
      </c>
      <c r="W70" s="22">
        <f t="shared" ref="W70:W91" si="18">W71-(W$363/360)</f>
        <v>27.9166666666666</v>
      </c>
      <c r="X70" s="22">
        <f t="shared" ref="X70:X91" si="19">X71-(X$363/360)</f>
        <v>29.777777777777231</v>
      </c>
      <c r="Y70" s="22">
        <f t="shared" ref="Y70:Y91" si="20">Y71-(Y$363/360)</f>
        <v>31.638888888887529</v>
      </c>
      <c r="Z70" s="23">
        <f t="shared" ref="Z70:Z91" si="21">Z71-(Z$363/360)</f>
        <v>26.055555555556424</v>
      </c>
      <c r="AA70" s="23">
        <f t="shared" si="12"/>
        <v>27.9166666666666</v>
      </c>
      <c r="AB70" s="23">
        <f t="shared" si="12"/>
        <v>29.777777777777231</v>
      </c>
      <c r="AC70" s="24">
        <f t="shared" si="12"/>
        <v>24.194444444443597</v>
      </c>
      <c r="AD70" s="24">
        <f t="shared" si="12"/>
        <v>26.055555555556424</v>
      </c>
      <c r="AE70" s="24">
        <f t="shared" si="12"/>
        <v>27.9166666666666</v>
      </c>
      <c r="AF70" s="25">
        <f t="shared" si="12"/>
        <v>22.333333333333936</v>
      </c>
      <c r="AG70" s="25">
        <f t="shared" si="12"/>
        <v>24.194444444443597</v>
      </c>
      <c r="AH70" s="25">
        <f t="shared" si="7"/>
        <v>26.055555555556424</v>
      </c>
      <c r="AI70" s="26">
        <f t="shared" si="7"/>
        <v>20.47222222222176</v>
      </c>
      <c r="AJ70" s="26">
        <f t="shared" si="7"/>
        <v>22.333333333333936</v>
      </c>
      <c r="AK70" s="26">
        <f t="shared" si="7"/>
        <v>24.194444444443597</v>
      </c>
    </row>
    <row r="71" spans="4:37" ht="20.100000000000001" customHeight="1">
      <c r="D71" s="27">
        <f t="shared" si="14"/>
        <v>0.18888888888888872</v>
      </c>
      <c r="E71" s="16">
        <f t="shared" si="11"/>
        <v>50.244444444445655</v>
      </c>
      <c r="F71" s="16">
        <f t="shared" si="11"/>
        <v>52.133333333331606</v>
      </c>
      <c r="G71" s="16">
        <f t="shared" si="11"/>
        <v>54.022222222221338</v>
      </c>
      <c r="H71" s="17">
        <f t="shared" si="11"/>
        <v>46.466666666665745</v>
      </c>
      <c r="I71" s="17">
        <f t="shared" si="11"/>
        <v>48.355555555556293</v>
      </c>
      <c r="J71" s="17">
        <f t="shared" si="11"/>
        <v>50.244444444445655</v>
      </c>
      <c r="K71" s="18">
        <f t="shared" si="11"/>
        <v>42.68888888889046</v>
      </c>
      <c r="L71" s="18">
        <f t="shared" si="11"/>
        <v>44.577777777776433</v>
      </c>
      <c r="M71" s="18">
        <f t="shared" si="11"/>
        <v>46.466666666665745</v>
      </c>
      <c r="N71" s="19">
        <f t="shared" si="11"/>
        <v>34</v>
      </c>
      <c r="O71" s="19">
        <f t="shared" si="11"/>
        <v>35.888888888890349</v>
      </c>
      <c r="P71" s="19">
        <f t="shared" si="11"/>
        <v>37.77777777777915</v>
      </c>
      <c r="Q71" s="20">
        <f t="shared" si="11"/>
        <v>32.11111111110975</v>
      </c>
      <c r="R71" s="20">
        <f t="shared" si="11"/>
        <v>34</v>
      </c>
      <c r="S71" s="20">
        <f t="shared" si="11"/>
        <v>35.888888888890349</v>
      </c>
      <c r="T71" s="21">
        <f t="shared" si="11"/>
        <v>30.222222222221674</v>
      </c>
      <c r="U71" s="21">
        <f t="shared" si="16"/>
        <v>32.11111111110975</v>
      </c>
      <c r="V71" s="21">
        <f t="shared" si="17"/>
        <v>34</v>
      </c>
      <c r="W71" s="22">
        <f t="shared" si="18"/>
        <v>28.333333333333268</v>
      </c>
      <c r="X71" s="22">
        <f t="shared" si="19"/>
        <v>30.222222222221674</v>
      </c>
      <c r="Y71" s="22">
        <f t="shared" si="20"/>
        <v>32.11111111110975</v>
      </c>
      <c r="Z71" s="23">
        <f t="shared" si="21"/>
        <v>26.444444444445313</v>
      </c>
      <c r="AA71" s="23">
        <f t="shared" si="12"/>
        <v>28.333333333333268</v>
      </c>
      <c r="AB71" s="23">
        <f t="shared" si="12"/>
        <v>30.222222222221674</v>
      </c>
      <c r="AC71" s="24">
        <f t="shared" si="12"/>
        <v>24.555555555554708</v>
      </c>
      <c r="AD71" s="24">
        <f t="shared" si="12"/>
        <v>26.444444444445313</v>
      </c>
      <c r="AE71" s="24">
        <f t="shared" si="12"/>
        <v>28.333333333333268</v>
      </c>
      <c r="AF71" s="25">
        <f t="shared" si="12"/>
        <v>22.666666666667268</v>
      </c>
      <c r="AG71" s="25">
        <f t="shared" si="12"/>
        <v>24.555555555554708</v>
      </c>
      <c r="AH71" s="25">
        <f t="shared" si="12"/>
        <v>26.444444444445313</v>
      </c>
      <c r="AI71" s="26">
        <f t="shared" si="12"/>
        <v>20.777777777777317</v>
      </c>
      <c r="AJ71" s="26">
        <f t="shared" si="12"/>
        <v>22.666666666667268</v>
      </c>
      <c r="AK71" s="26">
        <f t="shared" si="12"/>
        <v>24.555555555554708</v>
      </c>
    </row>
    <row r="72" spans="4:37" ht="20.100000000000001" customHeight="1">
      <c r="D72" s="27">
        <f t="shared" si="14"/>
        <v>0.19166666666666649</v>
      </c>
      <c r="E72" s="16">
        <f t="shared" si="11"/>
        <v>50.983333333334542</v>
      </c>
      <c r="F72" s="16">
        <f t="shared" si="11"/>
        <v>52.899999999998272</v>
      </c>
      <c r="G72" s="16">
        <f t="shared" si="11"/>
        <v>54.816666666665782</v>
      </c>
      <c r="H72" s="17">
        <f t="shared" si="11"/>
        <v>47.149999999999075</v>
      </c>
      <c r="I72" s="17">
        <f t="shared" si="11"/>
        <v>49.066666666667402</v>
      </c>
      <c r="J72" s="17">
        <f t="shared" si="11"/>
        <v>50.983333333334542</v>
      </c>
      <c r="K72" s="18">
        <f t="shared" si="11"/>
        <v>43.31666666666824</v>
      </c>
      <c r="L72" s="18">
        <f t="shared" si="11"/>
        <v>45.233333333331991</v>
      </c>
      <c r="M72" s="18">
        <f t="shared" si="11"/>
        <v>47.149999999999075</v>
      </c>
      <c r="N72" s="19">
        <f t="shared" si="11"/>
        <v>34.5</v>
      </c>
      <c r="O72" s="19">
        <f t="shared" si="11"/>
        <v>36.416666666668128</v>
      </c>
      <c r="P72" s="19">
        <f t="shared" si="11"/>
        <v>38.333333333334707</v>
      </c>
      <c r="Q72" s="20">
        <f t="shared" si="11"/>
        <v>32.583333333331971</v>
      </c>
      <c r="R72" s="20">
        <f t="shared" si="11"/>
        <v>34.5</v>
      </c>
      <c r="S72" s="20">
        <f t="shared" si="11"/>
        <v>36.416666666668128</v>
      </c>
      <c r="T72" s="21">
        <f t="shared" si="11"/>
        <v>30.666666666666117</v>
      </c>
      <c r="U72" s="21">
        <f t="shared" si="16"/>
        <v>32.583333333331971</v>
      </c>
      <c r="V72" s="21">
        <f t="shared" si="17"/>
        <v>34.5</v>
      </c>
      <c r="W72" s="22">
        <f t="shared" si="18"/>
        <v>28.749999999999936</v>
      </c>
      <c r="X72" s="22">
        <f t="shared" si="19"/>
        <v>30.666666666666117</v>
      </c>
      <c r="Y72" s="22">
        <f t="shared" si="20"/>
        <v>32.583333333331971</v>
      </c>
      <c r="Z72" s="23">
        <f t="shared" si="21"/>
        <v>26.833333333334203</v>
      </c>
      <c r="AA72" s="23">
        <f t="shared" si="12"/>
        <v>28.749999999999936</v>
      </c>
      <c r="AB72" s="23">
        <f t="shared" si="12"/>
        <v>30.666666666666117</v>
      </c>
      <c r="AC72" s="24">
        <f t="shared" si="12"/>
        <v>24.916666666665819</v>
      </c>
      <c r="AD72" s="24">
        <f t="shared" si="12"/>
        <v>26.833333333334203</v>
      </c>
      <c r="AE72" s="24">
        <f t="shared" si="12"/>
        <v>28.749999999999936</v>
      </c>
      <c r="AF72" s="25">
        <f t="shared" si="12"/>
        <v>23.0000000000006</v>
      </c>
      <c r="AG72" s="25">
        <f t="shared" si="12"/>
        <v>24.916666666665819</v>
      </c>
      <c r="AH72" s="25">
        <f t="shared" si="12"/>
        <v>26.833333333334203</v>
      </c>
      <c r="AI72" s="26">
        <f t="shared" si="12"/>
        <v>21.083333333332874</v>
      </c>
      <c r="AJ72" s="26">
        <f t="shared" si="12"/>
        <v>23.0000000000006</v>
      </c>
      <c r="AK72" s="26">
        <f t="shared" si="12"/>
        <v>24.916666666665819</v>
      </c>
    </row>
    <row r="73" spans="4:37" ht="20.100000000000001" customHeight="1">
      <c r="D73" s="27">
        <f t="shared" si="14"/>
        <v>0.19444444444444425</v>
      </c>
      <c r="E73" s="16">
        <f t="shared" si="11"/>
        <v>51.722222222223429</v>
      </c>
      <c r="F73" s="16">
        <f t="shared" si="11"/>
        <v>53.666666666664938</v>
      </c>
      <c r="G73" s="16">
        <f t="shared" si="11"/>
        <v>55.611111111110226</v>
      </c>
      <c r="H73" s="17">
        <f t="shared" si="11"/>
        <v>47.833333333332405</v>
      </c>
      <c r="I73" s="17">
        <f t="shared" si="11"/>
        <v>49.77777777777851</v>
      </c>
      <c r="J73" s="17">
        <f t="shared" si="11"/>
        <v>51.722222222223429</v>
      </c>
      <c r="K73" s="18">
        <f t="shared" si="11"/>
        <v>43.94444444444602</v>
      </c>
      <c r="L73" s="18">
        <f t="shared" si="11"/>
        <v>45.88888888888755</v>
      </c>
      <c r="M73" s="18">
        <f t="shared" si="11"/>
        <v>47.833333333332405</v>
      </c>
      <c r="N73" s="19">
        <f t="shared" si="11"/>
        <v>35</v>
      </c>
      <c r="O73" s="19">
        <f t="shared" si="11"/>
        <v>36.944444444445907</v>
      </c>
      <c r="P73" s="19">
        <f t="shared" si="11"/>
        <v>38.888888888890264</v>
      </c>
      <c r="Q73" s="20">
        <f t="shared" si="11"/>
        <v>33.055555555554193</v>
      </c>
      <c r="R73" s="20">
        <f t="shared" si="11"/>
        <v>35</v>
      </c>
      <c r="S73" s="20">
        <f t="shared" si="11"/>
        <v>36.944444444445907</v>
      </c>
      <c r="T73" s="21">
        <f t="shared" si="11"/>
        <v>31.11111111111056</v>
      </c>
      <c r="U73" s="21">
        <f t="shared" si="16"/>
        <v>33.055555555554193</v>
      </c>
      <c r="V73" s="21">
        <f t="shared" si="17"/>
        <v>35</v>
      </c>
      <c r="W73" s="22">
        <f t="shared" si="18"/>
        <v>29.166666666666604</v>
      </c>
      <c r="X73" s="22">
        <f t="shared" si="19"/>
        <v>31.11111111111056</v>
      </c>
      <c r="Y73" s="22">
        <f t="shared" si="20"/>
        <v>33.055555555554193</v>
      </c>
      <c r="Z73" s="23">
        <f t="shared" si="21"/>
        <v>27.222222222223092</v>
      </c>
      <c r="AA73" s="23">
        <f t="shared" si="12"/>
        <v>29.166666666666604</v>
      </c>
      <c r="AB73" s="23">
        <f t="shared" si="12"/>
        <v>31.11111111111056</v>
      </c>
      <c r="AC73" s="24">
        <f t="shared" si="12"/>
        <v>25.277777777776929</v>
      </c>
      <c r="AD73" s="24">
        <f t="shared" si="12"/>
        <v>27.222222222223092</v>
      </c>
      <c r="AE73" s="24">
        <f t="shared" si="12"/>
        <v>29.166666666666604</v>
      </c>
      <c r="AF73" s="25">
        <f t="shared" si="12"/>
        <v>23.333333333333933</v>
      </c>
      <c r="AG73" s="25">
        <f t="shared" si="12"/>
        <v>25.277777777776929</v>
      </c>
      <c r="AH73" s="25">
        <f t="shared" si="12"/>
        <v>27.222222222223092</v>
      </c>
      <c r="AI73" s="26">
        <f t="shared" si="12"/>
        <v>21.388888888888431</v>
      </c>
      <c r="AJ73" s="26">
        <f t="shared" si="12"/>
        <v>23.333333333333933</v>
      </c>
      <c r="AK73" s="26">
        <f t="shared" si="12"/>
        <v>25.277777777776929</v>
      </c>
    </row>
    <row r="74" spans="4:37" ht="20.100000000000001" customHeight="1">
      <c r="D74" s="27">
        <f t="shared" si="14"/>
        <v>0.19722222222222202</v>
      </c>
      <c r="E74" s="16">
        <f t="shared" si="11"/>
        <v>52.461111111112317</v>
      </c>
      <c r="F74" s="16">
        <f t="shared" si="11"/>
        <v>54.433333333331603</v>
      </c>
      <c r="G74" s="16">
        <f t="shared" si="11"/>
        <v>56.40555555555467</v>
      </c>
      <c r="H74" s="17">
        <f t="shared" si="11"/>
        <v>48.516666666665735</v>
      </c>
      <c r="I74" s="17">
        <f t="shared" si="11"/>
        <v>50.488888888889619</v>
      </c>
      <c r="J74" s="17">
        <f t="shared" si="11"/>
        <v>52.461111111112317</v>
      </c>
      <c r="K74" s="18">
        <f t="shared" si="11"/>
        <v>44.5722222222238</v>
      </c>
      <c r="L74" s="18">
        <f t="shared" si="11"/>
        <v>46.544444444443108</v>
      </c>
      <c r="M74" s="18">
        <f t="shared" si="11"/>
        <v>48.516666666665735</v>
      </c>
      <c r="N74" s="19">
        <f t="shared" si="11"/>
        <v>35.5</v>
      </c>
      <c r="O74" s="19">
        <f t="shared" si="11"/>
        <v>37.472222222223685</v>
      </c>
      <c r="P74" s="19">
        <f t="shared" si="11"/>
        <v>39.444444444445821</v>
      </c>
      <c r="Q74" s="20">
        <f t="shared" si="11"/>
        <v>33.527777777776414</v>
      </c>
      <c r="R74" s="20">
        <f t="shared" si="11"/>
        <v>35.5</v>
      </c>
      <c r="S74" s="20">
        <f t="shared" si="11"/>
        <v>37.472222222223685</v>
      </c>
      <c r="T74" s="21">
        <f t="shared" si="11"/>
        <v>31.555555555555003</v>
      </c>
      <c r="U74" s="21">
        <f t="shared" si="16"/>
        <v>33.527777777776414</v>
      </c>
      <c r="V74" s="21">
        <f t="shared" si="17"/>
        <v>35.5</v>
      </c>
      <c r="W74" s="22">
        <f t="shared" si="18"/>
        <v>29.583333333333272</v>
      </c>
      <c r="X74" s="22">
        <f t="shared" si="19"/>
        <v>31.555555555555003</v>
      </c>
      <c r="Y74" s="22">
        <f t="shared" si="20"/>
        <v>33.527777777776414</v>
      </c>
      <c r="Z74" s="23">
        <f t="shared" si="21"/>
        <v>27.611111111111981</v>
      </c>
      <c r="AA74" s="23">
        <f t="shared" si="12"/>
        <v>29.583333333333272</v>
      </c>
      <c r="AB74" s="23">
        <f t="shared" si="12"/>
        <v>31.555555555555003</v>
      </c>
      <c r="AC74" s="24">
        <f t="shared" si="12"/>
        <v>25.63888888888804</v>
      </c>
      <c r="AD74" s="24">
        <f t="shared" si="12"/>
        <v>27.611111111111981</v>
      </c>
      <c r="AE74" s="24">
        <f t="shared" si="12"/>
        <v>29.583333333333272</v>
      </c>
      <c r="AF74" s="25">
        <f t="shared" si="12"/>
        <v>23.666666666667265</v>
      </c>
      <c r="AG74" s="25">
        <f t="shared" si="12"/>
        <v>25.63888888888804</v>
      </c>
      <c r="AH74" s="25">
        <f t="shared" si="12"/>
        <v>27.611111111111981</v>
      </c>
      <c r="AI74" s="26">
        <f t="shared" si="12"/>
        <v>21.694444444443988</v>
      </c>
      <c r="AJ74" s="26">
        <f t="shared" si="12"/>
        <v>23.666666666667265</v>
      </c>
      <c r="AK74" s="26">
        <f t="shared" si="12"/>
        <v>25.63888888888804</v>
      </c>
    </row>
    <row r="75" spans="4:37" ht="20.100000000000001" customHeight="1">
      <c r="D75" s="27">
        <f t="shared" si="14"/>
        <v>0.19999999999999979</v>
      </c>
      <c r="E75" s="16">
        <f t="shared" si="11"/>
        <v>53.200000000001204</v>
      </c>
      <c r="F75" s="16">
        <f t="shared" si="11"/>
        <v>55.199999999998269</v>
      </c>
      <c r="G75" s="16">
        <f t="shared" si="11"/>
        <v>57.199999999999115</v>
      </c>
      <c r="H75" s="17">
        <f t="shared" si="11"/>
        <v>49.199999999999065</v>
      </c>
      <c r="I75" s="17">
        <f t="shared" si="11"/>
        <v>51.200000000000728</v>
      </c>
      <c r="J75" s="17">
        <f t="shared" si="11"/>
        <v>53.200000000001204</v>
      </c>
      <c r="K75" s="18">
        <f t="shared" si="11"/>
        <v>45.20000000000158</v>
      </c>
      <c r="L75" s="18">
        <f t="shared" si="11"/>
        <v>47.199999999998667</v>
      </c>
      <c r="M75" s="18">
        <f t="shared" si="11"/>
        <v>49.199999999999065</v>
      </c>
      <c r="N75" s="19">
        <f t="shared" si="11"/>
        <v>36</v>
      </c>
      <c r="O75" s="19">
        <f t="shared" si="11"/>
        <v>38.000000000001464</v>
      </c>
      <c r="P75" s="19">
        <f t="shared" si="11"/>
        <v>40.000000000001378</v>
      </c>
      <c r="Q75" s="20">
        <f t="shared" si="11"/>
        <v>33.999999999998636</v>
      </c>
      <c r="R75" s="20">
        <f t="shared" si="11"/>
        <v>36</v>
      </c>
      <c r="S75" s="20">
        <f t="shared" si="11"/>
        <v>38.000000000001464</v>
      </c>
      <c r="T75" s="21">
        <f t="shared" si="11"/>
        <v>31.999999999999446</v>
      </c>
      <c r="U75" s="21">
        <f t="shared" si="16"/>
        <v>33.999999999998636</v>
      </c>
      <c r="V75" s="21">
        <f t="shared" si="17"/>
        <v>36</v>
      </c>
      <c r="W75" s="22">
        <f t="shared" si="18"/>
        <v>29.99999999999994</v>
      </c>
      <c r="X75" s="22">
        <f t="shared" si="19"/>
        <v>31.999999999999446</v>
      </c>
      <c r="Y75" s="22">
        <f t="shared" si="20"/>
        <v>33.999999999998636</v>
      </c>
      <c r="Z75" s="23">
        <f t="shared" si="21"/>
        <v>28.00000000000087</v>
      </c>
      <c r="AA75" s="23">
        <f t="shared" si="12"/>
        <v>29.99999999999994</v>
      </c>
      <c r="AB75" s="23">
        <f t="shared" si="12"/>
        <v>31.999999999999446</v>
      </c>
      <c r="AC75" s="24">
        <f t="shared" si="12"/>
        <v>25.999999999999151</v>
      </c>
      <c r="AD75" s="24">
        <f t="shared" si="12"/>
        <v>28.00000000000087</v>
      </c>
      <c r="AE75" s="24">
        <f t="shared" si="12"/>
        <v>29.99999999999994</v>
      </c>
      <c r="AF75" s="25">
        <f t="shared" si="12"/>
        <v>24.000000000000597</v>
      </c>
      <c r="AG75" s="25">
        <f t="shared" si="12"/>
        <v>25.999999999999151</v>
      </c>
      <c r="AH75" s="25">
        <f t="shared" si="12"/>
        <v>28.00000000000087</v>
      </c>
      <c r="AI75" s="26">
        <f t="shared" si="12"/>
        <v>21.999999999999545</v>
      </c>
      <c r="AJ75" s="26">
        <f t="shared" si="12"/>
        <v>24.000000000000597</v>
      </c>
      <c r="AK75" s="26">
        <f t="shared" si="12"/>
        <v>25.999999999999151</v>
      </c>
    </row>
    <row r="76" spans="4:37" ht="20.100000000000001" customHeight="1">
      <c r="D76" s="27">
        <f t="shared" si="14"/>
        <v>0.20277777777777756</v>
      </c>
      <c r="E76" s="16">
        <f t="shared" si="11"/>
        <v>53.938888888890091</v>
      </c>
      <c r="F76" s="16">
        <f t="shared" si="11"/>
        <v>55.966666666664935</v>
      </c>
      <c r="G76" s="16">
        <f t="shared" si="11"/>
        <v>57.994444444443559</v>
      </c>
      <c r="H76" s="17">
        <f t="shared" si="11"/>
        <v>49.883333333332395</v>
      </c>
      <c r="I76" s="17">
        <f t="shared" si="11"/>
        <v>51.911111111111836</v>
      </c>
      <c r="J76" s="17">
        <f t="shared" si="11"/>
        <v>53.938888888890091</v>
      </c>
      <c r="K76" s="18">
        <f t="shared" si="11"/>
        <v>45.82777777777936</v>
      </c>
      <c r="L76" s="18">
        <f t="shared" si="11"/>
        <v>47.855555555554226</v>
      </c>
      <c r="M76" s="18">
        <f t="shared" si="11"/>
        <v>49.883333333332395</v>
      </c>
      <c r="N76" s="19">
        <f t="shared" si="11"/>
        <v>36.5</v>
      </c>
      <c r="O76" s="19">
        <f t="shared" si="11"/>
        <v>38.527777777779242</v>
      </c>
      <c r="P76" s="19">
        <f t="shared" si="11"/>
        <v>40.555555555556936</v>
      </c>
      <c r="Q76" s="20">
        <f t="shared" si="11"/>
        <v>34.472222222220857</v>
      </c>
      <c r="R76" s="20">
        <f t="shared" si="11"/>
        <v>36.5</v>
      </c>
      <c r="S76" s="20">
        <f t="shared" si="11"/>
        <v>38.527777777779242</v>
      </c>
      <c r="T76" s="21">
        <f t="shared" si="11"/>
        <v>32.444444444443889</v>
      </c>
      <c r="U76" s="21">
        <f t="shared" si="16"/>
        <v>34.472222222220857</v>
      </c>
      <c r="V76" s="21">
        <f t="shared" si="17"/>
        <v>36.5</v>
      </c>
      <c r="W76" s="22">
        <f t="shared" si="18"/>
        <v>30.416666666666607</v>
      </c>
      <c r="X76" s="22">
        <f t="shared" si="19"/>
        <v>32.444444444443889</v>
      </c>
      <c r="Y76" s="22">
        <f t="shared" si="20"/>
        <v>34.472222222220857</v>
      </c>
      <c r="Z76" s="23">
        <f t="shared" si="21"/>
        <v>28.38888888888976</v>
      </c>
      <c r="AA76" s="23">
        <f t="shared" si="12"/>
        <v>30.416666666666607</v>
      </c>
      <c r="AB76" s="23">
        <f t="shared" si="12"/>
        <v>32.444444444443889</v>
      </c>
      <c r="AC76" s="24">
        <f t="shared" si="12"/>
        <v>26.361111111110262</v>
      </c>
      <c r="AD76" s="24">
        <f t="shared" si="12"/>
        <v>28.38888888888976</v>
      </c>
      <c r="AE76" s="24">
        <f t="shared" si="12"/>
        <v>30.416666666666607</v>
      </c>
      <c r="AF76" s="25">
        <f t="shared" si="12"/>
        <v>24.333333333333929</v>
      </c>
      <c r="AG76" s="25">
        <f t="shared" si="12"/>
        <v>26.361111111110262</v>
      </c>
      <c r="AH76" s="25">
        <f t="shared" si="12"/>
        <v>28.38888888888976</v>
      </c>
      <c r="AI76" s="26">
        <f t="shared" si="12"/>
        <v>22.305555555555102</v>
      </c>
      <c r="AJ76" s="26">
        <f t="shared" si="12"/>
        <v>24.333333333333929</v>
      </c>
      <c r="AK76" s="26">
        <f t="shared" si="12"/>
        <v>26.361111111110262</v>
      </c>
    </row>
    <row r="77" spans="4:37" ht="20.100000000000001" customHeight="1">
      <c r="D77" s="27">
        <f t="shared" si="14"/>
        <v>0.20555555555555532</v>
      </c>
      <c r="E77" s="16">
        <f t="shared" si="11"/>
        <v>54.677777777778978</v>
      </c>
      <c r="F77" s="16">
        <f t="shared" si="11"/>
        <v>56.733333333331601</v>
      </c>
      <c r="G77" s="16">
        <f t="shared" si="11"/>
        <v>58.788888888888003</v>
      </c>
      <c r="H77" s="17">
        <f t="shared" si="11"/>
        <v>50.566666666665725</v>
      </c>
      <c r="I77" s="17">
        <f t="shared" si="11"/>
        <v>52.622222222222945</v>
      </c>
      <c r="J77" s="17">
        <f t="shared" si="11"/>
        <v>54.677777777778978</v>
      </c>
      <c r="K77" s="18">
        <f t="shared" si="11"/>
        <v>46.45555555555714</v>
      </c>
      <c r="L77" s="18">
        <f t="shared" si="11"/>
        <v>48.511111111109784</v>
      </c>
      <c r="M77" s="18">
        <f t="shared" si="11"/>
        <v>50.566666666665725</v>
      </c>
      <c r="N77" s="19">
        <f t="shared" si="11"/>
        <v>37</v>
      </c>
      <c r="O77" s="19">
        <f t="shared" si="11"/>
        <v>39.055555555557021</v>
      </c>
      <c r="P77" s="19">
        <f t="shared" si="11"/>
        <v>41.111111111112493</v>
      </c>
      <c r="Q77" s="20">
        <f t="shared" si="11"/>
        <v>34.944444444443079</v>
      </c>
      <c r="R77" s="20">
        <f t="shared" si="11"/>
        <v>37</v>
      </c>
      <c r="S77" s="20">
        <f t="shared" si="11"/>
        <v>39.055555555557021</v>
      </c>
      <c r="T77" s="21">
        <f t="shared" si="11"/>
        <v>32.888888888888332</v>
      </c>
      <c r="U77" s="21">
        <f t="shared" si="16"/>
        <v>34.944444444443079</v>
      </c>
      <c r="V77" s="21">
        <f t="shared" si="17"/>
        <v>37</v>
      </c>
      <c r="W77" s="22">
        <f t="shared" si="18"/>
        <v>30.833333333333275</v>
      </c>
      <c r="X77" s="22">
        <f t="shared" si="19"/>
        <v>32.888888888888332</v>
      </c>
      <c r="Y77" s="22">
        <f t="shared" si="20"/>
        <v>34.944444444443079</v>
      </c>
      <c r="Z77" s="23">
        <f t="shared" si="21"/>
        <v>28.777777777778649</v>
      </c>
      <c r="AA77" s="23">
        <f t="shared" si="12"/>
        <v>30.833333333333275</v>
      </c>
      <c r="AB77" s="23">
        <f t="shared" si="12"/>
        <v>32.888888888888332</v>
      </c>
      <c r="AC77" s="24">
        <f t="shared" si="12"/>
        <v>26.722222222221372</v>
      </c>
      <c r="AD77" s="24">
        <f t="shared" si="12"/>
        <v>28.777777777778649</v>
      </c>
      <c r="AE77" s="24">
        <f t="shared" si="12"/>
        <v>30.833333333333275</v>
      </c>
      <c r="AF77" s="25">
        <f t="shared" si="12"/>
        <v>24.666666666667261</v>
      </c>
      <c r="AG77" s="25">
        <f t="shared" si="12"/>
        <v>26.722222222221372</v>
      </c>
      <c r="AH77" s="25">
        <f t="shared" si="12"/>
        <v>28.777777777778649</v>
      </c>
      <c r="AI77" s="26">
        <f t="shared" si="12"/>
        <v>22.61111111111066</v>
      </c>
      <c r="AJ77" s="26">
        <f t="shared" si="12"/>
        <v>24.666666666667261</v>
      </c>
      <c r="AK77" s="26">
        <f t="shared" si="12"/>
        <v>26.722222222221372</v>
      </c>
    </row>
    <row r="78" spans="4:37" ht="20.100000000000001" customHeight="1">
      <c r="D78" s="27">
        <f t="shared" si="14"/>
        <v>0.20833333333333309</v>
      </c>
      <c r="E78" s="16">
        <f t="shared" si="11"/>
        <v>55.416666666667865</v>
      </c>
      <c r="F78" s="16">
        <f t="shared" si="11"/>
        <v>57.499999999998266</v>
      </c>
      <c r="G78" s="16">
        <f t="shared" si="11"/>
        <v>59.583333333332448</v>
      </c>
      <c r="H78" s="17">
        <f t="shared" si="11"/>
        <v>51.249999999999055</v>
      </c>
      <c r="I78" s="17">
        <f t="shared" si="11"/>
        <v>53.333333333334053</v>
      </c>
      <c r="J78" s="17">
        <f t="shared" si="11"/>
        <v>55.416666666667865</v>
      </c>
      <c r="K78" s="18">
        <f t="shared" si="11"/>
        <v>47.08333333333492</v>
      </c>
      <c r="L78" s="18">
        <f t="shared" si="11"/>
        <v>49.166666666665343</v>
      </c>
      <c r="M78" s="18">
        <f t="shared" si="11"/>
        <v>51.249999999999055</v>
      </c>
      <c r="N78" s="19">
        <f t="shared" si="11"/>
        <v>37.5</v>
      </c>
      <c r="O78" s="19">
        <f t="shared" si="11"/>
        <v>39.583333333334799</v>
      </c>
      <c r="P78" s="19">
        <f t="shared" si="11"/>
        <v>41.66666666666805</v>
      </c>
      <c r="Q78" s="20">
        <f t="shared" si="11"/>
        <v>35.4166666666653</v>
      </c>
      <c r="R78" s="20">
        <f t="shared" si="11"/>
        <v>37.5</v>
      </c>
      <c r="S78" s="20">
        <f t="shared" si="11"/>
        <v>39.583333333334799</v>
      </c>
      <c r="T78" s="21">
        <f t="shared" si="11"/>
        <v>33.333333333332774</v>
      </c>
      <c r="U78" s="21">
        <f t="shared" si="16"/>
        <v>35.4166666666653</v>
      </c>
      <c r="V78" s="21">
        <f t="shared" si="17"/>
        <v>37.5</v>
      </c>
      <c r="W78" s="22">
        <f t="shared" si="18"/>
        <v>31.249999999999943</v>
      </c>
      <c r="X78" s="22">
        <f t="shared" si="19"/>
        <v>33.333333333332774</v>
      </c>
      <c r="Y78" s="22">
        <f t="shared" si="20"/>
        <v>35.4166666666653</v>
      </c>
      <c r="Z78" s="23">
        <f t="shared" si="21"/>
        <v>29.166666666667538</v>
      </c>
      <c r="AA78" s="23">
        <f t="shared" ref="AA78:AA91" si="22">AA79-(AA$363/360)</f>
        <v>31.249999999999943</v>
      </c>
      <c r="AB78" s="23">
        <f t="shared" ref="AB78:AB91" si="23">AB79-(AB$363/360)</f>
        <v>33.333333333332774</v>
      </c>
      <c r="AC78" s="24">
        <f t="shared" si="12"/>
        <v>27.083333333332483</v>
      </c>
      <c r="AD78" s="24">
        <f t="shared" si="12"/>
        <v>29.166666666667538</v>
      </c>
      <c r="AE78" s="24">
        <f t="shared" si="12"/>
        <v>31.249999999999943</v>
      </c>
      <c r="AF78" s="25">
        <f t="shared" si="12"/>
        <v>25.000000000000593</v>
      </c>
      <c r="AG78" s="25">
        <f t="shared" si="12"/>
        <v>27.083333333332483</v>
      </c>
      <c r="AH78" s="25">
        <f t="shared" si="12"/>
        <v>29.166666666667538</v>
      </c>
      <c r="AI78" s="26">
        <f t="shared" si="12"/>
        <v>22.916666666666217</v>
      </c>
      <c r="AJ78" s="26">
        <f t="shared" si="12"/>
        <v>25.000000000000593</v>
      </c>
      <c r="AK78" s="26">
        <f t="shared" si="12"/>
        <v>27.083333333332483</v>
      </c>
    </row>
    <row r="79" spans="4:37" ht="20.100000000000001" customHeight="1">
      <c r="D79" s="27">
        <f t="shared" si="14"/>
        <v>0.21111111111111086</v>
      </c>
      <c r="E79" s="16">
        <f t="shared" si="11"/>
        <v>56.155555555556752</v>
      </c>
      <c r="F79" s="16">
        <f t="shared" si="11"/>
        <v>58.266666666664932</v>
      </c>
      <c r="G79" s="16">
        <f t="shared" si="11"/>
        <v>60.377777777776892</v>
      </c>
      <c r="H79" s="17">
        <f t="shared" si="11"/>
        <v>51.933333333332385</v>
      </c>
      <c r="I79" s="17">
        <f t="shared" si="11"/>
        <v>54.044444444445162</v>
      </c>
      <c r="J79" s="17">
        <f t="shared" si="11"/>
        <v>56.155555555556752</v>
      </c>
      <c r="K79" s="18">
        <f t="shared" si="11"/>
        <v>47.7111111111127</v>
      </c>
      <c r="L79" s="18">
        <f t="shared" si="11"/>
        <v>49.822222222220901</v>
      </c>
      <c r="M79" s="18">
        <f t="shared" si="11"/>
        <v>51.933333333332385</v>
      </c>
      <c r="N79" s="19">
        <f t="shared" si="11"/>
        <v>38</v>
      </c>
      <c r="O79" s="19">
        <f t="shared" si="11"/>
        <v>40.111111111112578</v>
      </c>
      <c r="P79" s="19">
        <f t="shared" si="11"/>
        <v>42.222222222223607</v>
      </c>
      <c r="Q79" s="20">
        <f t="shared" si="11"/>
        <v>35.888888888887521</v>
      </c>
      <c r="R79" s="20">
        <f t="shared" si="11"/>
        <v>38</v>
      </c>
      <c r="S79" s="20">
        <f t="shared" si="11"/>
        <v>40.111111111112578</v>
      </c>
      <c r="T79" s="21">
        <f t="shared" si="11"/>
        <v>33.777777777777217</v>
      </c>
      <c r="U79" s="21">
        <f t="shared" si="16"/>
        <v>35.888888888887521</v>
      </c>
      <c r="V79" s="21">
        <f t="shared" si="17"/>
        <v>38</v>
      </c>
      <c r="W79" s="22">
        <f t="shared" si="18"/>
        <v>31.666666666666611</v>
      </c>
      <c r="X79" s="22">
        <f t="shared" si="19"/>
        <v>33.777777777777217</v>
      </c>
      <c r="Y79" s="22">
        <f t="shared" si="20"/>
        <v>35.888888888887521</v>
      </c>
      <c r="Z79" s="23">
        <f t="shared" si="21"/>
        <v>29.555555555556428</v>
      </c>
      <c r="AA79" s="23">
        <f t="shared" si="22"/>
        <v>31.666666666666611</v>
      </c>
      <c r="AB79" s="23">
        <f t="shared" si="23"/>
        <v>33.777777777777217</v>
      </c>
      <c r="AC79" s="24">
        <f t="shared" si="12"/>
        <v>27.444444444443594</v>
      </c>
      <c r="AD79" s="24">
        <f t="shared" si="12"/>
        <v>29.555555555556428</v>
      </c>
      <c r="AE79" s="24">
        <f t="shared" si="12"/>
        <v>31.666666666666611</v>
      </c>
      <c r="AF79" s="25">
        <f t="shared" si="12"/>
        <v>25.333333333333925</v>
      </c>
      <c r="AG79" s="25">
        <f t="shared" si="12"/>
        <v>27.444444444443594</v>
      </c>
      <c r="AH79" s="25">
        <f t="shared" si="12"/>
        <v>29.555555555556428</v>
      </c>
      <c r="AI79" s="26">
        <f t="shared" si="12"/>
        <v>23.222222222221774</v>
      </c>
      <c r="AJ79" s="26">
        <f t="shared" si="12"/>
        <v>25.333333333333925</v>
      </c>
      <c r="AK79" s="26">
        <f t="shared" si="12"/>
        <v>27.444444444443594</v>
      </c>
    </row>
    <row r="80" spans="4:37" ht="20.100000000000001" customHeight="1">
      <c r="D80" s="27">
        <f t="shared" si="14"/>
        <v>0.21388888888888863</v>
      </c>
      <c r="E80" s="16">
        <f t="shared" si="11"/>
        <v>56.894444444445639</v>
      </c>
      <c r="F80" s="16">
        <f t="shared" si="11"/>
        <v>59.033333333331598</v>
      </c>
      <c r="G80" s="16">
        <f t="shared" si="11"/>
        <v>61.172222222221336</v>
      </c>
      <c r="H80" s="17">
        <f t="shared" si="11"/>
        <v>52.616666666665715</v>
      </c>
      <c r="I80" s="17">
        <f t="shared" si="11"/>
        <v>54.755555555556271</v>
      </c>
      <c r="J80" s="17">
        <f t="shared" si="11"/>
        <v>56.894444444445639</v>
      </c>
      <c r="K80" s="18">
        <f t="shared" si="11"/>
        <v>48.33888888889048</v>
      </c>
      <c r="L80" s="18">
        <f t="shared" si="11"/>
        <v>50.47777777777646</v>
      </c>
      <c r="M80" s="18">
        <f t="shared" si="11"/>
        <v>52.616666666665715</v>
      </c>
      <c r="N80" s="19">
        <f t="shared" si="11"/>
        <v>38.5</v>
      </c>
      <c r="O80" s="19">
        <f t="shared" ref="O80:T80" si="24">O81-(O$363/360)</f>
        <v>40.638888888890357</v>
      </c>
      <c r="P80" s="19">
        <f t="shared" si="24"/>
        <v>42.777777777779164</v>
      </c>
      <c r="Q80" s="20">
        <f t="shared" si="24"/>
        <v>36.361111111109743</v>
      </c>
      <c r="R80" s="20">
        <f t="shared" si="24"/>
        <v>38.5</v>
      </c>
      <c r="S80" s="20">
        <f t="shared" si="24"/>
        <v>40.638888888890357</v>
      </c>
      <c r="T80" s="21">
        <f t="shared" si="24"/>
        <v>34.22222222222166</v>
      </c>
      <c r="U80" s="21">
        <f t="shared" si="16"/>
        <v>36.361111111109743</v>
      </c>
      <c r="V80" s="21">
        <f t="shared" si="17"/>
        <v>38.5</v>
      </c>
      <c r="W80" s="22">
        <f t="shared" si="18"/>
        <v>32.083333333333279</v>
      </c>
      <c r="X80" s="22">
        <f t="shared" si="19"/>
        <v>34.22222222222166</v>
      </c>
      <c r="Y80" s="22">
        <f t="shared" si="20"/>
        <v>36.361111111109743</v>
      </c>
      <c r="Z80" s="23">
        <f t="shared" si="21"/>
        <v>29.944444444445317</v>
      </c>
      <c r="AA80" s="23">
        <f t="shared" si="22"/>
        <v>32.083333333333279</v>
      </c>
      <c r="AB80" s="23">
        <f t="shared" si="23"/>
        <v>34.22222222222166</v>
      </c>
      <c r="AC80" s="24">
        <f t="shared" si="12"/>
        <v>27.805555555554704</v>
      </c>
      <c r="AD80" s="24">
        <f t="shared" si="12"/>
        <v>29.944444444445317</v>
      </c>
      <c r="AE80" s="24">
        <f t="shared" si="12"/>
        <v>32.083333333333279</v>
      </c>
      <c r="AF80" s="25">
        <f t="shared" si="12"/>
        <v>25.666666666667258</v>
      </c>
      <c r="AG80" s="25">
        <f t="shared" si="12"/>
        <v>27.805555555554704</v>
      </c>
      <c r="AH80" s="25">
        <f t="shared" si="12"/>
        <v>29.944444444445317</v>
      </c>
      <c r="AI80" s="26">
        <f t="shared" si="12"/>
        <v>23.527777777777331</v>
      </c>
      <c r="AJ80" s="26">
        <f t="shared" si="12"/>
        <v>25.666666666667258</v>
      </c>
      <c r="AK80" s="26">
        <f t="shared" si="12"/>
        <v>27.805555555554704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57.633333333334527</v>
      </c>
      <c r="F81" s="16">
        <f t="shared" si="25"/>
        <v>59.799999999998263</v>
      </c>
      <c r="G81" s="16">
        <f t="shared" si="25"/>
        <v>61.96666666666578</v>
      </c>
      <c r="H81" s="17">
        <f t="shared" si="25"/>
        <v>53.299999999999045</v>
      </c>
      <c r="I81" s="17">
        <f t="shared" si="25"/>
        <v>55.466666666667379</v>
      </c>
      <c r="J81" s="17">
        <f t="shared" si="25"/>
        <v>57.633333333334527</v>
      </c>
      <c r="K81" s="18">
        <f t="shared" si="25"/>
        <v>48.96666666666826</v>
      </c>
      <c r="L81" s="18">
        <f t="shared" si="25"/>
        <v>51.133333333332018</v>
      </c>
      <c r="M81" s="18">
        <f t="shared" si="25"/>
        <v>53.299999999999045</v>
      </c>
      <c r="N81" s="19">
        <f t="shared" si="25"/>
        <v>39</v>
      </c>
      <c r="O81" s="19">
        <f t="shared" si="25"/>
        <v>41.166666666668135</v>
      </c>
      <c r="P81" s="19">
        <f t="shared" si="25"/>
        <v>43.333333333334721</v>
      </c>
      <c r="Q81" s="20">
        <f t="shared" si="25"/>
        <v>36.833333333331964</v>
      </c>
      <c r="R81" s="20">
        <f t="shared" si="25"/>
        <v>39</v>
      </c>
      <c r="S81" s="20">
        <f t="shared" si="25"/>
        <v>41.166666666668135</v>
      </c>
      <c r="T81" s="21">
        <f t="shared" si="25"/>
        <v>34.666666666666103</v>
      </c>
      <c r="U81" s="21">
        <f t="shared" si="16"/>
        <v>36.833333333331964</v>
      </c>
      <c r="V81" s="21">
        <f t="shared" si="17"/>
        <v>39</v>
      </c>
      <c r="W81" s="22">
        <f t="shared" si="18"/>
        <v>32.499999999999943</v>
      </c>
      <c r="X81" s="22">
        <f t="shared" si="19"/>
        <v>34.666666666666103</v>
      </c>
      <c r="Y81" s="22">
        <f t="shared" si="20"/>
        <v>36.833333333331964</v>
      </c>
      <c r="Z81" s="23">
        <f t="shared" si="21"/>
        <v>30.333333333334206</v>
      </c>
      <c r="AA81" s="23">
        <f t="shared" si="22"/>
        <v>32.499999999999943</v>
      </c>
      <c r="AB81" s="23">
        <f t="shared" si="23"/>
        <v>34.666666666666103</v>
      </c>
      <c r="AC81" s="24">
        <f t="shared" si="12"/>
        <v>28.166666666665815</v>
      </c>
      <c r="AD81" s="24">
        <f t="shared" si="12"/>
        <v>30.333333333334206</v>
      </c>
      <c r="AE81" s="24">
        <f t="shared" si="12"/>
        <v>32.499999999999943</v>
      </c>
      <c r="AF81" s="25">
        <f t="shared" si="12"/>
        <v>26.00000000000059</v>
      </c>
      <c r="AG81" s="25">
        <f t="shared" si="12"/>
        <v>28.166666666665815</v>
      </c>
      <c r="AH81" s="25">
        <f t="shared" si="12"/>
        <v>30.333333333334206</v>
      </c>
      <c r="AI81" s="26">
        <f t="shared" si="12"/>
        <v>23.833333333332888</v>
      </c>
      <c r="AJ81" s="26">
        <f t="shared" si="12"/>
        <v>26.00000000000059</v>
      </c>
      <c r="AK81" s="26">
        <f t="shared" si="12"/>
        <v>28.166666666665815</v>
      </c>
    </row>
    <row r="82" spans="4:37" ht="20.100000000000001" customHeight="1">
      <c r="D82" s="27">
        <f t="shared" si="14"/>
        <v>0.21944444444444416</v>
      </c>
      <c r="E82" s="16">
        <f t="shared" si="25"/>
        <v>58.372222222223414</v>
      </c>
      <c r="F82" s="16">
        <f t="shared" si="25"/>
        <v>60.566666666664929</v>
      </c>
      <c r="G82" s="16">
        <f t="shared" si="25"/>
        <v>62.761111111110225</v>
      </c>
      <c r="H82" s="17">
        <f t="shared" si="25"/>
        <v>53.983333333332375</v>
      </c>
      <c r="I82" s="17">
        <f t="shared" si="25"/>
        <v>56.177777777778488</v>
      </c>
      <c r="J82" s="17">
        <f t="shared" si="25"/>
        <v>58.372222222223414</v>
      </c>
      <c r="K82" s="18">
        <f t="shared" si="25"/>
        <v>49.59444444444604</v>
      </c>
      <c r="L82" s="18">
        <f t="shared" si="25"/>
        <v>51.788888888887577</v>
      </c>
      <c r="M82" s="18">
        <f t="shared" si="25"/>
        <v>53.983333333332375</v>
      </c>
      <c r="N82" s="19">
        <f t="shared" si="25"/>
        <v>39.5</v>
      </c>
      <c r="O82" s="19">
        <f t="shared" si="25"/>
        <v>41.694444444445914</v>
      </c>
      <c r="P82" s="19">
        <f t="shared" si="25"/>
        <v>43.888888888890278</v>
      </c>
      <c r="Q82" s="20">
        <f t="shared" si="25"/>
        <v>37.305555555554186</v>
      </c>
      <c r="R82" s="20">
        <f t="shared" si="25"/>
        <v>39.5</v>
      </c>
      <c r="S82" s="20">
        <f t="shared" si="25"/>
        <v>41.694444444445914</v>
      </c>
      <c r="T82" s="21">
        <f t="shared" si="25"/>
        <v>35.111111111110546</v>
      </c>
      <c r="U82" s="21">
        <f t="shared" si="16"/>
        <v>37.305555555554186</v>
      </c>
      <c r="V82" s="21">
        <f t="shared" si="17"/>
        <v>39.5</v>
      </c>
      <c r="W82" s="22">
        <f t="shared" si="18"/>
        <v>32.916666666666607</v>
      </c>
      <c r="X82" s="22">
        <f t="shared" si="19"/>
        <v>35.111111111110546</v>
      </c>
      <c r="Y82" s="22">
        <f t="shared" si="20"/>
        <v>37.305555555554186</v>
      </c>
      <c r="Z82" s="23">
        <f t="shared" si="21"/>
        <v>30.722222222223095</v>
      </c>
      <c r="AA82" s="23">
        <f t="shared" si="22"/>
        <v>32.916666666666607</v>
      </c>
      <c r="AB82" s="23">
        <f t="shared" si="23"/>
        <v>35.111111111110546</v>
      </c>
      <c r="AC82" s="24">
        <f t="shared" si="12"/>
        <v>28.527777777776926</v>
      </c>
      <c r="AD82" s="24">
        <f t="shared" si="12"/>
        <v>30.722222222223095</v>
      </c>
      <c r="AE82" s="24">
        <f t="shared" si="12"/>
        <v>32.916666666666607</v>
      </c>
      <c r="AF82" s="25">
        <f t="shared" si="12"/>
        <v>26.333333333333922</v>
      </c>
      <c r="AG82" s="25">
        <f t="shared" si="12"/>
        <v>28.527777777776926</v>
      </c>
      <c r="AH82" s="25">
        <f t="shared" si="12"/>
        <v>30.722222222223095</v>
      </c>
      <c r="AI82" s="26">
        <f t="shared" si="12"/>
        <v>24.138888888888445</v>
      </c>
      <c r="AJ82" s="26">
        <f t="shared" si="12"/>
        <v>26.333333333333922</v>
      </c>
      <c r="AK82" s="26">
        <f t="shared" si="12"/>
        <v>28.527777777776926</v>
      </c>
    </row>
    <row r="83" spans="4:37" ht="20.100000000000001" customHeight="1">
      <c r="D83" s="27">
        <f t="shared" si="14"/>
        <v>0.22222222222222193</v>
      </c>
      <c r="E83" s="16">
        <f t="shared" si="25"/>
        <v>59.111111111112301</v>
      </c>
      <c r="F83" s="16">
        <f t="shared" si="25"/>
        <v>61.333333333331595</v>
      </c>
      <c r="G83" s="16">
        <f t="shared" si="25"/>
        <v>63.555555555554669</v>
      </c>
      <c r="H83" s="17">
        <f t="shared" si="25"/>
        <v>54.666666666665705</v>
      </c>
      <c r="I83" s="17">
        <f t="shared" si="25"/>
        <v>56.888888888889596</v>
      </c>
      <c r="J83" s="17">
        <f t="shared" si="25"/>
        <v>59.111111111112301</v>
      </c>
      <c r="K83" s="18">
        <f t="shared" si="25"/>
        <v>50.22222222222382</v>
      </c>
      <c r="L83" s="18">
        <f t="shared" si="25"/>
        <v>52.444444444443135</v>
      </c>
      <c r="M83" s="18">
        <f t="shared" si="25"/>
        <v>54.666666666665705</v>
      </c>
      <c r="N83" s="19">
        <f t="shared" si="25"/>
        <v>40</v>
      </c>
      <c r="O83" s="19">
        <f t="shared" si="25"/>
        <v>42.222222222223692</v>
      </c>
      <c r="P83" s="19">
        <f t="shared" si="25"/>
        <v>44.444444444445836</v>
      </c>
      <c r="Q83" s="20">
        <f t="shared" si="25"/>
        <v>37.777777777776407</v>
      </c>
      <c r="R83" s="20">
        <f t="shared" si="25"/>
        <v>40</v>
      </c>
      <c r="S83" s="20">
        <f t="shared" si="25"/>
        <v>42.222222222223692</v>
      </c>
      <c r="T83" s="21">
        <f t="shared" si="25"/>
        <v>35.555555555554989</v>
      </c>
      <c r="U83" s="21">
        <f t="shared" si="16"/>
        <v>37.777777777776407</v>
      </c>
      <c r="V83" s="21">
        <f t="shared" si="17"/>
        <v>40</v>
      </c>
      <c r="W83" s="22">
        <f t="shared" si="18"/>
        <v>33.333333333333272</v>
      </c>
      <c r="X83" s="22">
        <f t="shared" si="19"/>
        <v>35.555555555554989</v>
      </c>
      <c r="Y83" s="22">
        <f t="shared" si="20"/>
        <v>37.777777777776407</v>
      </c>
      <c r="Z83" s="23">
        <f t="shared" si="21"/>
        <v>31.111111111111985</v>
      </c>
      <c r="AA83" s="23">
        <f t="shared" si="22"/>
        <v>33.333333333333272</v>
      </c>
      <c r="AB83" s="23">
        <f t="shared" si="23"/>
        <v>35.555555555554989</v>
      </c>
      <c r="AC83" s="24">
        <f t="shared" si="12"/>
        <v>28.888888888888037</v>
      </c>
      <c r="AD83" s="24">
        <f t="shared" si="12"/>
        <v>31.111111111111985</v>
      </c>
      <c r="AE83" s="24">
        <f t="shared" si="12"/>
        <v>33.333333333333272</v>
      </c>
      <c r="AF83" s="25">
        <f t="shared" si="12"/>
        <v>26.666666666667254</v>
      </c>
      <c r="AG83" s="25">
        <f t="shared" si="12"/>
        <v>28.888888888888037</v>
      </c>
      <c r="AH83" s="25">
        <f t="shared" si="12"/>
        <v>31.111111111111985</v>
      </c>
      <c r="AI83" s="26">
        <f t="shared" si="12"/>
        <v>24.444444444444002</v>
      </c>
      <c r="AJ83" s="26">
        <f t="shared" si="12"/>
        <v>26.666666666667254</v>
      </c>
      <c r="AK83" s="26">
        <f t="shared" si="12"/>
        <v>28.888888888888037</v>
      </c>
    </row>
    <row r="84" spans="4:37" ht="20.100000000000001" customHeight="1">
      <c r="D84" s="27">
        <f t="shared" si="14"/>
        <v>0.2249999999999997</v>
      </c>
      <c r="E84" s="16">
        <f t="shared" si="25"/>
        <v>59.850000000001188</v>
      </c>
      <c r="F84" s="16">
        <f t="shared" si="25"/>
        <v>62.099999999998261</v>
      </c>
      <c r="G84" s="16">
        <f t="shared" si="25"/>
        <v>64.349999999999113</v>
      </c>
      <c r="H84" s="17">
        <f t="shared" si="25"/>
        <v>55.349999999999035</v>
      </c>
      <c r="I84" s="17">
        <f t="shared" si="25"/>
        <v>57.600000000000705</v>
      </c>
      <c r="J84" s="17">
        <f t="shared" si="25"/>
        <v>59.850000000001188</v>
      </c>
      <c r="K84" s="18">
        <f t="shared" si="25"/>
        <v>50.8500000000016</v>
      </c>
      <c r="L84" s="18">
        <f t="shared" si="25"/>
        <v>53.099999999998694</v>
      </c>
      <c r="M84" s="18">
        <f t="shared" si="25"/>
        <v>55.349999999999035</v>
      </c>
      <c r="N84" s="19">
        <f t="shared" si="25"/>
        <v>40.5</v>
      </c>
      <c r="O84" s="19">
        <f t="shared" si="25"/>
        <v>42.750000000001471</v>
      </c>
      <c r="P84" s="19">
        <f t="shared" si="25"/>
        <v>45.000000000001393</v>
      </c>
      <c r="Q84" s="20">
        <f t="shared" si="25"/>
        <v>38.249999999998629</v>
      </c>
      <c r="R84" s="20">
        <f t="shared" si="25"/>
        <v>40.5</v>
      </c>
      <c r="S84" s="20">
        <f t="shared" si="25"/>
        <v>42.750000000001471</v>
      </c>
      <c r="T84" s="21">
        <f t="shared" si="25"/>
        <v>35.999999999999432</v>
      </c>
      <c r="U84" s="21">
        <f t="shared" si="16"/>
        <v>38.249999999998629</v>
      </c>
      <c r="V84" s="21">
        <f t="shared" si="17"/>
        <v>40.5</v>
      </c>
      <c r="W84" s="22">
        <f t="shared" si="18"/>
        <v>33.749999999999936</v>
      </c>
      <c r="X84" s="22">
        <f t="shared" si="19"/>
        <v>35.999999999999432</v>
      </c>
      <c r="Y84" s="22">
        <f t="shared" si="20"/>
        <v>38.249999999998629</v>
      </c>
      <c r="Z84" s="23">
        <f t="shared" si="21"/>
        <v>31.500000000000874</v>
      </c>
      <c r="AA84" s="23">
        <f t="shared" si="22"/>
        <v>33.749999999999936</v>
      </c>
      <c r="AB84" s="23">
        <f t="shared" si="23"/>
        <v>35.999999999999432</v>
      </c>
      <c r="AC84" s="24">
        <f t="shared" si="12"/>
        <v>29.249999999999147</v>
      </c>
      <c r="AD84" s="24">
        <f t="shared" si="12"/>
        <v>31.500000000000874</v>
      </c>
      <c r="AE84" s="24">
        <f t="shared" si="12"/>
        <v>33.749999999999936</v>
      </c>
      <c r="AF84" s="25">
        <f t="shared" si="12"/>
        <v>27.000000000000586</v>
      </c>
      <c r="AG84" s="25">
        <f t="shared" si="12"/>
        <v>29.249999999999147</v>
      </c>
      <c r="AH84" s="25">
        <f t="shared" si="12"/>
        <v>31.500000000000874</v>
      </c>
      <c r="AI84" s="26">
        <f t="shared" si="12"/>
        <v>24.749999999999559</v>
      </c>
      <c r="AJ84" s="26">
        <f t="shared" si="12"/>
        <v>27.000000000000586</v>
      </c>
      <c r="AK84" s="26">
        <f t="shared" si="12"/>
        <v>29.249999999999147</v>
      </c>
    </row>
    <row r="85" spans="4:37" ht="20.100000000000001" customHeight="1">
      <c r="D85" s="27">
        <f t="shared" si="14"/>
        <v>0.22777777777777747</v>
      </c>
      <c r="E85" s="16">
        <f t="shared" si="25"/>
        <v>60.588888888890075</v>
      </c>
      <c r="F85" s="16">
        <f t="shared" si="25"/>
        <v>62.866666666664926</v>
      </c>
      <c r="G85" s="16">
        <f t="shared" si="25"/>
        <v>65.144444444443565</v>
      </c>
      <c r="H85" s="17">
        <f t="shared" si="25"/>
        <v>56.033333333332365</v>
      </c>
      <c r="I85" s="17">
        <f t="shared" si="25"/>
        <v>58.311111111111813</v>
      </c>
      <c r="J85" s="17">
        <f t="shared" si="25"/>
        <v>60.588888888890075</v>
      </c>
      <c r="K85" s="18">
        <f t="shared" si="25"/>
        <v>51.47777777777938</v>
      </c>
      <c r="L85" s="18">
        <f t="shared" si="25"/>
        <v>53.755555555554253</v>
      </c>
      <c r="M85" s="18">
        <f t="shared" si="25"/>
        <v>56.033333333332365</v>
      </c>
      <c r="N85" s="19">
        <f t="shared" si="25"/>
        <v>41</v>
      </c>
      <c r="O85" s="19">
        <f t="shared" si="25"/>
        <v>43.277777777779249</v>
      </c>
      <c r="P85" s="19">
        <f t="shared" si="25"/>
        <v>45.55555555555695</v>
      </c>
      <c r="Q85" s="20">
        <f t="shared" si="25"/>
        <v>38.72222222222085</v>
      </c>
      <c r="R85" s="20">
        <f t="shared" si="25"/>
        <v>41</v>
      </c>
      <c r="S85" s="20">
        <f t="shared" si="25"/>
        <v>43.277777777779249</v>
      </c>
      <c r="T85" s="21">
        <f t="shared" si="25"/>
        <v>36.444444444443874</v>
      </c>
      <c r="U85" s="21">
        <f t="shared" si="16"/>
        <v>38.72222222222085</v>
      </c>
      <c r="V85" s="21">
        <f t="shared" si="17"/>
        <v>41</v>
      </c>
      <c r="W85" s="22">
        <f t="shared" si="18"/>
        <v>34.1666666666666</v>
      </c>
      <c r="X85" s="22">
        <f t="shared" si="19"/>
        <v>36.444444444443874</v>
      </c>
      <c r="Y85" s="22">
        <f t="shared" si="20"/>
        <v>38.72222222222085</v>
      </c>
      <c r="Z85" s="23">
        <f t="shared" si="21"/>
        <v>31.888888888889763</v>
      </c>
      <c r="AA85" s="23">
        <f t="shared" si="22"/>
        <v>34.1666666666666</v>
      </c>
      <c r="AB85" s="23">
        <f t="shared" si="23"/>
        <v>36.444444444443874</v>
      </c>
      <c r="AC85" s="24">
        <f t="shared" si="12"/>
        <v>29.611111111110258</v>
      </c>
      <c r="AD85" s="24">
        <f t="shared" si="12"/>
        <v>31.888888888889763</v>
      </c>
      <c r="AE85" s="24">
        <f t="shared" si="12"/>
        <v>34.1666666666666</v>
      </c>
      <c r="AF85" s="25">
        <f t="shared" ref="AF85:AK85" si="26">AF86-(AF$363/360)</f>
        <v>27.333333333333918</v>
      </c>
      <c r="AG85" s="25">
        <f t="shared" si="26"/>
        <v>29.611111111110258</v>
      </c>
      <c r="AH85" s="25">
        <f t="shared" si="26"/>
        <v>31.888888888889763</v>
      </c>
      <c r="AI85" s="26">
        <f t="shared" si="26"/>
        <v>25.055555555555117</v>
      </c>
      <c r="AJ85" s="26">
        <f t="shared" si="26"/>
        <v>27.333333333333918</v>
      </c>
      <c r="AK85" s="26">
        <f t="shared" si="26"/>
        <v>29.611111111110258</v>
      </c>
    </row>
    <row r="86" spans="4:37" ht="20.100000000000001" customHeight="1">
      <c r="D86" s="27">
        <f t="shared" si="14"/>
        <v>0.23055555555555524</v>
      </c>
      <c r="E86" s="16">
        <f t="shared" si="25"/>
        <v>61.327777777778962</v>
      </c>
      <c r="F86" s="16">
        <f t="shared" si="25"/>
        <v>63.633333333331592</v>
      </c>
      <c r="G86" s="16">
        <f t="shared" si="25"/>
        <v>65.938888888888016</v>
      </c>
      <c r="H86" s="17">
        <f t="shared" si="25"/>
        <v>56.716666666665695</v>
      </c>
      <c r="I86" s="17">
        <f t="shared" si="25"/>
        <v>59.022222222222922</v>
      </c>
      <c r="J86" s="17">
        <f t="shared" si="25"/>
        <v>61.327777777778962</v>
      </c>
      <c r="K86" s="18">
        <f t="shared" si="25"/>
        <v>52.10555555555716</v>
      </c>
      <c r="L86" s="18">
        <f t="shared" si="25"/>
        <v>54.411111111109811</v>
      </c>
      <c r="M86" s="18">
        <f t="shared" si="25"/>
        <v>56.716666666665695</v>
      </c>
      <c r="N86" s="19">
        <f t="shared" si="25"/>
        <v>41.5</v>
      </c>
      <c r="O86" s="19">
        <f t="shared" si="25"/>
        <v>43.805555555557028</v>
      </c>
      <c r="P86" s="19">
        <f t="shared" si="25"/>
        <v>46.111111111112507</v>
      </c>
      <c r="Q86" s="20">
        <f t="shared" si="25"/>
        <v>39.194444444443072</v>
      </c>
      <c r="R86" s="20">
        <f t="shared" si="25"/>
        <v>41.5</v>
      </c>
      <c r="S86" s="20">
        <f t="shared" si="25"/>
        <v>43.805555555557028</v>
      </c>
      <c r="T86" s="21">
        <f t="shared" si="25"/>
        <v>36.888888888888317</v>
      </c>
      <c r="U86" s="21">
        <f t="shared" si="16"/>
        <v>39.194444444443072</v>
      </c>
      <c r="V86" s="21">
        <f t="shared" si="17"/>
        <v>41.5</v>
      </c>
      <c r="W86" s="22">
        <f t="shared" si="18"/>
        <v>34.583333333333265</v>
      </c>
      <c r="X86" s="22">
        <f t="shared" si="19"/>
        <v>36.888888888888317</v>
      </c>
      <c r="Y86" s="22">
        <f t="shared" si="20"/>
        <v>39.194444444443072</v>
      </c>
      <c r="Z86" s="23">
        <f t="shared" si="21"/>
        <v>32.277777777778653</v>
      </c>
      <c r="AA86" s="23">
        <f t="shared" si="22"/>
        <v>34.583333333333265</v>
      </c>
      <c r="AB86" s="23">
        <f t="shared" si="23"/>
        <v>36.888888888888317</v>
      </c>
      <c r="AC86" s="24">
        <f t="shared" ref="AC86:AK117" si="27">AC87-(AC$363/360)</f>
        <v>29.972222222221369</v>
      </c>
      <c r="AD86" s="24">
        <f t="shared" si="27"/>
        <v>32.277777777778653</v>
      </c>
      <c r="AE86" s="24">
        <f t="shared" si="27"/>
        <v>34.583333333333265</v>
      </c>
      <c r="AF86" s="25">
        <f t="shared" si="27"/>
        <v>27.66666666666725</v>
      </c>
      <c r="AG86" s="25">
        <f t="shared" si="27"/>
        <v>29.972222222221369</v>
      </c>
      <c r="AH86" s="25">
        <f t="shared" si="27"/>
        <v>32.277777777778653</v>
      </c>
      <c r="AI86" s="26">
        <f t="shared" si="27"/>
        <v>25.361111111110674</v>
      </c>
      <c r="AJ86" s="26">
        <f t="shared" si="27"/>
        <v>27.66666666666725</v>
      </c>
      <c r="AK86" s="26">
        <f t="shared" si="27"/>
        <v>29.972222222221369</v>
      </c>
    </row>
    <row r="87" spans="4:37" ht="20.100000000000001" customHeight="1">
      <c r="D87" s="27">
        <f t="shared" si="14"/>
        <v>0.233333333333333</v>
      </c>
      <c r="E87" s="16">
        <f t="shared" si="25"/>
        <v>62.066666666667849</v>
      </c>
      <c r="F87" s="16">
        <f t="shared" si="25"/>
        <v>64.399999999998258</v>
      </c>
      <c r="G87" s="16">
        <f t="shared" si="25"/>
        <v>66.733333333332467</v>
      </c>
      <c r="H87" s="17">
        <f t="shared" si="25"/>
        <v>57.399999999999025</v>
      </c>
      <c r="I87" s="17">
        <f t="shared" si="25"/>
        <v>59.733333333334031</v>
      </c>
      <c r="J87" s="17">
        <f t="shared" si="25"/>
        <v>62.066666666667849</v>
      </c>
      <c r="K87" s="18">
        <f t="shared" si="25"/>
        <v>52.73333333333494</v>
      </c>
      <c r="L87" s="18">
        <f t="shared" si="25"/>
        <v>55.06666666666537</v>
      </c>
      <c r="M87" s="18">
        <f t="shared" si="25"/>
        <v>57.399999999999025</v>
      </c>
      <c r="N87" s="19">
        <f t="shared" si="25"/>
        <v>42</v>
      </c>
      <c r="O87" s="19">
        <f t="shared" si="25"/>
        <v>44.333333333334807</v>
      </c>
      <c r="P87" s="19">
        <f t="shared" si="25"/>
        <v>46.666666666668064</v>
      </c>
      <c r="Q87" s="20">
        <f t="shared" si="25"/>
        <v>39.666666666665293</v>
      </c>
      <c r="R87" s="20">
        <f t="shared" si="25"/>
        <v>42</v>
      </c>
      <c r="S87" s="20">
        <f t="shared" si="25"/>
        <v>44.333333333334807</v>
      </c>
      <c r="T87" s="21">
        <f t="shared" si="25"/>
        <v>37.33333333333276</v>
      </c>
      <c r="U87" s="21">
        <f t="shared" si="16"/>
        <v>39.666666666665293</v>
      </c>
      <c r="V87" s="21">
        <f t="shared" si="17"/>
        <v>42</v>
      </c>
      <c r="W87" s="22">
        <f t="shared" si="18"/>
        <v>34.999999999999929</v>
      </c>
      <c r="X87" s="22">
        <f t="shared" si="19"/>
        <v>37.33333333333276</v>
      </c>
      <c r="Y87" s="22">
        <f t="shared" si="20"/>
        <v>39.666666666665293</v>
      </c>
      <c r="Z87" s="23">
        <f t="shared" si="21"/>
        <v>32.666666666667538</v>
      </c>
      <c r="AA87" s="23">
        <f t="shared" si="22"/>
        <v>34.999999999999929</v>
      </c>
      <c r="AB87" s="23">
        <f t="shared" si="23"/>
        <v>37.33333333333276</v>
      </c>
      <c r="AC87" s="24">
        <f t="shared" si="27"/>
        <v>30.333333333332479</v>
      </c>
      <c r="AD87" s="24">
        <f t="shared" si="27"/>
        <v>32.666666666667538</v>
      </c>
      <c r="AE87" s="24">
        <f t="shared" si="27"/>
        <v>34.999999999999929</v>
      </c>
      <c r="AF87" s="25">
        <f t="shared" si="27"/>
        <v>28.000000000000583</v>
      </c>
      <c r="AG87" s="25">
        <f t="shared" si="27"/>
        <v>30.333333333332479</v>
      </c>
      <c r="AH87" s="25">
        <f t="shared" si="27"/>
        <v>32.666666666667538</v>
      </c>
      <c r="AI87" s="26">
        <f t="shared" si="27"/>
        <v>25.666666666666231</v>
      </c>
      <c r="AJ87" s="26">
        <f t="shared" si="27"/>
        <v>28.000000000000583</v>
      </c>
      <c r="AK87" s="26">
        <f t="shared" si="27"/>
        <v>30.333333333332479</v>
      </c>
    </row>
    <row r="88" spans="4:37" ht="20.100000000000001" customHeight="1">
      <c r="D88" s="27">
        <f t="shared" si="14"/>
        <v>0.23611111111111077</v>
      </c>
      <c r="E88" s="16">
        <f t="shared" si="25"/>
        <v>62.805555555556737</v>
      </c>
      <c r="F88" s="16">
        <f t="shared" si="25"/>
        <v>65.166666666664923</v>
      </c>
      <c r="G88" s="16">
        <f t="shared" si="25"/>
        <v>67.527777777776919</v>
      </c>
      <c r="H88" s="17">
        <f t="shared" si="25"/>
        <v>58.083333333332355</v>
      </c>
      <c r="I88" s="17">
        <f t="shared" si="25"/>
        <v>60.444444444445139</v>
      </c>
      <c r="J88" s="17">
        <f t="shared" si="25"/>
        <v>62.805555555556737</v>
      </c>
      <c r="K88" s="18">
        <f t="shared" si="25"/>
        <v>53.36111111111272</v>
      </c>
      <c r="L88" s="18">
        <f t="shared" si="25"/>
        <v>55.722222222220928</v>
      </c>
      <c r="M88" s="18">
        <f t="shared" si="25"/>
        <v>58.083333333332355</v>
      </c>
      <c r="N88" s="19">
        <f t="shared" si="25"/>
        <v>42.5</v>
      </c>
      <c r="O88" s="19">
        <f t="shared" si="25"/>
        <v>44.861111111112585</v>
      </c>
      <c r="P88" s="19">
        <f t="shared" si="25"/>
        <v>47.222222222223621</v>
      </c>
      <c r="Q88" s="20">
        <f t="shared" si="25"/>
        <v>40.138888888887514</v>
      </c>
      <c r="R88" s="20">
        <f t="shared" si="25"/>
        <v>42.5</v>
      </c>
      <c r="S88" s="20">
        <f t="shared" si="25"/>
        <v>44.861111111112585</v>
      </c>
      <c r="T88" s="21">
        <f t="shared" si="25"/>
        <v>37.777777777777203</v>
      </c>
      <c r="U88" s="21">
        <f t="shared" si="16"/>
        <v>40.138888888887514</v>
      </c>
      <c r="V88" s="21">
        <f t="shared" si="17"/>
        <v>42.5</v>
      </c>
      <c r="W88" s="22">
        <f t="shared" si="18"/>
        <v>35.416666666666593</v>
      </c>
      <c r="X88" s="22">
        <f t="shared" si="19"/>
        <v>37.777777777777203</v>
      </c>
      <c r="Y88" s="22">
        <f t="shared" si="20"/>
        <v>40.138888888887514</v>
      </c>
      <c r="Z88" s="23">
        <f t="shared" si="21"/>
        <v>33.055555555556424</v>
      </c>
      <c r="AA88" s="23">
        <f t="shared" si="22"/>
        <v>35.416666666666593</v>
      </c>
      <c r="AB88" s="23">
        <f t="shared" si="23"/>
        <v>37.777777777777203</v>
      </c>
      <c r="AC88" s="24">
        <f t="shared" si="27"/>
        <v>30.69444444444359</v>
      </c>
      <c r="AD88" s="24">
        <f t="shared" si="27"/>
        <v>33.055555555556424</v>
      </c>
      <c r="AE88" s="24">
        <f t="shared" si="27"/>
        <v>35.416666666666593</v>
      </c>
      <c r="AF88" s="25">
        <f t="shared" si="27"/>
        <v>28.333333333333915</v>
      </c>
      <c r="AG88" s="25">
        <f t="shared" si="27"/>
        <v>30.69444444444359</v>
      </c>
      <c r="AH88" s="25">
        <f t="shared" si="27"/>
        <v>33.055555555556424</v>
      </c>
      <c r="AI88" s="26">
        <f t="shared" si="27"/>
        <v>25.972222222221788</v>
      </c>
      <c r="AJ88" s="26">
        <f t="shared" si="27"/>
        <v>28.333333333333915</v>
      </c>
      <c r="AK88" s="26">
        <f t="shared" si="27"/>
        <v>30.69444444444359</v>
      </c>
    </row>
    <row r="89" spans="4:37" ht="20.100000000000001" customHeight="1">
      <c r="D89" s="27">
        <f t="shared" si="14"/>
        <v>0.23888888888888854</v>
      </c>
      <c r="E89" s="16">
        <f t="shared" si="25"/>
        <v>63.544444444445624</v>
      </c>
      <c r="F89" s="16">
        <f t="shared" si="25"/>
        <v>65.933333333331589</v>
      </c>
      <c r="G89" s="16">
        <f t="shared" si="25"/>
        <v>68.32222222222137</v>
      </c>
      <c r="H89" s="17">
        <f t="shared" si="25"/>
        <v>58.766666666665685</v>
      </c>
      <c r="I89" s="17">
        <f t="shared" si="25"/>
        <v>61.155555555556248</v>
      </c>
      <c r="J89" s="17">
        <f t="shared" si="25"/>
        <v>63.544444444445624</v>
      </c>
      <c r="K89" s="18">
        <f t="shared" si="25"/>
        <v>53.9888888888905</v>
      </c>
      <c r="L89" s="18">
        <f t="shared" si="25"/>
        <v>56.377777777776487</v>
      </c>
      <c r="M89" s="18">
        <f t="shared" si="25"/>
        <v>58.766666666665685</v>
      </c>
      <c r="N89" s="19">
        <f t="shared" si="25"/>
        <v>43</v>
      </c>
      <c r="O89" s="19">
        <f t="shared" si="25"/>
        <v>45.388888888890364</v>
      </c>
      <c r="P89" s="19">
        <f t="shared" si="25"/>
        <v>47.777777777779178</v>
      </c>
      <c r="Q89" s="20">
        <f t="shared" si="25"/>
        <v>40.611111111109736</v>
      </c>
      <c r="R89" s="20">
        <f t="shared" si="25"/>
        <v>43</v>
      </c>
      <c r="S89" s="20">
        <f t="shared" si="25"/>
        <v>45.388888888890364</v>
      </c>
      <c r="T89" s="21">
        <f t="shared" si="25"/>
        <v>38.222222222221646</v>
      </c>
      <c r="U89" s="21">
        <f t="shared" si="16"/>
        <v>40.611111111109736</v>
      </c>
      <c r="V89" s="21">
        <f t="shared" si="17"/>
        <v>43</v>
      </c>
      <c r="W89" s="22">
        <f t="shared" si="18"/>
        <v>35.833333333333258</v>
      </c>
      <c r="X89" s="22">
        <f t="shared" si="19"/>
        <v>38.222222222221646</v>
      </c>
      <c r="Y89" s="22">
        <f t="shared" si="20"/>
        <v>40.611111111109736</v>
      </c>
      <c r="Z89" s="23">
        <f t="shared" si="21"/>
        <v>33.44444444444531</v>
      </c>
      <c r="AA89" s="23">
        <f t="shared" si="22"/>
        <v>35.833333333333258</v>
      </c>
      <c r="AB89" s="23">
        <f t="shared" si="23"/>
        <v>38.222222222221646</v>
      </c>
      <c r="AC89" s="24">
        <f t="shared" si="27"/>
        <v>31.055555555554701</v>
      </c>
      <c r="AD89" s="24">
        <f t="shared" si="27"/>
        <v>33.44444444444531</v>
      </c>
      <c r="AE89" s="24">
        <f t="shared" si="27"/>
        <v>35.833333333333258</v>
      </c>
      <c r="AF89" s="25">
        <f t="shared" si="27"/>
        <v>28.666666666667247</v>
      </c>
      <c r="AG89" s="25">
        <f t="shared" si="27"/>
        <v>31.055555555554701</v>
      </c>
      <c r="AH89" s="25">
        <f t="shared" si="27"/>
        <v>33.44444444444531</v>
      </c>
      <c r="AI89" s="26">
        <f t="shared" si="27"/>
        <v>26.277777777777345</v>
      </c>
      <c r="AJ89" s="26">
        <f t="shared" si="27"/>
        <v>28.666666666667247</v>
      </c>
      <c r="AK89" s="26">
        <f t="shared" si="27"/>
        <v>31.055555555554701</v>
      </c>
    </row>
    <row r="90" spans="4:37" ht="20.100000000000001" customHeight="1">
      <c r="D90" s="27">
        <f t="shared" si="14"/>
        <v>0.24166666666666631</v>
      </c>
      <c r="E90" s="16">
        <f t="shared" si="25"/>
        <v>64.283333333334511</v>
      </c>
      <c r="F90" s="16">
        <f t="shared" si="25"/>
        <v>66.699999999998255</v>
      </c>
      <c r="G90" s="16">
        <f t="shared" si="25"/>
        <v>69.116666666665822</v>
      </c>
      <c r="H90" s="17">
        <f t="shared" si="25"/>
        <v>59.449999999999015</v>
      </c>
      <c r="I90" s="17">
        <f t="shared" si="25"/>
        <v>61.866666666667356</v>
      </c>
      <c r="J90" s="17">
        <f t="shared" si="25"/>
        <v>64.283333333334511</v>
      </c>
      <c r="K90" s="18">
        <f t="shared" si="25"/>
        <v>54.61666666666828</v>
      </c>
      <c r="L90" s="18">
        <f t="shared" si="25"/>
        <v>57.033333333332045</v>
      </c>
      <c r="M90" s="18">
        <f t="shared" si="25"/>
        <v>59.449999999999015</v>
      </c>
      <c r="N90" s="19">
        <f t="shared" si="25"/>
        <v>43.5</v>
      </c>
      <c r="O90" s="19">
        <f t="shared" si="25"/>
        <v>45.916666666668142</v>
      </c>
      <c r="P90" s="19">
        <f t="shared" si="25"/>
        <v>48.333333333334735</v>
      </c>
      <c r="Q90" s="20">
        <f t="shared" si="25"/>
        <v>41.083333333331957</v>
      </c>
      <c r="R90" s="20">
        <f t="shared" si="25"/>
        <v>43.5</v>
      </c>
      <c r="S90" s="20">
        <f t="shared" si="25"/>
        <v>45.916666666668142</v>
      </c>
      <c r="T90" s="21">
        <f t="shared" si="25"/>
        <v>38.666666666666089</v>
      </c>
      <c r="U90" s="21">
        <f t="shared" si="16"/>
        <v>41.083333333331957</v>
      </c>
      <c r="V90" s="21">
        <f t="shared" si="17"/>
        <v>43.5</v>
      </c>
      <c r="W90" s="22">
        <f t="shared" si="18"/>
        <v>36.249999999999922</v>
      </c>
      <c r="X90" s="22">
        <f t="shared" si="19"/>
        <v>38.666666666666089</v>
      </c>
      <c r="Y90" s="22">
        <f t="shared" si="20"/>
        <v>41.083333333331957</v>
      </c>
      <c r="Z90" s="23">
        <f t="shared" si="21"/>
        <v>33.833333333334195</v>
      </c>
      <c r="AA90" s="23">
        <f t="shared" si="22"/>
        <v>36.249999999999922</v>
      </c>
      <c r="AB90" s="23">
        <f t="shared" si="23"/>
        <v>38.666666666666089</v>
      </c>
      <c r="AC90" s="24">
        <f t="shared" si="27"/>
        <v>31.416666666665812</v>
      </c>
      <c r="AD90" s="24">
        <f t="shared" si="27"/>
        <v>33.833333333334195</v>
      </c>
      <c r="AE90" s="24">
        <f t="shared" si="27"/>
        <v>36.249999999999922</v>
      </c>
      <c r="AF90" s="25">
        <f t="shared" si="27"/>
        <v>29.000000000000579</v>
      </c>
      <c r="AG90" s="25">
        <f t="shared" si="27"/>
        <v>31.416666666665812</v>
      </c>
      <c r="AH90" s="25">
        <f t="shared" si="27"/>
        <v>33.833333333334195</v>
      </c>
      <c r="AI90" s="26">
        <f t="shared" si="27"/>
        <v>26.583333333332902</v>
      </c>
      <c r="AJ90" s="26">
        <f t="shared" si="27"/>
        <v>29.000000000000579</v>
      </c>
      <c r="AK90" s="26">
        <f t="shared" si="27"/>
        <v>31.416666666665812</v>
      </c>
    </row>
    <row r="91" spans="4:37" ht="20.100000000000001" customHeight="1">
      <c r="D91" s="27">
        <f t="shared" si="14"/>
        <v>0.24444444444444408</v>
      </c>
      <c r="E91" s="16">
        <f t="shared" si="25"/>
        <v>65.022222222223405</v>
      </c>
      <c r="F91" s="16">
        <f t="shared" si="25"/>
        <v>67.466666666664921</v>
      </c>
      <c r="G91" s="16">
        <f t="shared" si="25"/>
        <v>69.911111111110273</v>
      </c>
      <c r="H91" s="17">
        <f t="shared" si="25"/>
        <v>60.133333333332345</v>
      </c>
      <c r="I91" s="17">
        <f t="shared" si="25"/>
        <v>62.577777777778465</v>
      </c>
      <c r="J91" s="17">
        <f t="shared" si="25"/>
        <v>65.022222222223405</v>
      </c>
      <c r="K91" s="18">
        <f t="shared" si="25"/>
        <v>55.24444444444606</v>
      </c>
      <c r="L91" s="18">
        <f t="shared" si="25"/>
        <v>57.688888888887604</v>
      </c>
      <c r="M91" s="18">
        <f t="shared" si="25"/>
        <v>60.133333333332345</v>
      </c>
      <c r="N91" s="19">
        <f t="shared" si="25"/>
        <v>44</v>
      </c>
      <c r="O91" s="19">
        <f t="shared" si="25"/>
        <v>46.444444444445921</v>
      </c>
      <c r="P91" s="19">
        <f t="shared" si="25"/>
        <v>48.888888888890293</v>
      </c>
      <c r="Q91" s="20">
        <f t="shared" si="25"/>
        <v>41.555555555554179</v>
      </c>
      <c r="R91" s="20">
        <f t="shared" si="25"/>
        <v>44</v>
      </c>
      <c r="S91" s="20">
        <f t="shared" si="25"/>
        <v>46.444444444445921</v>
      </c>
      <c r="T91" s="21">
        <f t="shared" si="25"/>
        <v>39.111111111110532</v>
      </c>
      <c r="U91" s="21">
        <f t="shared" si="16"/>
        <v>41.555555555554179</v>
      </c>
      <c r="V91" s="21">
        <f t="shared" si="17"/>
        <v>44</v>
      </c>
      <c r="W91" s="22">
        <f t="shared" si="18"/>
        <v>36.666666666666586</v>
      </c>
      <c r="X91" s="22">
        <f t="shared" si="19"/>
        <v>39.111111111110532</v>
      </c>
      <c r="Y91" s="22">
        <f t="shared" si="20"/>
        <v>41.555555555554179</v>
      </c>
      <c r="Z91" s="23">
        <f t="shared" si="21"/>
        <v>34.222222222223081</v>
      </c>
      <c r="AA91" s="23">
        <f t="shared" si="22"/>
        <v>36.666666666666586</v>
      </c>
      <c r="AB91" s="23">
        <f t="shared" si="23"/>
        <v>39.111111111110532</v>
      </c>
      <c r="AC91" s="24">
        <f t="shared" si="27"/>
        <v>31.777777777776922</v>
      </c>
      <c r="AD91" s="24">
        <f t="shared" si="27"/>
        <v>34.222222222223081</v>
      </c>
      <c r="AE91" s="24">
        <f t="shared" si="27"/>
        <v>36.666666666666586</v>
      </c>
      <c r="AF91" s="25">
        <f t="shared" si="27"/>
        <v>29.333333333333911</v>
      </c>
      <c r="AG91" s="25">
        <f t="shared" si="27"/>
        <v>31.777777777776922</v>
      </c>
      <c r="AH91" s="25">
        <f t="shared" si="27"/>
        <v>34.222222222223081</v>
      </c>
      <c r="AI91" s="26">
        <f t="shared" si="27"/>
        <v>26.888888888888459</v>
      </c>
      <c r="AJ91" s="26">
        <f t="shared" si="27"/>
        <v>29.333333333333911</v>
      </c>
      <c r="AK91" s="26">
        <f t="shared" si="27"/>
        <v>31.777777777776922</v>
      </c>
    </row>
    <row r="92" spans="4:37" ht="20.100000000000001" customHeight="1">
      <c r="D92" s="27">
        <f t="shared" si="14"/>
        <v>0.24722222222222184</v>
      </c>
      <c r="E92" s="16">
        <f t="shared" si="25"/>
        <v>65.761111111112299</v>
      </c>
      <c r="F92" s="16">
        <f t="shared" si="25"/>
        <v>68.233333333331586</v>
      </c>
      <c r="G92" s="16">
        <f t="shared" si="25"/>
        <v>70.705555555554724</v>
      </c>
      <c r="H92" s="17">
        <f t="shared" si="25"/>
        <v>60.816666666665675</v>
      </c>
      <c r="I92" s="17">
        <f t="shared" si="25"/>
        <v>63.288888888889574</v>
      </c>
      <c r="J92" s="17">
        <f t="shared" si="25"/>
        <v>65.761111111112299</v>
      </c>
      <c r="K92" s="18">
        <f t="shared" si="25"/>
        <v>55.87222222222384</v>
      </c>
      <c r="L92" s="18">
        <f t="shared" si="25"/>
        <v>58.344444444443162</v>
      </c>
      <c r="M92" s="18">
        <f t="shared" si="25"/>
        <v>60.816666666665675</v>
      </c>
      <c r="N92" s="19">
        <f t="shared" si="25"/>
        <v>44.5</v>
      </c>
      <c r="O92" s="19">
        <f t="shared" si="25"/>
        <v>46.972222222223699</v>
      </c>
      <c r="P92" s="19">
        <f t="shared" si="25"/>
        <v>49.44444444444585</v>
      </c>
      <c r="Q92" s="20">
        <f t="shared" si="25"/>
        <v>42.0277777777764</v>
      </c>
      <c r="R92" s="20">
        <f t="shared" si="25"/>
        <v>44.5</v>
      </c>
      <c r="S92" s="20">
        <f t="shared" si="25"/>
        <v>46.972222222223699</v>
      </c>
      <c r="T92" s="21">
        <f t="shared" si="25"/>
        <v>39.555555555554974</v>
      </c>
      <c r="U92" s="21">
        <f t="shared" ref="U92:AJ106" si="28">U93-(U$363/360)</f>
        <v>42.0277777777764</v>
      </c>
      <c r="V92" s="21">
        <f t="shared" si="28"/>
        <v>44.5</v>
      </c>
      <c r="W92" s="22">
        <f t="shared" si="28"/>
        <v>37.08333333333325</v>
      </c>
      <c r="X92" s="22">
        <f t="shared" si="28"/>
        <v>39.555555555554974</v>
      </c>
      <c r="Y92" s="22">
        <f t="shared" si="28"/>
        <v>42.0277777777764</v>
      </c>
      <c r="Z92" s="23">
        <f t="shared" si="28"/>
        <v>34.611111111111967</v>
      </c>
      <c r="AA92" s="23">
        <f t="shared" si="28"/>
        <v>37.08333333333325</v>
      </c>
      <c r="AB92" s="23">
        <f t="shared" si="28"/>
        <v>39.555555555554974</v>
      </c>
      <c r="AC92" s="24">
        <f t="shared" si="28"/>
        <v>32.138888888888033</v>
      </c>
      <c r="AD92" s="24">
        <f t="shared" si="28"/>
        <v>34.611111111111967</v>
      </c>
      <c r="AE92" s="24">
        <f t="shared" si="28"/>
        <v>37.08333333333325</v>
      </c>
      <c r="AF92" s="25">
        <f t="shared" si="28"/>
        <v>29.666666666667243</v>
      </c>
      <c r="AG92" s="25">
        <f t="shared" si="28"/>
        <v>32.138888888888033</v>
      </c>
      <c r="AH92" s="25">
        <f t="shared" si="27"/>
        <v>34.611111111111967</v>
      </c>
      <c r="AI92" s="26">
        <f t="shared" si="27"/>
        <v>27.194444444444017</v>
      </c>
      <c r="AJ92" s="26">
        <f t="shared" si="27"/>
        <v>29.666666666667243</v>
      </c>
      <c r="AK92" s="26">
        <f t="shared" si="27"/>
        <v>32.138888888888033</v>
      </c>
    </row>
    <row r="93" spans="4:37" ht="20.100000000000001" customHeight="1">
      <c r="D93" s="27">
        <f t="shared" si="14"/>
        <v>0.24999999999999961</v>
      </c>
      <c r="E93" s="16">
        <f t="shared" si="25"/>
        <v>66.500000000001194</v>
      </c>
      <c r="F93" s="16">
        <f t="shared" si="25"/>
        <v>68.999999999998252</v>
      </c>
      <c r="G93" s="16">
        <f t="shared" si="25"/>
        <v>71.499999999999176</v>
      </c>
      <c r="H93" s="17">
        <f t="shared" si="25"/>
        <v>61.499999999999005</v>
      </c>
      <c r="I93" s="17">
        <f t="shared" si="25"/>
        <v>64.000000000000682</v>
      </c>
      <c r="J93" s="17">
        <f t="shared" si="25"/>
        <v>66.500000000001194</v>
      </c>
      <c r="K93" s="18">
        <f t="shared" si="25"/>
        <v>56.50000000000162</v>
      </c>
      <c r="L93" s="18">
        <f t="shared" si="25"/>
        <v>58.999999999998721</v>
      </c>
      <c r="M93" s="18">
        <f t="shared" si="25"/>
        <v>61.499999999999005</v>
      </c>
      <c r="N93" s="19">
        <f t="shared" si="25"/>
        <v>45</v>
      </c>
      <c r="O93" s="19">
        <f t="shared" si="25"/>
        <v>47.500000000001478</v>
      </c>
      <c r="P93" s="19">
        <f t="shared" si="25"/>
        <v>50.000000000001407</v>
      </c>
      <c r="Q93" s="20">
        <f t="shared" si="25"/>
        <v>42.499999999998622</v>
      </c>
      <c r="R93" s="20">
        <f t="shared" si="25"/>
        <v>45</v>
      </c>
      <c r="S93" s="20">
        <f t="shared" si="25"/>
        <v>47.500000000001478</v>
      </c>
      <c r="T93" s="21">
        <f t="shared" si="25"/>
        <v>39.999999999999417</v>
      </c>
      <c r="U93" s="21">
        <f t="shared" si="28"/>
        <v>42.499999999998622</v>
      </c>
      <c r="V93" s="21">
        <f t="shared" si="28"/>
        <v>45</v>
      </c>
      <c r="W93" s="22">
        <f t="shared" si="28"/>
        <v>37.499999999999915</v>
      </c>
      <c r="X93" s="22">
        <f t="shared" si="28"/>
        <v>39.999999999999417</v>
      </c>
      <c r="Y93" s="22">
        <f t="shared" si="28"/>
        <v>42.499999999998622</v>
      </c>
      <c r="Z93" s="23">
        <f t="shared" si="28"/>
        <v>35.000000000000853</v>
      </c>
      <c r="AA93" s="23">
        <f t="shared" si="28"/>
        <v>37.499999999999915</v>
      </c>
      <c r="AB93" s="23">
        <f t="shared" si="28"/>
        <v>39.999999999999417</v>
      </c>
      <c r="AC93" s="24">
        <f t="shared" si="28"/>
        <v>32.499999999999147</v>
      </c>
      <c r="AD93" s="24">
        <f t="shared" si="28"/>
        <v>35.000000000000853</v>
      </c>
      <c r="AE93" s="24">
        <f t="shared" si="28"/>
        <v>37.499999999999915</v>
      </c>
      <c r="AF93" s="25">
        <f t="shared" si="28"/>
        <v>30.000000000000576</v>
      </c>
      <c r="AG93" s="25">
        <f t="shared" si="28"/>
        <v>32.499999999999147</v>
      </c>
      <c r="AH93" s="25">
        <f t="shared" si="27"/>
        <v>35.000000000000853</v>
      </c>
      <c r="AI93" s="26">
        <f t="shared" si="27"/>
        <v>27.499999999999574</v>
      </c>
      <c r="AJ93" s="26">
        <f t="shared" si="27"/>
        <v>30.000000000000576</v>
      </c>
      <c r="AK93" s="26">
        <f t="shared" si="27"/>
        <v>32.499999999999147</v>
      </c>
    </row>
    <row r="94" spans="4:37" ht="20.100000000000001" customHeight="1">
      <c r="D94" s="27">
        <f t="shared" si="14"/>
        <v>0.25277777777777738</v>
      </c>
      <c r="E94" s="16">
        <f t="shared" si="25"/>
        <v>67.238888888890088</v>
      </c>
      <c r="F94" s="16">
        <f t="shared" si="25"/>
        <v>69.766666666664918</v>
      </c>
      <c r="G94" s="16">
        <f t="shared" si="25"/>
        <v>72.294444444443627</v>
      </c>
      <c r="H94" s="17">
        <f t="shared" si="25"/>
        <v>62.183333333332335</v>
      </c>
      <c r="I94" s="17">
        <f t="shared" si="25"/>
        <v>64.711111111111791</v>
      </c>
      <c r="J94" s="17">
        <f t="shared" si="25"/>
        <v>67.238888888890088</v>
      </c>
      <c r="K94" s="18">
        <f t="shared" si="25"/>
        <v>57.1277777777794</v>
      </c>
      <c r="L94" s="18">
        <f t="shared" si="25"/>
        <v>59.65555555555428</v>
      </c>
      <c r="M94" s="18">
        <f t="shared" si="25"/>
        <v>62.183333333332335</v>
      </c>
      <c r="N94" s="19">
        <f t="shared" si="25"/>
        <v>45.5</v>
      </c>
      <c r="O94" s="19">
        <f t="shared" si="25"/>
        <v>48.027777777779256</v>
      </c>
      <c r="P94" s="19">
        <f t="shared" si="25"/>
        <v>50.555555555556964</v>
      </c>
      <c r="Q94" s="20">
        <f t="shared" si="25"/>
        <v>42.972222222220843</v>
      </c>
      <c r="R94" s="20">
        <f t="shared" si="25"/>
        <v>45.5</v>
      </c>
      <c r="S94" s="20">
        <f t="shared" si="25"/>
        <v>48.027777777779256</v>
      </c>
      <c r="T94" s="21">
        <f t="shared" si="25"/>
        <v>40.44444444444386</v>
      </c>
      <c r="U94" s="21">
        <f t="shared" si="28"/>
        <v>42.972222222220843</v>
      </c>
      <c r="V94" s="21">
        <f t="shared" si="28"/>
        <v>45.5</v>
      </c>
      <c r="W94" s="22">
        <f t="shared" si="28"/>
        <v>37.916666666666579</v>
      </c>
      <c r="X94" s="22">
        <f t="shared" si="28"/>
        <v>40.44444444444386</v>
      </c>
      <c r="Y94" s="22">
        <f t="shared" si="28"/>
        <v>42.972222222220843</v>
      </c>
      <c r="Z94" s="23">
        <f t="shared" si="28"/>
        <v>35.388888888889738</v>
      </c>
      <c r="AA94" s="23">
        <f t="shared" si="28"/>
        <v>37.916666666666579</v>
      </c>
      <c r="AB94" s="23">
        <f t="shared" si="28"/>
        <v>40.44444444444386</v>
      </c>
      <c r="AC94" s="24">
        <f t="shared" si="28"/>
        <v>32.861111111110262</v>
      </c>
      <c r="AD94" s="24">
        <f t="shared" si="28"/>
        <v>35.388888888889738</v>
      </c>
      <c r="AE94" s="24">
        <f t="shared" si="28"/>
        <v>37.916666666666579</v>
      </c>
      <c r="AF94" s="25">
        <f t="shared" si="28"/>
        <v>30.333333333333908</v>
      </c>
      <c r="AG94" s="25">
        <f t="shared" si="28"/>
        <v>32.861111111110262</v>
      </c>
      <c r="AH94" s="25">
        <f t="shared" si="27"/>
        <v>35.388888888889738</v>
      </c>
      <c r="AI94" s="26">
        <f t="shared" si="27"/>
        <v>27.805555555555131</v>
      </c>
      <c r="AJ94" s="26">
        <f t="shared" si="27"/>
        <v>30.333333333333908</v>
      </c>
      <c r="AK94" s="26">
        <f t="shared" si="27"/>
        <v>32.861111111110262</v>
      </c>
    </row>
    <row r="95" spans="4:37" ht="20.100000000000001" customHeight="1">
      <c r="D95" s="27">
        <f t="shared" si="14"/>
        <v>0.25555555555555515</v>
      </c>
      <c r="E95" s="16">
        <f t="shared" si="25"/>
        <v>67.977777777778982</v>
      </c>
      <c r="F95" s="16">
        <f t="shared" si="25"/>
        <v>70.533333333331584</v>
      </c>
      <c r="G95" s="16">
        <f t="shared" si="25"/>
        <v>73.088888888888079</v>
      </c>
      <c r="H95" s="17">
        <f t="shared" si="25"/>
        <v>62.866666666665665</v>
      </c>
      <c r="I95" s="17">
        <f t="shared" si="25"/>
        <v>65.422222222222899</v>
      </c>
      <c r="J95" s="17">
        <f t="shared" si="25"/>
        <v>67.977777777778982</v>
      </c>
      <c r="K95" s="18">
        <f t="shared" si="25"/>
        <v>57.75555555555718</v>
      </c>
      <c r="L95" s="18">
        <f t="shared" si="25"/>
        <v>60.311111111109838</v>
      </c>
      <c r="M95" s="18">
        <f t="shared" si="25"/>
        <v>62.866666666665665</v>
      </c>
      <c r="N95" s="19">
        <f t="shared" si="25"/>
        <v>46</v>
      </c>
      <c r="O95" s="19">
        <f t="shared" si="25"/>
        <v>48.555555555557035</v>
      </c>
      <c r="P95" s="19">
        <f t="shared" si="25"/>
        <v>51.111111111112521</v>
      </c>
      <c r="Q95" s="20">
        <f t="shared" si="25"/>
        <v>43.444444444443064</v>
      </c>
      <c r="R95" s="20">
        <f t="shared" si="25"/>
        <v>46</v>
      </c>
      <c r="S95" s="20">
        <f t="shared" si="25"/>
        <v>48.555555555557035</v>
      </c>
      <c r="T95" s="21">
        <f t="shared" si="25"/>
        <v>40.888888888888303</v>
      </c>
      <c r="U95" s="21">
        <f t="shared" si="28"/>
        <v>43.444444444443064</v>
      </c>
      <c r="V95" s="21">
        <f t="shared" si="28"/>
        <v>46</v>
      </c>
      <c r="W95" s="22">
        <f t="shared" si="28"/>
        <v>38.333333333333243</v>
      </c>
      <c r="X95" s="22">
        <f t="shared" si="28"/>
        <v>40.888888888888303</v>
      </c>
      <c r="Y95" s="22">
        <f t="shared" si="28"/>
        <v>43.444444444443064</v>
      </c>
      <c r="Z95" s="23">
        <f t="shared" si="28"/>
        <v>35.777777777778624</v>
      </c>
      <c r="AA95" s="23">
        <f t="shared" si="28"/>
        <v>38.333333333333243</v>
      </c>
      <c r="AB95" s="23">
        <f t="shared" si="28"/>
        <v>40.888888888888303</v>
      </c>
      <c r="AC95" s="24">
        <f t="shared" si="28"/>
        <v>33.222222222221376</v>
      </c>
      <c r="AD95" s="24">
        <f t="shared" si="28"/>
        <v>35.777777777778624</v>
      </c>
      <c r="AE95" s="24">
        <f t="shared" si="28"/>
        <v>38.333333333333243</v>
      </c>
      <c r="AF95" s="25">
        <f t="shared" si="28"/>
        <v>30.66666666666724</v>
      </c>
      <c r="AG95" s="25">
        <f t="shared" si="28"/>
        <v>33.222222222221376</v>
      </c>
      <c r="AH95" s="25">
        <f t="shared" si="27"/>
        <v>35.777777777778624</v>
      </c>
      <c r="AI95" s="26">
        <f t="shared" si="27"/>
        <v>28.111111111110688</v>
      </c>
      <c r="AJ95" s="26">
        <f t="shared" si="27"/>
        <v>30.66666666666724</v>
      </c>
      <c r="AK95" s="26">
        <f t="shared" si="27"/>
        <v>33.222222222221376</v>
      </c>
    </row>
    <row r="96" spans="4:37" ht="20.100000000000001" customHeight="1">
      <c r="D96" s="27">
        <f t="shared" si="14"/>
        <v>0.25833333333333292</v>
      </c>
      <c r="E96" s="16">
        <f t="shared" si="25"/>
        <v>68.716666666667876</v>
      </c>
      <c r="F96" s="16">
        <f t="shared" si="25"/>
        <v>71.299999999998249</v>
      </c>
      <c r="G96" s="16">
        <f t="shared" si="25"/>
        <v>73.88333333333253</v>
      </c>
      <c r="H96" s="17">
        <f t="shared" si="25"/>
        <v>63.549999999998995</v>
      </c>
      <c r="I96" s="17">
        <f t="shared" si="25"/>
        <v>66.133333333334008</v>
      </c>
      <c r="J96" s="17">
        <f t="shared" si="25"/>
        <v>68.716666666667876</v>
      </c>
      <c r="K96" s="18">
        <f t="shared" si="25"/>
        <v>58.38333333333496</v>
      </c>
      <c r="L96" s="18">
        <f t="shared" si="25"/>
        <v>60.966666666665397</v>
      </c>
      <c r="M96" s="18">
        <f t="shared" si="25"/>
        <v>63.549999999998995</v>
      </c>
      <c r="N96" s="19">
        <f t="shared" si="25"/>
        <v>46.5</v>
      </c>
      <c r="O96" s="19">
        <f t="shared" si="25"/>
        <v>49.083333333334814</v>
      </c>
      <c r="P96" s="19">
        <f t="shared" si="25"/>
        <v>51.666666666668078</v>
      </c>
      <c r="Q96" s="20">
        <f t="shared" si="25"/>
        <v>43.916666666665286</v>
      </c>
      <c r="R96" s="20">
        <f t="shared" si="25"/>
        <v>46.5</v>
      </c>
      <c r="S96" s="20">
        <f t="shared" si="25"/>
        <v>49.083333333334814</v>
      </c>
      <c r="T96" s="21">
        <f>T97-(T$363/360)</f>
        <v>41.333333333332746</v>
      </c>
      <c r="U96" s="21">
        <f>U97-(U$363/360)</f>
        <v>43.916666666665286</v>
      </c>
      <c r="V96" s="21">
        <f t="shared" si="28"/>
        <v>46.5</v>
      </c>
      <c r="W96" s="22">
        <f t="shared" si="28"/>
        <v>38.749999999999908</v>
      </c>
      <c r="X96" s="22">
        <f t="shared" si="28"/>
        <v>41.333333333332746</v>
      </c>
      <c r="Y96" s="22">
        <f t="shared" si="28"/>
        <v>43.916666666665286</v>
      </c>
      <c r="Z96" s="23">
        <f t="shared" si="28"/>
        <v>36.16666666666751</v>
      </c>
      <c r="AA96" s="23">
        <f t="shared" si="28"/>
        <v>38.749999999999908</v>
      </c>
      <c r="AB96" s="23">
        <f t="shared" si="28"/>
        <v>41.333333333332746</v>
      </c>
      <c r="AC96" s="24">
        <f t="shared" si="28"/>
        <v>33.58333333333249</v>
      </c>
      <c r="AD96" s="24">
        <f t="shared" si="28"/>
        <v>36.16666666666751</v>
      </c>
      <c r="AE96" s="24">
        <f t="shared" si="28"/>
        <v>38.749999999999908</v>
      </c>
      <c r="AF96" s="25">
        <f t="shared" si="28"/>
        <v>31.000000000000572</v>
      </c>
      <c r="AG96" s="25">
        <f t="shared" si="28"/>
        <v>33.58333333333249</v>
      </c>
      <c r="AH96" s="25">
        <f t="shared" si="27"/>
        <v>36.16666666666751</v>
      </c>
      <c r="AI96" s="26">
        <f t="shared" si="27"/>
        <v>28.416666666666245</v>
      </c>
      <c r="AJ96" s="26">
        <f t="shared" si="27"/>
        <v>31.000000000000572</v>
      </c>
      <c r="AK96" s="26">
        <f t="shared" si="27"/>
        <v>33.58333333333249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69.455555555556771</v>
      </c>
      <c r="F97" s="16">
        <f t="shared" si="29"/>
        <v>72.066666666664915</v>
      </c>
      <c r="G97" s="16">
        <f t="shared" si="29"/>
        <v>74.677777777776981</v>
      </c>
      <c r="H97" s="17">
        <f t="shared" si="29"/>
        <v>64.233333333332325</v>
      </c>
      <c r="I97" s="17">
        <f t="shared" si="29"/>
        <v>66.844444444445116</v>
      </c>
      <c r="J97" s="17">
        <f t="shared" si="29"/>
        <v>69.455555555556771</v>
      </c>
      <c r="K97" s="18">
        <f t="shared" si="29"/>
        <v>59.01111111111274</v>
      </c>
      <c r="L97" s="18">
        <f t="shared" si="29"/>
        <v>61.622222222220955</v>
      </c>
      <c r="M97" s="18">
        <f t="shared" si="29"/>
        <v>64.233333333332325</v>
      </c>
      <c r="N97" s="19">
        <f t="shared" si="29"/>
        <v>47</v>
      </c>
      <c r="O97" s="19">
        <f t="shared" si="29"/>
        <v>49.611111111112592</v>
      </c>
      <c r="P97" s="19">
        <f t="shared" si="29"/>
        <v>52.222222222223635</v>
      </c>
      <c r="Q97" s="20">
        <f t="shared" si="29"/>
        <v>44.388888888887507</v>
      </c>
      <c r="R97" s="20">
        <f t="shared" si="29"/>
        <v>47</v>
      </c>
      <c r="S97" s="20">
        <f t="shared" si="29"/>
        <v>49.611111111112592</v>
      </c>
      <c r="T97" s="21">
        <f t="shared" si="29"/>
        <v>41.777777777777189</v>
      </c>
      <c r="U97" s="21">
        <f t="shared" ref="U97:U111" si="30">U98-(U$363/360)</f>
        <v>44.388888888887507</v>
      </c>
      <c r="V97" s="21">
        <f t="shared" si="28"/>
        <v>47</v>
      </c>
      <c r="W97" s="22">
        <f t="shared" si="28"/>
        <v>39.166666666666572</v>
      </c>
      <c r="X97" s="22">
        <f t="shared" si="28"/>
        <v>41.777777777777189</v>
      </c>
      <c r="Y97" s="22">
        <f t="shared" si="28"/>
        <v>44.388888888887507</v>
      </c>
      <c r="Z97" s="23">
        <f t="shared" si="28"/>
        <v>36.555555555556396</v>
      </c>
      <c r="AA97" s="23">
        <f t="shared" si="28"/>
        <v>39.166666666666572</v>
      </c>
      <c r="AB97" s="23">
        <f t="shared" si="28"/>
        <v>41.777777777777189</v>
      </c>
      <c r="AC97" s="24">
        <f t="shared" si="28"/>
        <v>33.944444444443604</v>
      </c>
      <c r="AD97" s="24">
        <f t="shared" si="28"/>
        <v>36.555555555556396</v>
      </c>
      <c r="AE97" s="24">
        <f t="shared" si="28"/>
        <v>39.166666666666572</v>
      </c>
      <c r="AF97" s="25">
        <f t="shared" si="28"/>
        <v>31.333333333333904</v>
      </c>
      <c r="AG97" s="25">
        <f t="shared" si="28"/>
        <v>33.944444444443604</v>
      </c>
      <c r="AH97" s="25">
        <f t="shared" si="27"/>
        <v>36.555555555556396</v>
      </c>
      <c r="AI97" s="26">
        <f t="shared" si="27"/>
        <v>28.722222222221802</v>
      </c>
      <c r="AJ97" s="26">
        <f t="shared" si="27"/>
        <v>31.333333333333904</v>
      </c>
      <c r="AK97" s="26">
        <f t="shared" si="27"/>
        <v>33.944444444443604</v>
      </c>
    </row>
    <row r="98" spans="4:37" ht="20.100000000000001" customHeight="1">
      <c r="D98" s="27">
        <f t="shared" si="14"/>
        <v>0.26388888888888845</v>
      </c>
      <c r="E98" s="16">
        <f t="shared" si="29"/>
        <v>70.194444444445665</v>
      </c>
      <c r="F98" s="16">
        <f t="shared" si="29"/>
        <v>72.833333333331581</v>
      </c>
      <c r="G98" s="16">
        <f t="shared" si="29"/>
        <v>75.472222222221433</v>
      </c>
      <c r="H98" s="17">
        <f t="shared" si="29"/>
        <v>64.916666666665662</v>
      </c>
      <c r="I98" s="17">
        <f t="shared" si="29"/>
        <v>67.555555555556225</v>
      </c>
      <c r="J98" s="17">
        <f t="shared" si="29"/>
        <v>70.194444444445665</v>
      </c>
      <c r="K98" s="18">
        <f t="shared" si="29"/>
        <v>59.63888888889052</v>
      </c>
      <c r="L98" s="18">
        <f t="shared" si="29"/>
        <v>62.277777777776514</v>
      </c>
      <c r="M98" s="18">
        <f t="shared" si="29"/>
        <v>64.916666666665662</v>
      </c>
      <c r="N98" s="19">
        <f t="shared" si="29"/>
        <v>47.5</v>
      </c>
      <c r="O98" s="19">
        <f t="shared" si="29"/>
        <v>50.138888888890371</v>
      </c>
      <c r="P98" s="19">
        <f t="shared" si="29"/>
        <v>52.777777777779193</v>
      </c>
      <c r="Q98" s="20">
        <f t="shared" si="29"/>
        <v>44.861111111109729</v>
      </c>
      <c r="R98" s="20">
        <f t="shared" si="29"/>
        <v>47.5</v>
      </c>
      <c r="S98" s="20">
        <f t="shared" si="29"/>
        <v>50.138888888890371</v>
      </c>
      <c r="T98" s="21">
        <f t="shared" si="29"/>
        <v>42.222222222221632</v>
      </c>
      <c r="U98" s="21">
        <f t="shared" si="30"/>
        <v>44.861111111109729</v>
      </c>
      <c r="V98" s="21">
        <f t="shared" si="28"/>
        <v>47.5</v>
      </c>
      <c r="W98" s="22">
        <f t="shared" si="28"/>
        <v>39.583333333333236</v>
      </c>
      <c r="X98" s="22">
        <f t="shared" si="28"/>
        <v>42.222222222221632</v>
      </c>
      <c r="Y98" s="22">
        <f t="shared" si="28"/>
        <v>44.861111111109729</v>
      </c>
      <c r="Z98" s="23">
        <f t="shared" si="28"/>
        <v>36.944444444445281</v>
      </c>
      <c r="AA98" s="23">
        <f t="shared" si="28"/>
        <v>39.583333333333236</v>
      </c>
      <c r="AB98" s="23">
        <f t="shared" si="28"/>
        <v>42.222222222221632</v>
      </c>
      <c r="AC98" s="24">
        <f t="shared" si="28"/>
        <v>34.305555555554719</v>
      </c>
      <c r="AD98" s="24">
        <f t="shared" si="28"/>
        <v>36.944444444445281</v>
      </c>
      <c r="AE98" s="24">
        <f t="shared" si="28"/>
        <v>39.583333333333236</v>
      </c>
      <c r="AF98" s="25">
        <f t="shared" si="28"/>
        <v>31.666666666667236</v>
      </c>
      <c r="AG98" s="25">
        <f t="shared" si="28"/>
        <v>34.305555555554719</v>
      </c>
      <c r="AH98" s="25">
        <f t="shared" si="27"/>
        <v>36.944444444445281</v>
      </c>
      <c r="AI98" s="26">
        <f t="shared" si="27"/>
        <v>29.027777777777359</v>
      </c>
      <c r="AJ98" s="26">
        <f t="shared" si="27"/>
        <v>31.666666666667236</v>
      </c>
      <c r="AK98" s="26">
        <f t="shared" si="27"/>
        <v>34.305555555554719</v>
      </c>
    </row>
    <row r="99" spans="4:37" ht="20.100000000000001" customHeight="1">
      <c r="D99" s="27">
        <f t="shared" si="14"/>
        <v>0.26666666666666622</v>
      </c>
      <c r="E99" s="16">
        <f t="shared" si="29"/>
        <v>70.933333333334559</v>
      </c>
      <c r="F99" s="16">
        <f t="shared" si="29"/>
        <v>73.599999999998246</v>
      </c>
      <c r="G99" s="16">
        <f t="shared" si="29"/>
        <v>76.266666666665884</v>
      </c>
      <c r="H99" s="17">
        <f t="shared" si="29"/>
        <v>65.599999999999</v>
      </c>
      <c r="I99" s="17">
        <f t="shared" si="29"/>
        <v>68.266666666667334</v>
      </c>
      <c r="J99" s="17">
        <f t="shared" si="29"/>
        <v>70.933333333334559</v>
      </c>
      <c r="K99" s="18">
        <f t="shared" si="29"/>
        <v>60.2666666666683</v>
      </c>
      <c r="L99" s="18">
        <f t="shared" si="29"/>
        <v>62.933333333332072</v>
      </c>
      <c r="M99" s="18">
        <f t="shared" si="29"/>
        <v>65.599999999999</v>
      </c>
      <c r="N99" s="19">
        <f t="shared" si="29"/>
        <v>48</v>
      </c>
      <c r="O99" s="19">
        <f t="shared" si="29"/>
        <v>50.666666666668149</v>
      </c>
      <c r="P99" s="19">
        <f t="shared" si="29"/>
        <v>53.33333333333475</v>
      </c>
      <c r="Q99" s="20">
        <f t="shared" si="29"/>
        <v>45.33333333333195</v>
      </c>
      <c r="R99" s="20">
        <f t="shared" si="29"/>
        <v>48</v>
      </c>
      <c r="S99" s="20">
        <f t="shared" si="29"/>
        <v>50.666666666668149</v>
      </c>
      <c r="T99" s="21">
        <f t="shared" si="29"/>
        <v>42.666666666666075</v>
      </c>
      <c r="U99" s="21">
        <f t="shared" si="30"/>
        <v>45.33333333333195</v>
      </c>
      <c r="V99" s="21">
        <f t="shared" si="28"/>
        <v>48</v>
      </c>
      <c r="W99" s="22">
        <f t="shared" si="28"/>
        <v>39.999999999999901</v>
      </c>
      <c r="X99" s="22">
        <f t="shared" si="28"/>
        <v>42.666666666666075</v>
      </c>
      <c r="Y99" s="22">
        <f t="shared" si="28"/>
        <v>45.33333333333195</v>
      </c>
      <c r="Z99" s="23">
        <f t="shared" si="28"/>
        <v>37.333333333334167</v>
      </c>
      <c r="AA99" s="23">
        <f t="shared" si="28"/>
        <v>39.999999999999901</v>
      </c>
      <c r="AB99" s="23">
        <f t="shared" si="28"/>
        <v>42.666666666666075</v>
      </c>
      <c r="AC99" s="24">
        <f t="shared" si="28"/>
        <v>34.666666666665833</v>
      </c>
      <c r="AD99" s="24">
        <f t="shared" si="28"/>
        <v>37.333333333334167</v>
      </c>
      <c r="AE99" s="24">
        <f t="shared" si="28"/>
        <v>39.999999999999901</v>
      </c>
      <c r="AF99" s="25">
        <f t="shared" si="28"/>
        <v>32.000000000000568</v>
      </c>
      <c r="AG99" s="25">
        <f t="shared" si="28"/>
        <v>34.666666666665833</v>
      </c>
      <c r="AH99" s="25">
        <f t="shared" si="27"/>
        <v>37.333333333334167</v>
      </c>
      <c r="AI99" s="26">
        <f t="shared" si="27"/>
        <v>29.333333333332916</v>
      </c>
      <c r="AJ99" s="26">
        <f t="shared" si="27"/>
        <v>32.000000000000568</v>
      </c>
      <c r="AK99" s="26">
        <f t="shared" si="27"/>
        <v>34.666666666665833</v>
      </c>
    </row>
    <row r="100" spans="4:37" ht="20.100000000000001" customHeight="1">
      <c r="D100" s="27">
        <f t="shared" si="14"/>
        <v>0.26944444444444399</v>
      </c>
      <c r="E100" s="16">
        <f t="shared" si="29"/>
        <v>71.672222222223454</v>
      </c>
      <c r="F100" s="16">
        <f t="shared" si="29"/>
        <v>74.366666666664912</v>
      </c>
      <c r="G100" s="16">
        <f t="shared" si="29"/>
        <v>77.061111111110336</v>
      </c>
      <c r="H100" s="17">
        <f t="shared" si="29"/>
        <v>66.283333333332337</v>
      </c>
      <c r="I100" s="17">
        <f t="shared" si="29"/>
        <v>68.977777777778442</v>
      </c>
      <c r="J100" s="17">
        <f t="shared" si="29"/>
        <v>71.672222222223454</v>
      </c>
      <c r="K100" s="18">
        <f t="shared" si="29"/>
        <v>60.89444444444608</v>
      </c>
      <c r="L100" s="18">
        <f t="shared" si="29"/>
        <v>63.588888888887631</v>
      </c>
      <c r="M100" s="18">
        <f t="shared" si="29"/>
        <v>66.283333333332337</v>
      </c>
      <c r="N100" s="19">
        <f t="shared" si="29"/>
        <v>48.5</v>
      </c>
      <c r="O100" s="19">
        <f t="shared" si="29"/>
        <v>51.194444444445928</v>
      </c>
      <c r="P100" s="19">
        <f t="shared" si="29"/>
        <v>53.888888888890307</v>
      </c>
      <c r="Q100" s="20">
        <f t="shared" si="29"/>
        <v>45.805555555554172</v>
      </c>
      <c r="R100" s="20">
        <f t="shared" si="29"/>
        <v>48.5</v>
      </c>
      <c r="S100" s="20">
        <f t="shared" si="29"/>
        <v>51.194444444445928</v>
      </c>
      <c r="T100" s="21">
        <f t="shared" si="29"/>
        <v>43.111111111110517</v>
      </c>
      <c r="U100" s="21">
        <f t="shared" si="30"/>
        <v>45.805555555554172</v>
      </c>
      <c r="V100" s="21">
        <f t="shared" si="28"/>
        <v>48.5</v>
      </c>
      <c r="W100" s="22">
        <f t="shared" si="28"/>
        <v>40.416666666666565</v>
      </c>
      <c r="X100" s="22">
        <f t="shared" si="28"/>
        <v>43.111111111110517</v>
      </c>
      <c r="Y100" s="22">
        <f t="shared" si="28"/>
        <v>45.805555555554172</v>
      </c>
      <c r="Z100" s="23">
        <f t="shared" si="28"/>
        <v>37.722222222223053</v>
      </c>
      <c r="AA100" s="23">
        <f t="shared" si="28"/>
        <v>40.416666666666565</v>
      </c>
      <c r="AB100" s="23">
        <f t="shared" si="28"/>
        <v>43.111111111110517</v>
      </c>
      <c r="AC100" s="24">
        <f t="shared" si="28"/>
        <v>35.027777777776947</v>
      </c>
      <c r="AD100" s="24">
        <f t="shared" si="28"/>
        <v>37.722222222223053</v>
      </c>
      <c r="AE100" s="24">
        <f t="shared" si="28"/>
        <v>40.416666666666565</v>
      </c>
      <c r="AF100" s="25">
        <f t="shared" si="28"/>
        <v>32.333333333333904</v>
      </c>
      <c r="AG100" s="25">
        <f t="shared" si="28"/>
        <v>35.027777777776947</v>
      </c>
      <c r="AH100" s="25">
        <f t="shared" si="27"/>
        <v>37.722222222223053</v>
      </c>
      <c r="AI100" s="26">
        <f t="shared" si="27"/>
        <v>29.638888888888474</v>
      </c>
      <c r="AJ100" s="26">
        <f t="shared" si="27"/>
        <v>32.333333333333904</v>
      </c>
      <c r="AK100" s="26">
        <f t="shared" si="27"/>
        <v>35.027777777776947</v>
      </c>
    </row>
    <row r="101" spans="4:37" ht="20.100000000000001" customHeight="1">
      <c r="D101" s="27">
        <f t="shared" si="14"/>
        <v>0.27222222222222175</v>
      </c>
      <c r="E101" s="16">
        <f t="shared" si="29"/>
        <v>72.411111111112348</v>
      </c>
      <c r="F101" s="16">
        <f t="shared" si="29"/>
        <v>75.133333333331578</v>
      </c>
      <c r="G101" s="16">
        <f t="shared" si="29"/>
        <v>77.855555555554787</v>
      </c>
      <c r="H101" s="17">
        <f t="shared" si="29"/>
        <v>66.966666666665674</v>
      </c>
      <c r="I101" s="17">
        <f t="shared" si="29"/>
        <v>69.688888888889551</v>
      </c>
      <c r="J101" s="17">
        <f t="shared" si="29"/>
        <v>72.411111111112348</v>
      </c>
      <c r="K101" s="18">
        <f t="shared" si="29"/>
        <v>61.52222222222386</v>
      </c>
      <c r="L101" s="18">
        <f t="shared" si="29"/>
        <v>64.244444444443189</v>
      </c>
      <c r="M101" s="18">
        <f t="shared" si="29"/>
        <v>66.966666666665674</v>
      </c>
      <c r="N101" s="19">
        <f t="shared" si="29"/>
        <v>49</v>
      </c>
      <c r="O101" s="19">
        <f t="shared" si="29"/>
        <v>51.722222222223706</v>
      </c>
      <c r="P101" s="19">
        <f t="shared" si="29"/>
        <v>54.444444444445864</v>
      </c>
      <c r="Q101" s="20">
        <f t="shared" si="29"/>
        <v>46.277777777776393</v>
      </c>
      <c r="R101" s="20">
        <f t="shared" si="29"/>
        <v>49</v>
      </c>
      <c r="S101" s="20">
        <f t="shared" si="29"/>
        <v>51.722222222223706</v>
      </c>
      <c r="T101" s="21">
        <f t="shared" si="29"/>
        <v>43.55555555555496</v>
      </c>
      <c r="U101" s="21">
        <f t="shared" si="30"/>
        <v>46.277777777776393</v>
      </c>
      <c r="V101" s="21">
        <f t="shared" si="28"/>
        <v>49</v>
      </c>
      <c r="W101" s="22">
        <f t="shared" si="28"/>
        <v>40.833333333333229</v>
      </c>
      <c r="X101" s="22">
        <f t="shared" si="28"/>
        <v>43.55555555555496</v>
      </c>
      <c r="Y101" s="22">
        <f t="shared" si="28"/>
        <v>46.277777777776393</v>
      </c>
      <c r="Z101" s="23">
        <f t="shared" si="28"/>
        <v>38.111111111111938</v>
      </c>
      <c r="AA101" s="23">
        <f t="shared" si="28"/>
        <v>40.833333333333229</v>
      </c>
      <c r="AB101" s="23">
        <f t="shared" si="28"/>
        <v>43.55555555555496</v>
      </c>
      <c r="AC101" s="24">
        <f t="shared" si="28"/>
        <v>35.388888888888062</v>
      </c>
      <c r="AD101" s="24">
        <f t="shared" si="28"/>
        <v>38.111111111111938</v>
      </c>
      <c r="AE101" s="24">
        <f t="shared" si="28"/>
        <v>40.833333333333229</v>
      </c>
      <c r="AF101" s="25">
        <f t="shared" si="28"/>
        <v>32.66666666666724</v>
      </c>
      <c r="AG101" s="25">
        <f t="shared" si="28"/>
        <v>35.388888888888062</v>
      </c>
      <c r="AH101" s="25">
        <f t="shared" si="27"/>
        <v>38.111111111111938</v>
      </c>
      <c r="AI101" s="26">
        <f t="shared" si="27"/>
        <v>29.944444444444031</v>
      </c>
      <c r="AJ101" s="26">
        <f t="shared" si="27"/>
        <v>32.66666666666724</v>
      </c>
      <c r="AK101" s="26">
        <f t="shared" si="27"/>
        <v>35.388888888888062</v>
      </c>
    </row>
    <row r="102" spans="4:37" ht="20.100000000000001" customHeight="1">
      <c r="D102" s="27">
        <f t="shared" si="14"/>
        <v>0.27499999999999952</v>
      </c>
      <c r="E102" s="16">
        <f t="shared" si="29"/>
        <v>73.150000000001242</v>
      </c>
      <c r="F102" s="16">
        <f t="shared" si="29"/>
        <v>75.899999999998244</v>
      </c>
      <c r="G102" s="16">
        <f t="shared" si="29"/>
        <v>78.649999999999238</v>
      </c>
      <c r="H102" s="17">
        <f t="shared" si="29"/>
        <v>67.649999999999011</v>
      </c>
      <c r="I102" s="17">
        <f t="shared" si="29"/>
        <v>70.400000000000659</v>
      </c>
      <c r="J102" s="17">
        <f t="shared" si="29"/>
        <v>73.150000000001242</v>
      </c>
      <c r="K102" s="18">
        <f t="shared" si="29"/>
        <v>62.15000000000164</v>
      </c>
      <c r="L102" s="18">
        <f t="shared" si="29"/>
        <v>64.899999999998741</v>
      </c>
      <c r="M102" s="18">
        <f t="shared" si="29"/>
        <v>67.649999999999011</v>
      </c>
      <c r="N102" s="19">
        <f t="shared" si="29"/>
        <v>49.5</v>
      </c>
      <c r="O102" s="19">
        <f t="shared" si="29"/>
        <v>52.250000000001485</v>
      </c>
      <c r="P102" s="19">
        <f t="shared" si="29"/>
        <v>55.000000000001421</v>
      </c>
      <c r="Q102" s="20">
        <f t="shared" si="29"/>
        <v>46.749999999998614</v>
      </c>
      <c r="R102" s="20">
        <f t="shared" si="29"/>
        <v>49.5</v>
      </c>
      <c r="S102" s="20">
        <f t="shared" si="29"/>
        <v>52.250000000001485</v>
      </c>
      <c r="T102" s="21">
        <f t="shared" si="29"/>
        <v>43.999999999999403</v>
      </c>
      <c r="U102" s="21">
        <f t="shared" si="30"/>
        <v>46.749999999998614</v>
      </c>
      <c r="V102" s="21">
        <f t="shared" si="28"/>
        <v>49.5</v>
      </c>
      <c r="W102" s="22">
        <f t="shared" si="28"/>
        <v>41.249999999999893</v>
      </c>
      <c r="X102" s="22">
        <f t="shared" si="28"/>
        <v>43.999999999999403</v>
      </c>
      <c r="Y102" s="22">
        <f t="shared" si="28"/>
        <v>46.749999999998614</v>
      </c>
      <c r="Z102" s="23">
        <f t="shared" si="28"/>
        <v>38.500000000000824</v>
      </c>
      <c r="AA102" s="23">
        <f t="shared" si="28"/>
        <v>41.249999999999893</v>
      </c>
      <c r="AB102" s="23">
        <f t="shared" si="28"/>
        <v>43.999999999999403</v>
      </c>
      <c r="AC102" s="24">
        <f t="shared" si="28"/>
        <v>35.749999999999176</v>
      </c>
      <c r="AD102" s="24">
        <f t="shared" si="28"/>
        <v>38.500000000000824</v>
      </c>
      <c r="AE102" s="24">
        <f t="shared" si="28"/>
        <v>41.249999999999893</v>
      </c>
      <c r="AF102" s="25">
        <f t="shared" si="28"/>
        <v>33.000000000000576</v>
      </c>
      <c r="AG102" s="25">
        <f t="shared" si="28"/>
        <v>35.749999999999176</v>
      </c>
      <c r="AH102" s="25">
        <f t="shared" si="27"/>
        <v>38.500000000000824</v>
      </c>
      <c r="AI102" s="26">
        <f t="shared" si="27"/>
        <v>30.249999999999588</v>
      </c>
      <c r="AJ102" s="26">
        <f t="shared" si="27"/>
        <v>33.000000000000576</v>
      </c>
      <c r="AK102" s="26">
        <f t="shared" si="27"/>
        <v>35.749999999999176</v>
      </c>
    </row>
    <row r="103" spans="4:37" ht="20.100000000000001" customHeight="1">
      <c r="D103" s="27">
        <f t="shared" si="14"/>
        <v>0.27777777777777729</v>
      </c>
      <c r="E103" s="16">
        <f t="shared" si="29"/>
        <v>73.888888888890136</v>
      </c>
      <c r="F103" s="16">
        <f t="shared" si="29"/>
        <v>76.666666666664909</v>
      </c>
      <c r="G103" s="16">
        <f t="shared" si="29"/>
        <v>79.44444444444369</v>
      </c>
      <c r="H103" s="17">
        <f t="shared" si="29"/>
        <v>68.333333333332348</v>
      </c>
      <c r="I103" s="17">
        <f t="shared" si="29"/>
        <v>71.111111111111768</v>
      </c>
      <c r="J103" s="17">
        <f t="shared" si="29"/>
        <v>73.888888888890136</v>
      </c>
      <c r="K103" s="18">
        <f t="shared" si="29"/>
        <v>62.77777777777942</v>
      </c>
      <c r="L103" s="18">
        <f t="shared" si="29"/>
        <v>65.555555555554292</v>
      </c>
      <c r="M103" s="18">
        <f t="shared" si="29"/>
        <v>68.333333333332348</v>
      </c>
      <c r="N103" s="19">
        <f t="shared" si="29"/>
        <v>50</v>
      </c>
      <c r="O103" s="19">
        <f t="shared" si="29"/>
        <v>52.777777777779264</v>
      </c>
      <c r="P103" s="19">
        <f t="shared" si="29"/>
        <v>55.555555555556978</v>
      </c>
      <c r="Q103" s="20">
        <f t="shared" si="29"/>
        <v>47.222222222220836</v>
      </c>
      <c r="R103" s="20">
        <f t="shared" si="29"/>
        <v>50</v>
      </c>
      <c r="S103" s="20">
        <f t="shared" si="29"/>
        <v>52.777777777779264</v>
      </c>
      <c r="T103" s="21">
        <f t="shared" si="29"/>
        <v>44.444444444443846</v>
      </c>
      <c r="U103" s="21">
        <f t="shared" si="30"/>
        <v>47.222222222220836</v>
      </c>
      <c r="V103" s="21">
        <f t="shared" si="28"/>
        <v>50</v>
      </c>
      <c r="W103" s="22">
        <f t="shared" si="28"/>
        <v>41.666666666666558</v>
      </c>
      <c r="X103" s="22">
        <f t="shared" si="28"/>
        <v>44.444444444443846</v>
      </c>
      <c r="Y103" s="22">
        <f t="shared" si="28"/>
        <v>47.222222222220836</v>
      </c>
      <c r="Z103" s="23">
        <f t="shared" si="28"/>
        <v>38.88888888888971</v>
      </c>
      <c r="AA103" s="23">
        <f t="shared" si="28"/>
        <v>41.666666666666558</v>
      </c>
      <c r="AB103" s="23">
        <f t="shared" si="28"/>
        <v>44.444444444443846</v>
      </c>
      <c r="AC103" s="24">
        <f t="shared" si="28"/>
        <v>36.11111111111029</v>
      </c>
      <c r="AD103" s="24">
        <f t="shared" si="28"/>
        <v>38.88888888888971</v>
      </c>
      <c r="AE103" s="24">
        <f t="shared" si="28"/>
        <v>41.666666666666558</v>
      </c>
      <c r="AF103" s="25">
        <f t="shared" si="28"/>
        <v>33.333333333333911</v>
      </c>
      <c r="AG103" s="25">
        <f t="shared" si="28"/>
        <v>36.11111111111029</v>
      </c>
      <c r="AH103" s="25">
        <f t="shared" si="27"/>
        <v>38.88888888888971</v>
      </c>
      <c r="AI103" s="26">
        <f t="shared" si="27"/>
        <v>30.555555555555145</v>
      </c>
      <c r="AJ103" s="26">
        <f t="shared" si="27"/>
        <v>33.333333333333911</v>
      </c>
      <c r="AK103" s="26">
        <f t="shared" si="27"/>
        <v>36.11111111111029</v>
      </c>
    </row>
    <row r="104" spans="4:37" ht="20.100000000000001" customHeight="1">
      <c r="D104" s="27">
        <f t="shared" si="14"/>
        <v>0.28055555555555506</v>
      </c>
      <c r="E104" s="16">
        <f t="shared" si="29"/>
        <v>74.627777777779031</v>
      </c>
      <c r="F104" s="16">
        <f t="shared" si="29"/>
        <v>77.433333333331575</v>
      </c>
      <c r="G104" s="16">
        <f t="shared" si="29"/>
        <v>80.238888888888141</v>
      </c>
      <c r="H104" s="17">
        <f t="shared" si="29"/>
        <v>69.016666666665685</v>
      </c>
      <c r="I104" s="17">
        <f t="shared" si="29"/>
        <v>71.822222222222877</v>
      </c>
      <c r="J104" s="17">
        <f t="shared" si="29"/>
        <v>74.627777777779031</v>
      </c>
      <c r="K104" s="18">
        <f t="shared" si="29"/>
        <v>63.4055555555572</v>
      </c>
      <c r="L104" s="18">
        <f t="shared" si="29"/>
        <v>66.211111111109844</v>
      </c>
      <c r="M104" s="18">
        <f t="shared" si="29"/>
        <v>69.016666666665685</v>
      </c>
      <c r="N104" s="19">
        <f t="shared" si="29"/>
        <v>50.5</v>
      </c>
      <c r="O104" s="19">
        <f t="shared" si="29"/>
        <v>53.305555555557042</v>
      </c>
      <c r="P104" s="19">
        <f t="shared" si="29"/>
        <v>56.111111111112535</v>
      </c>
      <c r="Q104" s="20">
        <f t="shared" si="29"/>
        <v>47.694444444443057</v>
      </c>
      <c r="R104" s="20">
        <f t="shared" si="29"/>
        <v>50.5</v>
      </c>
      <c r="S104" s="20">
        <f t="shared" si="29"/>
        <v>53.305555555557042</v>
      </c>
      <c r="T104" s="21">
        <f t="shared" si="29"/>
        <v>44.888888888888289</v>
      </c>
      <c r="U104" s="21">
        <f t="shared" si="30"/>
        <v>47.694444444443057</v>
      </c>
      <c r="V104" s="21">
        <f t="shared" si="28"/>
        <v>50.5</v>
      </c>
      <c r="W104" s="22">
        <f t="shared" si="28"/>
        <v>42.083333333333222</v>
      </c>
      <c r="X104" s="22">
        <f t="shared" si="28"/>
        <v>44.888888888888289</v>
      </c>
      <c r="Y104" s="22">
        <f t="shared" si="28"/>
        <v>47.694444444443057</v>
      </c>
      <c r="Z104" s="23">
        <f t="shared" si="28"/>
        <v>39.277777777778596</v>
      </c>
      <c r="AA104" s="23">
        <f t="shared" si="28"/>
        <v>42.083333333333222</v>
      </c>
      <c r="AB104" s="23">
        <f t="shared" si="28"/>
        <v>44.888888888888289</v>
      </c>
      <c r="AC104" s="24">
        <f t="shared" si="28"/>
        <v>36.472222222221404</v>
      </c>
      <c r="AD104" s="24">
        <f t="shared" si="28"/>
        <v>39.277777777778596</v>
      </c>
      <c r="AE104" s="24">
        <f t="shared" si="28"/>
        <v>42.083333333333222</v>
      </c>
      <c r="AF104" s="25">
        <f t="shared" si="28"/>
        <v>33.666666666667247</v>
      </c>
      <c r="AG104" s="25">
        <f t="shared" si="28"/>
        <v>36.472222222221404</v>
      </c>
      <c r="AH104" s="25">
        <f t="shared" si="28"/>
        <v>39.277777777778596</v>
      </c>
      <c r="AI104" s="26">
        <f t="shared" si="28"/>
        <v>30.861111111110702</v>
      </c>
      <c r="AJ104" s="26">
        <f t="shared" si="28"/>
        <v>33.666666666667247</v>
      </c>
      <c r="AK104" s="26">
        <f t="shared" si="27"/>
        <v>36.472222222221404</v>
      </c>
    </row>
    <row r="105" spans="4:37" ht="20.100000000000001" customHeight="1">
      <c r="D105" s="27">
        <f t="shared" si="14"/>
        <v>0.28333333333333283</v>
      </c>
      <c r="E105" s="16">
        <f t="shared" si="29"/>
        <v>75.366666666667925</v>
      </c>
      <c r="F105" s="16">
        <f t="shared" si="29"/>
        <v>78.199999999998241</v>
      </c>
      <c r="G105" s="16">
        <f t="shared" si="29"/>
        <v>81.033333333332592</v>
      </c>
      <c r="H105" s="17">
        <f t="shared" si="29"/>
        <v>69.699999999999022</v>
      </c>
      <c r="I105" s="17">
        <f t="shared" si="29"/>
        <v>72.533333333333985</v>
      </c>
      <c r="J105" s="17">
        <f t="shared" si="29"/>
        <v>75.366666666667925</v>
      </c>
      <c r="K105" s="18">
        <f t="shared" si="29"/>
        <v>64.03333333333498</v>
      </c>
      <c r="L105" s="18">
        <f t="shared" si="29"/>
        <v>66.866666666665395</v>
      </c>
      <c r="M105" s="18">
        <f t="shared" si="29"/>
        <v>69.699999999999022</v>
      </c>
      <c r="N105" s="19">
        <f t="shared" si="29"/>
        <v>51</v>
      </c>
      <c r="O105" s="19">
        <f t="shared" si="29"/>
        <v>53.833333333334821</v>
      </c>
      <c r="P105" s="19">
        <f t="shared" si="29"/>
        <v>56.666666666668092</v>
      </c>
      <c r="Q105" s="20">
        <f t="shared" si="29"/>
        <v>48.166666666665279</v>
      </c>
      <c r="R105" s="20">
        <f t="shared" si="29"/>
        <v>51</v>
      </c>
      <c r="S105" s="20">
        <f t="shared" si="29"/>
        <v>53.833333333334821</v>
      </c>
      <c r="T105" s="21">
        <f t="shared" si="29"/>
        <v>45.333333333332732</v>
      </c>
      <c r="U105" s="21">
        <f t="shared" si="30"/>
        <v>48.166666666665279</v>
      </c>
      <c r="V105" s="21">
        <f t="shared" si="28"/>
        <v>51</v>
      </c>
      <c r="W105" s="22">
        <f t="shared" si="28"/>
        <v>42.499999999999886</v>
      </c>
      <c r="X105" s="22">
        <f t="shared" si="28"/>
        <v>45.333333333332732</v>
      </c>
      <c r="Y105" s="22">
        <f t="shared" si="28"/>
        <v>48.166666666665279</v>
      </c>
      <c r="Z105" s="23">
        <f t="shared" si="28"/>
        <v>39.666666666667481</v>
      </c>
      <c r="AA105" s="23">
        <f t="shared" si="28"/>
        <v>42.499999999999886</v>
      </c>
      <c r="AB105" s="23">
        <f t="shared" si="28"/>
        <v>45.333333333332732</v>
      </c>
      <c r="AC105" s="24">
        <f t="shared" si="28"/>
        <v>36.833333333332519</v>
      </c>
      <c r="AD105" s="24">
        <f t="shared" si="28"/>
        <v>39.666666666667481</v>
      </c>
      <c r="AE105" s="24">
        <f t="shared" si="28"/>
        <v>42.499999999999886</v>
      </c>
      <c r="AF105" s="25">
        <f t="shared" si="28"/>
        <v>34.000000000000583</v>
      </c>
      <c r="AG105" s="25">
        <f t="shared" si="28"/>
        <v>36.833333333332519</v>
      </c>
      <c r="AH105" s="25">
        <f t="shared" si="28"/>
        <v>39.666666666667481</v>
      </c>
      <c r="AI105" s="26">
        <f t="shared" si="28"/>
        <v>31.166666666666259</v>
      </c>
      <c r="AJ105" s="26">
        <f t="shared" si="28"/>
        <v>34.000000000000583</v>
      </c>
      <c r="AK105" s="26">
        <f t="shared" si="27"/>
        <v>36.833333333332519</v>
      </c>
    </row>
    <row r="106" spans="4:37" ht="20.100000000000001" customHeight="1">
      <c r="D106" s="27">
        <f t="shared" si="14"/>
        <v>0.28611111111111059</v>
      </c>
      <c r="E106" s="16">
        <f t="shared" si="29"/>
        <v>76.105555555556819</v>
      </c>
      <c r="F106" s="16">
        <f t="shared" si="29"/>
        <v>78.966666666664906</v>
      </c>
      <c r="G106" s="16">
        <f t="shared" si="29"/>
        <v>81.827777777777044</v>
      </c>
      <c r="H106" s="17">
        <f t="shared" si="29"/>
        <v>70.383333333332359</v>
      </c>
      <c r="I106" s="17">
        <f t="shared" si="29"/>
        <v>73.244444444445094</v>
      </c>
      <c r="J106" s="17">
        <f t="shared" si="29"/>
        <v>76.105555555556819</v>
      </c>
      <c r="K106" s="18">
        <f t="shared" si="29"/>
        <v>64.66111111111276</v>
      </c>
      <c r="L106" s="18">
        <f t="shared" si="29"/>
        <v>67.522222222220947</v>
      </c>
      <c r="M106" s="18">
        <f t="shared" si="29"/>
        <v>70.383333333332359</v>
      </c>
      <c r="N106" s="19">
        <f t="shared" si="29"/>
        <v>51.5</v>
      </c>
      <c r="O106" s="19">
        <f t="shared" si="29"/>
        <v>54.361111111112599</v>
      </c>
      <c r="P106" s="19">
        <f t="shared" si="29"/>
        <v>57.22222222222365</v>
      </c>
      <c r="Q106" s="20">
        <f t="shared" si="29"/>
        <v>48.6388888888875</v>
      </c>
      <c r="R106" s="20">
        <f t="shared" si="29"/>
        <v>51.5</v>
      </c>
      <c r="S106" s="20">
        <f t="shared" si="29"/>
        <v>54.361111111112599</v>
      </c>
      <c r="T106" s="21">
        <f t="shared" si="29"/>
        <v>45.777777777777175</v>
      </c>
      <c r="U106" s="21">
        <f t="shared" si="30"/>
        <v>48.6388888888875</v>
      </c>
      <c r="V106" s="21">
        <f t="shared" si="28"/>
        <v>51.5</v>
      </c>
      <c r="W106" s="22">
        <f t="shared" si="28"/>
        <v>42.916666666666551</v>
      </c>
      <c r="X106" s="22">
        <f t="shared" si="28"/>
        <v>45.777777777777175</v>
      </c>
      <c r="Y106" s="22">
        <f t="shared" si="28"/>
        <v>48.6388888888875</v>
      </c>
      <c r="Z106" s="23">
        <f t="shared" si="28"/>
        <v>40.055555555556367</v>
      </c>
      <c r="AA106" s="23">
        <f t="shared" si="28"/>
        <v>42.916666666666551</v>
      </c>
      <c r="AB106" s="23">
        <f t="shared" si="28"/>
        <v>45.777777777777175</v>
      </c>
      <c r="AC106" s="24">
        <f t="shared" si="28"/>
        <v>37.194444444443633</v>
      </c>
      <c r="AD106" s="24">
        <f t="shared" si="28"/>
        <v>40.055555555556367</v>
      </c>
      <c r="AE106" s="24">
        <f t="shared" si="28"/>
        <v>42.916666666666551</v>
      </c>
      <c r="AF106" s="25">
        <f t="shared" si="28"/>
        <v>34.333333333333918</v>
      </c>
      <c r="AG106" s="25">
        <f t="shared" si="28"/>
        <v>37.194444444443633</v>
      </c>
      <c r="AH106" s="25">
        <f t="shared" si="28"/>
        <v>40.055555555556367</v>
      </c>
      <c r="AI106" s="26">
        <f t="shared" si="28"/>
        <v>31.472222222221816</v>
      </c>
      <c r="AJ106" s="26">
        <f t="shared" si="28"/>
        <v>34.333333333333918</v>
      </c>
      <c r="AK106" s="26">
        <f t="shared" si="27"/>
        <v>37.194444444443633</v>
      </c>
    </row>
    <row r="107" spans="4:37" ht="20.100000000000001" customHeight="1">
      <c r="D107" s="27">
        <f t="shared" si="14"/>
        <v>0.28888888888888836</v>
      </c>
      <c r="E107" s="16">
        <f t="shared" si="29"/>
        <v>76.844444444445713</v>
      </c>
      <c r="F107" s="16">
        <f t="shared" si="29"/>
        <v>79.733333333331572</v>
      </c>
      <c r="G107" s="16">
        <f t="shared" si="29"/>
        <v>82.622222222221495</v>
      </c>
      <c r="H107" s="17">
        <f t="shared" si="29"/>
        <v>71.066666666665697</v>
      </c>
      <c r="I107" s="17">
        <f t="shared" si="29"/>
        <v>73.955555555556202</v>
      </c>
      <c r="J107" s="17">
        <f t="shared" si="29"/>
        <v>76.844444444445713</v>
      </c>
      <c r="K107" s="18">
        <f t="shared" si="29"/>
        <v>65.28888888889054</v>
      </c>
      <c r="L107" s="18">
        <f t="shared" si="29"/>
        <v>68.177777777776498</v>
      </c>
      <c r="M107" s="18">
        <f t="shared" si="29"/>
        <v>71.066666666665697</v>
      </c>
      <c r="N107" s="19">
        <f t="shared" si="29"/>
        <v>52</v>
      </c>
      <c r="O107" s="19">
        <f t="shared" si="29"/>
        <v>54.888888888890378</v>
      </c>
      <c r="P107" s="19">
        <f t="shared" si="29"/>
        <v>57.777777777779207</v>
      </c>
      <c r="Q107" s="20">
        <f t="shared" si="29"/>
        <v>49.111111111109722</v>
      </c>
      <c r="R107" s="20">
        <f t="shared" si="29"/>
        <v>52</v>
      </c>
      <c r="S107" s="20">
        <f t="shared" si="29"/>
        <v>54.888888888890378</v>
      </c>
      <c r="T107" s="21">
        <f t="shared" si="29"/>
        <v>46.222222222221617</v>
      </c>
      <c r="U107" s="21">
        <f t="shared" si="30"/>
        <v>49.111111111109722</v>
      </c>
      <c r="V107" s="21">
        <f t="shared" ref="V107:AD111" si="31">V108-(V$363/360)</f>
        <v>52</v>
      </c>
      <c r="W107" s="22">
        <f t="shared" si="31"/>
        <v>43.333333333333215</v>
      </c>
      <c r="X107" s="22">
        <f t="shared" si="31"/>
        <v>46.222222222221617</v>
      </c>
      <c r="Y107" s="22">
        <f t="shared" si="31"/>
        <v>49.111111111109722</v>
      </c>
      <c r="Z107" s="23">
        <f t="shared" si="31"/>
        <v>40.444444444445253</v>
      </c>
      <c r="AA107" s="23">
        <f t="shared" si="31"/>
        <v>43.333333333333215</v>
      </c>
      <c r="AB107" s="23">
        <f t="shared" si="31"/>
        <v>46.222222222221617</v>
      </c>
      <c r="AC107" s="24">
        <f t="shared" si="31"/>
        <v>37.555555555554747</v>
      </c>
      <c r="AD107" s="24">
        <f t="shared" si="31"/>
        <v>40.444444444445253</v>
      </c>
      <c r="AE107" s="24">
        <f t="shared" si="27"/>
        <v>43.333333333333215</v>
      </c>
      <c r="AF107" s="25">
        <f t="shared" si="27"/>
        <v>34.666666666667254</v>
      </c>
      <c r="AG107" s="25">
        <f t="shared" si="27"/>
        <v>37.555555555554747</v>
      </c>
      <c r="AH107" s="25">
        <f t="shared" si="27"/>
        <v>40.444444444445253</v>
      </c>
      <c r="AI107" s="26">
        <f t="shared" si="27"/>
        <v>31.777777777777374</v>
      </c>
      <c r="AJ107" s="26">
        <f t="shared" si="27"/>
        <v>34.666666666667254</v>
      </c>
      <c r="AK107" s="26">
        <f t="shared" si="27"/>
        <v>37.555555555554747</v>
      </c>
    </row>
    <row r="108" spans="4:37" ht="20.100000000000001" customHeight="1">
      <c r="D108" s="27">
        <f t="shared" si="14"/>
        <v>0.29166666666666613</v>
      </c>
      <c r="E108" s="16">
        <f t="shared" si="29"/>
        <v>77.583333333334608</v>
      </c>
      <c r="F108" s="16">
        <f t="shared" si="29"/>
        <v>80.499999999998238</v>
      </c>
      <c r="G108" s="16">
        <f t="shared" si="29"/>
        <v>83.416666666665947</v>
      </c>
      <c r="H108" s="17">
        <f t="shared" si="29"/>
        <v>71.749999999999034</v>
      </c>
      <c r="I108" s="17">
        <f t="shared" si="29"/>
        <v>74.666666666667311</v>
      </c>
      <c r="J108" s="17">
        <f t="shared" si="29"/>
        <v>77.583333333334608</v>
      </c>
      <c r="K108" s="18">
        <f t="shared" si="29"/>
        <v>65.91666666666832</v>
      </c>
      <c r="L108" s="18">
        <f t="shared" si="29"/>
        <v>68.83333333333205</v>
      </c>
      <c r="M108" s="18">
        <f t="shared" si="29"/>
        <v>71.749999999999034</v>
      </c>
      <c r="N108" s="19">
        <f t="shared" si="29"/>
        <v>52.5</v>
      </c>
      <c r="O108" s="19">
        <f t="shared" si="29"/>
        <v>55.416666666668156</v>
      </c>
      <c r="P108" s="19">
        <f t="shared" si="29"/>
        <v>58.333333333334764</v>
      </c>
      <c r="Q108" s="20">
        <f t="shared" si="29"/>
        <v>49.583333333331943</v>
      </c>
      <c r="R108" s="20">
        <f t="shared" si="29"/>
        <v>52.5</v>
      </c>
      <c r="S108" s="20">
        <f t="shared" si="29"/>
        <v>55.416666666668156</v>
      </c>
      <c r="T108" s="21">
        <f t="shared" si="29"/>
        <v>46.66666666666606</v>
      </c>
      <c r="U108" s="21">
        <f t="shared" si="30"/>
        <v>49.583333333331943</v>
      </c>
      <c r="V108" s="21">
        <f t="shared" si="31"/>
        <v>52.5</v>
      </c>
      <c r="W108" s="22">
        <f t="shared" si="31"/>
        <v>43.749999999999879</v>
      </c>
      <c r="X108" s="22">
        <f t="shared" si="31"/>
        <v>46.66666666666606</v>
      </c>
      <c r="Y108" s="22">
        <f t="shared" si="31"/>
        <v>49.583333333331943</v>
      </c>
      <c r="Z108" s="23">
        <f t="shared" si="31"/>
        <v>40.833333333334139</v>
      </c>
      <c r="AA108" s="23">
        <f t="shared" si="31"/>
        <v>43.749999999999879</v>
      </c>
      <c r="AB108" s="23">
        <f t="shared" si="31"/>
        <v>46.66666666666606</v>
      </c>
      <c r="AC108" s="24">
        <f t="shared" si="31"/>
        <v>37.916666666665861</v>
      </c>
      <c r="AD108" s="24">
        <f t="shared" si="31"/>
        <v>40.833333333334139</v>
      </c>
      <c r="AE108" s="24">
        <f t="shared" si="27"/>
        <v>43.749999999999879</v>
      </c>
      <c r="AF108" s="25">
        <f t="shared" si="27"/>
        <v>35.00000000000059</v>
      </c>
      <c r="AG108" s="25">
        <f t="shared" si="27"/>
        <v>37.916666666665861</v>
      </c>
      <c r="AH108" s="25">
        <f t="shared" si="27"/>
        <v>40.833333333334139</v>
      </c>
      <c r="AI108" s="26">
        <f t="shared" si="27"/>
        <v>32.083333333332931</v>
      </c>
      <c r="AJ108" s="26">
        <f t="shared" si="27"/>
        <v>35.00000000000059</v>
      </c>
      <c r="AK108" s="26">
        <f t="shared" si="27"/>
        <v>37.916666666665861</v>
      </c>
    </row>
    <row r="109" spans="4:37" ht="20.100000000000001" customHeight="1">
      <c r="D109" s="27">
        <f t="shared" si="14"/>
        <v>0.2944444444444439</v>
      </c>
      <c r="E109" s="16">
        <f t="shared" si="29"/>
        <v>78.322222222223502</v>
      </c>
      <c r="F109" s="16">
        <f t="shared" si="29"/>
        <v>81.266666666664904</v>
      </c>
      <c r="G109" s="16">
        <f t="shared" si="29"/>
        <v>84.211111111110398</v>
      </c>
      <c r="H109" s="17">
        <f t="shared" si="29"/>
        <v>72.433333333332371</v>
      </c>
      <c r="I109" s="17">
        <f t="shared" si="29"/>
        <v>75.377777777778419</v>
      </c>
      <c r="J109" s="17">
        <f t="shared" si="29"/>
        <v>78.322222222223502</v>
      </c>
      <c r="K109" s="18">
        <f t="shared" si="29"/>
        <v>66.5444444444461</v>
      </c>
      <c r="L109" s="18">
        <f t="shared" si="29"/>
        <v>69.488888888887601</v>
      </c>
      <c r="M109" s="18">
        <f t="shared" si="29"/>
        <v>72.433333333332371</v>
      </c>
      <c r="N109" s="19">
        <f t="shared" si="29"/>
        <v>53</v>
      </c>
      <c r="O109" s="19">
        <f t="shared" si="29"/>
        <v>55.944444444445935</v>
      </c>
      <c r="P109" s="19">
        <f t="shared" si="29"/>
        <v>58.888888888890321</v>
      </c>
      <c r="Q109" s="20">
        <f t="shared" si="29"/>
        <v>50.055555555554164</v>
      </c>
      <c r="R109" s="20">
        <f t="shared" si="29"/>
        <v>53</v>
      </c>
      <c r="S109" s="20">
        <f t="shared" si="29"/>
        <v>55.944444444445935</v>
      </c>
      <c r="T109" s="21">
        <f t="shared" si="29"/>
        <v>47.111111111110503</v>
      </c>
      <c r="U109" s="21">
        <f t="shared" si="30"/>
        <v>50.055555555554164</v>
      </c>
      <c r="V109" s="21">
        <f t="shared" si="31"/>
        <v>53</v>
      </c>
      <c r="W109" s="22">
        <f t="shared" si="31"/>
        <v>44.166666666666544</v>
      </c>
      <c r="X109" s="22">
        <f t="shared" si="31"/>
        <v>47.111111111110503</v>
      </c>
      <c r="Y109" s="22">
        <f t="shared" si="31"/>
        <v>50.055555555554164</v>
      </c>
      <c r="Z109" s="23">
        <f t="shared" si="31"/>
        <v>41.222222222223024</v>
      </c>
      <c r="AA109" s="23">
        <f t="shared" si="31"/>
        <v>44.166666666666544</v>
      </c>
      <c r="AB109" s="23">
        <f t="shared" si="31"/>
        <v>47.111111111110503</v>
      </c>
      <c r="AC109" s="24">
        <f t="shared" si="31"/>
        <v>38.277777777776976</v>
      </c>
      <c r="AD109" s="24">
        <f t="shared" si="31"/>
        <v>41.222222222223024</v>
      </c>
      <c r="AE109" s="24">
        <f t="shared" si="27"/>
        <v>44.166666666666544</v>
      </c>
      <c r="AF109" s="25">
        <f t="shared" si="27"/>
        <v>35.333333333333925</v>
      </c>
      <c r="AG109" s="25">
        <f t="shared" si="27"/>
        <v>38.277777777776976</v>
      </c>
      <c r="AH109" s="25">
        <f t="shared" si="27"/>
        <v>41.222222222223024</v>
      </c>
      <c r="AI109" s="26">
        <f t="shared" si="27"/>
        <v>32.388888888888488</v>
      </c>
      <c r="AJ109" s="26">
        <f t="shared" si="27"/>
        <v>35.333333333333925</v>
      </c>
      <c r="AK109" s="26">
        <f t="shared" si="27"/>
        <v>38.277777777776976</v>
      </c>
    </row>
    <row r="110" spans="4:37" ht="20.100000000000001" customHeight="1">
      <c r="D110" s="27">
        <f t="shared" si="14"/>
        <v>0.29722222222222167</v>
      </c>
      <c r="E110" s="16">
        <f t="shared" si="29"/>
        <v>79.061111111112396</v>
      </c>
      <c r="F110" s="16">
        <f t="shared" si="29"/>
        <v>82.033333333331569</v>
      </c>
      <c r="G110" s="16">
        <f t="shared" si="29"/>
        <v>85.005555555554849</v>
      </c>
      <c r="H110" s="17">
        <f t="shared" si="29"/>
        <v>73.116666666665708</v>
      </c>
      <c r="I110" s="17">
        <f t="shared" si="29"/>
        <v>76.088888888889528</v>
      </c>
      <c r="J110" s="17">
        <f t="shared" si="29"/>
        <v>79.061111111112396</v>
      </c>
      <c r="K110" s="18">
        <f t="shared" si="29"/>
        <v>67.17222222222388</v>
      </c>
      <c r="L110" s="18">
        <f t="shared" si="29"/>
        <v>70.144444444443153</v>
      </c>
      <c r="M110" s="18">
        <f t="shared" si="29"/>
        <v>73.116666666665708</v>
      </c>
      <c r="N110" s="19">
        <f t="shared" si="29"/>
        <v>53.5</v>
      </c>
      <c r="O110" s="19">
        <f t="shared" si="29"/>
        <v>56.472222222223714</v>
      </c>
      <c r="P110" s="19">
        <f t="shared" si="29"/>
        <v>59.444444444445878</v>
      </c>
      <c r="Q110" s="20">
        <f t="shared" si="29"/>
        <v>50.527777777776386</v>
      </c>
      <c r="R110" s="20">
        <f t="shared" si="29"/>
        <v>53.5</v>
      </c>
      <c r="S110" s="20">
        <f t="shared" si="29"/>
        <v>56.472222222223714</v>
      </c>
      <c r="T110" s="21">
        <f t="shared" si="29"/>
        <v>47.555555555554946</v>
      </c>
      <c r="U110" s="21">
        <f t="shared" si="30"/>
        <v>50.527777777776386</v>
      </c>
      <c r="V110" s="21">
        <f t="shared" si="31"/>
        <v>53.5</v>
      </c>
      <c r="W110" s="22">
        <f t="shared" si="31"/>
        <v>44.583333333333208</v>
      </c>
      <c r="X110" s="22">
        <f t="shared" si="31"/>
        <v>47.555555555554946</v>
      </c>
      <c r="Y110" s="22">
        <f t="shared" si="31"/>
        <v>50.527777777776386</v>
      </c>
      <c r="Z110" s="23">
        <f t="shared" si="31"/>
        <v>41.61111111111191</v>
      </c>
      <c r="AA110" s="23">
        <f t="shared" si="31"/>
        <v>44.583333333333208</v>
      </c>
      <c r="AB110" s="23">
        <f t="shared" si="31"/>
        <v>47.555555555554946</v>
      </c>
      <c r="AC110" s="24">
        <f t="shared" si="31"/>
        <v>38.63888888888809</v>
      </c>
      <c r="AD110" s="24">
        <f t="shared" si="31"/>
        <v>41.61111111111191</v>
      </c>
      <c r="AE110" s="24">
        <f t="shared" si="27"/>
        <v>44.583333333333208</v>
      </c>
      <c r="AF110" s="25">
        <f t="shared" si="27"/>
        <v>35.666666666667261</v>
      </c>
      <c r="AG110" s="25">
        <f t="shared" si="27"/>
        <v>38.63888888888809</v>
      </c>
      <c r="AH110" s="25">
        <f t="shared" si="27"/>
        <v>41.61111111111191</v>
      </c>
      <c r="AI110" s="26">
        <f t="shared" si="27"/>
        <v>32.694444444444045</v>
      </c>
      <c r="AJ110" s="26">
        <f t="shared" si="27"/>
        <v>35.666666666667261</v>
      </c>
      <c r="AK110" s="26">
        <f t="shared" si="27"/>
        <v>38.63888888888809</v>
      </c>
    </row>
    <row r="111" spans="4:37" ht="20.100000000000001" customHeight="1">
      <c r="D111" s="27">
        <f t="shared" si="14"/>
        <v>0.29999999999999943</v>
      </c>
      <c r="E111" s="16">
        <f t="shared" si="29"/>
        <v>79.80000000000129</v>
      </c>
      <c r="F111" s="16">
        <f t="shared" si="29"/>
        <v>82.799999999998235</v>
      </c>
      <c r="G111" s="16">
        <f t="shared" si="29"/>
        <v>85.799999999999301</v>
      </c>
      <c r="H111" s="17">
        <f t="shared" si="29"/>
        <v>73.799999999999045</v>
      </c>
      <c r="I111" s="17">
        <f t="shared" si="29"/>
        <v>76.800000000000637</v>
      </c>
      <c r="J111" s="17">
        <f t="shared" si="29"/>
        <v>79.80000000000129</v>
      </c>
      <c r="K111" s="18">
        <f t="shared" si="29"/>
        <v>67.80000000000166</v>
      </c>
      <c r="L111" s="18">
        <f t="shared" si="29"/>
        <v>70.799999999998704</v>
      </c>
      <c r="M111" s="18">
        <f t="shared" si="29"/>
        <v>73.799999999999045</v>
      </c>
      <c r="N111" s="19">
        <f t="shared" si="29"/>
        <v>54</v>
      </c>
      <c r="O111" s="19">
        <f t="shared" si="29"/>
        <v>57.000000000001492</v>
      </c>
      <c r="P111" s="19">
        <f t="shared" si="29"/>
        <v>60.000000000001435</v>
      </c>
      <c r="Q111" s="20">
        <f t="shared" si="29"/>
        <v>50.999999999998607</v>
      </c>
      <c r="R111" s="20">
        <f t="shared" si="29"/>
        <v>54</v>
      </c>
      <c r="S111" s="20">
        <f t="shared" si="29"/>
        <v>57.000000000001492</v>
      </c>
      <c r="T111" s="21">
        <f t="shared" si="29"/>
        <v>47.999999999999389</v>
      </c>
      <c r="U111" s="21">
        <f t="shared" si="30"/>
        <v>50.999999999998607</v>
      </c>
      <c r="V111" s="21">
        <f t="shared" si="31"/>
        <v>54</v>
      </c>
      <c r="W111" s="22">
        <f t="shared" si="31"/>
        <v>44.999999999999872</v>
      </c>
      <c r="X111" s="22">
        <f t="shared" si="31"/>
        <v>47.999999999999389</v>
      </c>
      <c r="Y111" s="22">
        <f t="shared" si="31"/>
        <v>50.999999999998607</v>
      </c>
      <c r="Z111" s="23">
        <f t="shared" si="31"/>
        <v>42.000000000000796</v>
      </c>
      <c r="AA111" s="23">
        <f t="shared" si="31"/>
        <v>44.999999999999872</v>
      </c>
      <c r="AB111" s="23">
        <f t="shared" si="31"/>
        <v>47.999999999999389</v>
      </c>
      <c r="AC111" s="24">
        <f t="shared" si="31"/>
        <v>38.999999999999204</v>
      </c>
      <c r="AD111" s="24">
        <f t="shared" si="31"/>
        <v>42.000000000000796</v>
      </c>
      <c r="AE111" s="24">
        <f t="shared" si="27"/>
        <v>44.999999999999872</v>
      </c>
      <c r="AF111" s="25">
        <f t="shared" si="27"/>
        <v>36.000000000000597</v>
      </c>
      <c r="AG111" s="25">
        <f t="shared" si="27"/>
        <v>38.999999999999204</v>
      </c>
      <c r="AH111" s="25">
        <f t="shared" si="27"/>
        <v>42.000000000000796</v>
      </c>
      <c r="AI111" s="26">
        <f t="shared" si="27"/>
        <v>32.999999999999602</v>
      </c>
      <c r="AJ111" s="26">
        <f t="shared" si="27"/>
        <v>36.000000000000597</v>
      </c>
      <c r="AK111" s="26">
        <f t="shared" si="27"/>
        <v>38.999999999999204</v>
      </c>
    </row>
    <row r="112" spans="4:37" ht="20.100000000000001" customHeight="1">
      <c r="D112" s="27">
        <f t="shared" si="14"/>
        <v>0.3027777777777772</v>
      </c>
      <c r="E112" s="16">
        <f t="shared" si="29"/>
        <v>80.538888888890185</v>
      </c>
      <c r="F112" s="16">
        <f t="shared" si="29"/>
        <v>83.566666666664901</v>
      </c>
      <c r="G112" s="16">
        <f t="shared" si="29"/>
        <v>86.594444444443752</v>
      </c>
      <c r="H112" s="17">
        <f t="shared" si="29"/>
        <v>74.483333333332382</v>
      </c>
      <c r="I112" s="17">
        <f t="shared" si="29"/>
        <v>77.511111111111745</v>
      </c>
      <c r="J112" s="17">
        <f t="shared" si="29"/>
        <v>80.538888888890185</v>
      </c>
      <c r="K112" s="18">
        <f t="shared" si="29"/>
        <v>68.42777777777944</v>
      </c>
      <c r="L112" s="18">
        <f t="shared" si="29"/>
        <v>71.455555555554255</v>
      </c>
      <c r="M112" s="18">
        <f t="shared" si="29"/>
        <v>74.483333333332382</v>
      </c>
      <c r="N112" s="19">
        <f t="shared" si="29"/>
        <v>54.5</v>
      </c>
      <c r="O112" s="19">
        <f t="shared" si="29"/>
        <v>57.527777777779271</v>
      </c>
      <c r="P112" s="19">
        <f t="shared" si="29"/>
        <v>60.555555555556992</v>
      </c>
      <c r="Q112" s="20">
        <f t="shared" si="29"/>
        <v>51.472222222220829</v>
      </c>
      <c r="R112" s="20">
        <f t="shared" si="29"/>
        <v>54.5</v>
      </c>
      <c r="S112" s="20">
        <f t="shared" si="29"/>
        <v>57.527777777779271</v>
      </c>
      <c r="T112" s="21">
        <f t="shared" ref="T112:AI130" si="32">T113-(T$363/360)</f>
        <v>48.444444444443832</v>
      </c>
      <c r="U112" s="21">
        <f t="shared" si="32"/>
        <v>51.472222222220829</v>
      </c>
      <c r="V112" s="21">
        <f t="shared" si="32"/>
        <v>54.5</v>
      </c>
      <c r="W112" s="22">
        <f t="shared" si="32"/>
        <v>45.416666666666536</v>
      </c>
      <c r="X112" s="22">
        <f t="shared" si="32"/>
        <v>48.444444444443832</v>
      </c>
      <c r="Y112" s="22">
        <f t="shared" si="32"/>
        <v>51.472222222220829</v>
      </c>
      <c r="Z112" s="23">
        <f t="shared" si="32"/>
        <v>42.388888888889682</v>
      </c>
      <c r="AA112" s="23">
        <f t="shared" si="32"/>
        <v>45.416666666666536</v>
      </c>
      <c r="AB112" s="23">
        <f t="shared" si="32"/>
        <v>48.444444444443832</v>
      </c>
      <c r="AC112" s="24">
        <f t="shared" si="32"/>
        <v>39.361111111110318</v>
      </c>
      <c r="AD112" s="24">
        <f t="shared" si="32"/>
        <v>42.388888888889682</v>
      </c>
      <c r="AE112" s="24">
        <f t="shared" si="27"/>
        <v>45.416666666666536</v>
      </c>
      <c r="AF112" s="25">
        <f t="shared" si="27"/>
        <v>36.333333333333933</v>
      </c>
      <c r="AG112" s="25">
        <f t="shared" si="27"/>
        <v>39.361111111110318</v>
      </c>
      <c r="AH112" s="25">
        <f t="shared" si="27"/>
        <v>42.388888888889682</v>
      </c>
      <c r="AI112" s="26">
        <f t="shared" si="27"/>
        <v>33.305555555555159</v>
      </c>
      <c r="AJ112" s="26">
        <f t="shared" si="27"/>
        <v>36.333333333333933</v>
      </c>
      <c r="AK112" s="26">
        <f t="shared" si="27"/>
        <v>39.361111111110318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81.277777777779079</v>
      </c>
      <c r="F113" s="16">
        <f t="shared" si="33"/>
        <v>84.333333333331566</v>
      </c>
      <c r="G113" s="16">
        <f t="shared" si="33"/>
        <v>87.388888888888204</v>
      </c>
      <c r="H113" s="17">
        <f t="shared" si="33"/>
        <v>75.166666666665719</v>
      </c>
      <c r="I113" s="17">
        <f t="shared" si="33"/>
        <v>78.222222222222854</v>
      </c>
      <c r="J113" s="17">
        <f t="shared" si="33"/>
        <v>81.277777777779079</v>
      </c>
      <c r="K113" s="18">
        <f t="shared" si="33"/>
        <v>69.05555555555722</v>
      </c>
      <c r="L113" s="18">
        <f t="shared" si="33"/>
        <v>72.111111111109807</v>
      </c>
      <c r="M113" s="18">
        <f t="shared" si="33"/>
        <v>75.166666666665719</v>
      </c>
      <c r="N113" s="19">
        <f t="shared" si="33"/>
        <v>55</v>
      </c>
      <c r="O113" s="19">
        <f t="shared" si="33"/>
        <v>58.055555555557049</v>
      </c>
      <c r="P113" s="19">
        <f t="shared" si="33"/>
        <v>61.11111111111255</v>
      </c>
      <c r="Q113" s="20">
        <f t="shared" si="33"/>
        <v>51.94444444444305</v>
      </c>
      <c r="R113" s="20">
        <f t="shared" si="33"/>
        <v>55</v>
      </c>
      <c r="S113" s="20">
        <f t="shared" si="33"/>
        <v>58.055555555557049</v>
      </c>
      <c r="T113" s="21">
        <f t="shared" si="33"/>
        <v>48.888888888888275</v>
      </c>
      <c r="U113" s="21">
        <f t="shared" si="32"/>
        <v>51.94444444444305</v>
      </c>
      <c r="V113" s="21">
        <f t="shared" si="32"/>
        <v>55</v>
      </c>
      <c r="W113" s="22">
        <f t="shared" si="32"/>
        <v>45.833333333333201</v>
      </c>
      <c r="X113" s="22">
        <f t="shared" si="32"/>
        <v>48.888888888888275</v>
      </c>
      <c r="Y113" s="22">
        <f t="shared" si="32"/>
        <v>51.94444444444305</v>
      </c>
      <c r="Z113" s="23">
        <f t="shared" si="32"/>
        <v>42.777777777778567</v>
      </c>
      <c r="AA113" s="23">
        <f t="shared" si="32"/>
        <v>45.833333333333201</v>
      </c>
      <c r="AB113" s="23">
        <f t="shared" si="32"/>
        <v>48.888888888888275</v>
      </c>
      <c r="AC113" s="24">
        <f t="shared" si="32"/>
        <v>39.722222222221433</v>
      </c>
      <c r="AD113" s="24">
        <f t="shared" si="32"/>
        <v>42.777777777778567</v>
      </c>
      <c r="AE113" s="24">
        <f t="shared" si="27"/>
        <v>45.833333333333201</v>
      </c>
      <c r="AF113" s="25">
        <f t="shared" si="27"/>
        <v>36.666666666667268</v>
      </c>
      <c r="AG113" s="25">
        <f t="shared" si="27"/>
        <v>39.722222222221433</v>
      </c>
      <c r="AH113" s="25">
        <f t="shared" si="27"/>
        <v>42.777777777778567</v>
      </c>
      <c r="AI113" s="26">
        <f t="shared" si="27"/>
        <v>33.611111111110716</v>
      </c>
      <c r="AJ113" s="26">
        <f t="shared" si="27"/>
        <v>36.666666666667268</v>
      </c>
      <c r="AK113" s="26">
        <f t="shared" si="27"/>
        <v>39.722222222221433</v>
      </c>
    </row>
    <row r="114" spans="4:37" ht="20.100000000000001" customHeight="1">
      <c r="D114" s="27">
        <f t="shared" si="14"/>
        <v>0.30833333333333274</v>
      </c>
      <c r="E114" s="16">
        <f t="shared" si="33"/>
        <v>82.016666666667973</v>
      </c>
      <c r="F114" s="16">
        <f t="shared" si="33"/>
        <v>85.099999999998232</v>
      </c>
      <c r="G114" s="16">
        <f t="shared" si="33"/>
        <v>88.183333333332655</v>
      </c>
      <c r="H114" s="17">
        <f t="shared" si="33"/>
        <v>75.849999999999056</v>
      </c>
      <c r="I114" s="17">
        <f t="shared" si="33"/>
        <v>78.933333333333962</v>
      </c>
      <c r="J114" s="17">
        <f t="shared" si="33"/>
        <v>82.016666666667973</v>
      </c>
      <c r="K114" s="18">
        <f t="shared" si="33"/>
        <v>69.683333333335</v>
      </c>
      <c r="L114" s="18">
        <f t="shared" si="33"/>
        <v>72.766666666665358</v>
      </c>
      <c r="M114" s="18">
        <f t="shared" si="33"/>
        <v>75.849999999999056</v>
      </c>
      <c r="N114" s="19">
        <f t="shared" si="33"/>
        <v>55.5</v>
      </c>
      <c r="O114" s="19">
        <f t="shared" si="33"/>
        <v>58.583333333334828</v>
      </c>
      <c r="P114" s="19">
        <f t="shared" si="33"/>
        <v>61.666666666668107</v>
      </c>
      <c r="Q114" s="20">
        <f t="shared" si="33"/>
        <v>52.416666666665272</v>
      </c>
      <c r="R114" s="20">
        <f t="shared" si="33"/>
        <v>55.5</v>
      </c>
      <c r="S114" s="20">
        <f t="shared" si="33"/>
        <v>58.583333333334828</v>
      </c>
      <c r="T114" s="21">
        <f t="shared" si="33"/>
        <v>49.333333333332718</v>
      </c>
      <c r="U114" s="21">
        <f t="shared" si="32"/>
        <v>52.416666666665272</v>
      </c>
      <c r="V114" s="21">
        <f t="shared" si="32"/>
        <v>55.5</v>
      </c>
      <c r="W114" s="22">
        <f t="shared" si="32"/>
        <v>46.249999999999865</v>
      </c>
      <c r="X114" s="22">
        <f t="shared" si="32"/>
        <v>49.333333333332718</v>
      </c>
      <c r="Y114" s="22">
        <f t="shared" si="32"/>
        <v>52.416666666665272</v>
      </c>
      <c r="Z114" s="23">
        <f t="shared" si="32"/>
        <v>43.166666666667453</v>
      </c>
      <c r="AA114" s="23">
        <f t="shared" si="32"/>
        <v>46.249999999999865</v>
      </c>
      <c r="AB114" s="23">
        <f t="shared" si="32"/>
        <v>49.333333333332718</v>
      </c>
      <c r="AC114" s="24">
        <f t="shared" si="32"/>
        <v>40.083333333332547</v>
      </c>
      <c r="AD114" s="24">
        <f t="shared" si="32"/>
        <v>43.166666666667453</v>
      </c>
      <c r="AE114" s="24">
        <f t="shared" si="27"/>
        <v>46.249999999999865</v>
      </c>
      <c r="AF114" s="25">
        <f t="shared" si="27"/>
        <v>37.000000000000604</v>
      </c>
      <c r="AG114" s="25">
        <f t="shared" si="27"/>
        <v>40.083333333332547</v>
      </c>
      <c r="AH114" s="25">
        <f t="shared" si="27"/>
        <v>43.166666666667453</v>
      </c>
      <c r="AI114" s="26">
        <f t="shared" si="27"/>
        <v>33.916666666666273</v>
      </c>
      <c r="AJ114" s="26">
        <f t="shared" si="27"/>
        <v>37.000000000000604</v>
      </c>
      <c r="AK114" s="26">
        <f t="shared" si="27"/>
        <v>40.083333333332547</v>
      </c>
    </row>
    <row r="115" spans="4:37" ht="20.100000000000001" customHeight="1">
      <c r="D115" s="27">
        <f t="shared" si="14"/>
        <v>0.31111111111111051</v>
      </c>
      <c r="E115" s="16">
        <f t="shared" si="33"/>
        <v>82.755555555556867</v>
      </c>
      <c r="F115" s="16">
        <f t="shared" si="33"/>
        <v>85.866666666664898</v>
      </c>
      <c r="G115" s="16">
        <f t="shared" si="33"/>
        <v>88.977777777777106</v>
      </c>
      <c r="H115" s="17">
        <f t="shared" si="33"/>
        <v>76.533333333332394</v>
      </c>
      <c r="I115" s="17">
        <f t="shared" si="33"/>
        <v>79.644444444445071</v>
      </c>
      <c r="J115" s="17">
        <f t="shared" si="33"/>
        <v>82.755555555556867</v>
      </c>
      <c r="K115" s="18">
        <f t="shared" si="33"/>
        <v>70.31111111111278</v>
      </c>
      <c r="L115" s="18">
        <f t="shared" si="33"/>
        <v>73.42222222222091</v>
      </c>
      <c r="M115" s="18">
        <f t="shared" si="33"/>
        <v>76.533333333332394</v>
      </c>
      <c r="N115" s="19">
        <f t="shared" si="33"/>
        <v>56</v>
      </c>
      <c r="O115" s="19">
        <f t="shared" si="33"/>
        <v>59.111111111112606</v>
      </c>
      <c r="P115" s="19">
        <f t="shared" si="33"/>
        <v>62.222222222223664</v>
      </c>
      <c r="Q115" s="20">
        <f t="shared" si="33"/>
        <v>52.888888888887493</v>
      </c>
      <c r="R115" s="20">
        <f t="shared" si="33"/>
        <v>56</v>
      </c>
      <c r="S115" s="20">
        <f t="shared" si="33"/>
        <v>59.111111111112606</v>
      </c>
      <c r="T115" s="21">
        <f t="shared" si="33"/>
        <v>49.77777777777716</v>
      </c>
      <c r="U115" s="21">
        <f t="shared" si="32"/>
        <v>52.888888888887493</v>
      </c>
      <c r="V115" s="21">
        <f t="shared" si="32"/>
        <v>56</v>
      </c>
      <c r="W115" s="22">
        <f t="shared" si="32"/>
        <v>46.666666666666529</v>
      </c>
      <c r="X115" s="22">
        <f t="shared" si="32"/>
        <v>49.77777777777716</v>
      </c>
      <c r="Y115" s="22">
        <f t="shared" si="32"/>
        <v>52.888888888887493</v>
      </c>
      <c r="Z115" s="23">
        <f t="shared" si="32"/>
        <v>43.555555555556339</v>
      </c>
      <c r="AA115" s="23">
        <f t="shared" si="32"/>
        <v>46.666666666666529</v>
      </c>
      <c r="AB115" s="23">
        <f t="shared" si="32"/>
        <v>49.77777777777716</v>
      </c>
      <c r="AC115" s="24">
        <f t="shared" si="32"/>
        <v>40.444444444443661</v>
      </c>
      <c r="AD115" s="24">
        <f t="shared" si="32"/>
        <v>43.555555555556339</v>
      </c>
      <c r="AE115" s="24">
        <f t="shared" si="27"/>
        <v>46.666666666666529</v>
      </c>
      <c r="AF115" s="25">
        <f t="shared" si="27"/>
        <v>37.33333333333394</v>
      </c>
      <c r="AG115" s="25">
        <f t="shared" si="27"/>
        <v>40.444444444443661</v>
      </c>
      <c r="AH115" s="25">
        <f t="shared" si="27"/>
        <v>43.555555555556339</v>
      </c>
      <c r="AI115" s="26">
        <f t="shared" si="27"/>
        <v>34.222222222221831</v>
      </c>
      <c r="AJ115" s="26">
        <f t="shared" si="27"/>
        <v>37.33333333333394</v>
      </c>
      <c r="AK115" s="26">
        <f t="shared" si="27"/>
        <v>40.444444444443661</v>
      </c>
    </row>
    <row r="116" spans="4:37" ht="20.100000000000001" customHeight="1">
      <c r="D116" s="27">
        <f t="shared" si="14"/>
        <v>0.31388888888888827</v>
      </c>
      <c r="E116" s="16">
        <f t="shared" si="33"/>
        <v>83.494444444445762</v>
      </c>
      <c r="F116" s="16">
        <f t="shared" si="33"/>
        <v>86.633333333331564</v>
      </c>
      <c r="G116" s="16">
        <f t="shared" si="33"/>
        <v>89.772222222221558</v>
      </c>
      <c r="H116" s="17">
        <f t="shared" si="33"/>
        <v>77.216666666665731</v>
      </c>
      <c r="I116" s="17">
        <f t="shared" si="33"/>
        <v>80.35555555555618</v>
      </c>
      <c r="J116" s="17">
        <f t="shared" si="33"/>
        <v>83.494444444445762</v>
      </c>
      <c r="K116" s="18">
        <f t="shared" si="33"/>
        <v>70.93888888889056</v>
      </c>
      <c r="L116" s="18">
        <f t="shared" si="33"/>
        <v>74.077777777776461</v>
      </c>
      <c r="M116" s="18">
        <f t="shared" si="33"/>
        <v>77.216666666665731</v>
      </c>
      <c r="N116" s="19">
        <f t="shared" si="33"/>
        <v>56.5</v>
      </c>
      <c r="O116" s="19">
        <f t="shared" si="33"/>
        <v>59.638888888890385</v>
      </c>
      <c r="P116" s="19">
        <f t="shared" si="33"/>
        <v>62.777777777779221</v>
      </c>
      <c r="Q116" s="20">
        <f t="shared" si="33"/>
        <v>53.361111111109714</v>
      </c>
      <c r="R116" s="20">
        <f t="shared" si="33"/>
        <v>56.5</v>
      </c>
      <c r="S116" s="20">
        <f t="shared" si="33"/>
        <v>59.638888888890385</v>
      </c>
      <c r="T116" s="21">
        <f t="shared" si="33"/>
        <v>50.222222222221603</v>
      </c>
      <c r="U116" s="21">
        <f t="shared" si="32"/>
        <v>53.361111111109714</v>
      </c>
      <c r="V116" s="21">
        <f t="shared" si="32"/>
        <v>56.5</v>
      </c>
      <c r="W116" s="22">
        <f t="shared" si="32"/>
        <v>47.083333333333194</v>
      </c>
      <c r="X116" s="22">
        <f t="shared" si="32"/>
        <v>50.222222222221603</v>
      </c>
      <c r="Y116" s="22">
        <f t="shared" si="32"/>
        <v>53.361111111109714</v>
      </c>
      <c r="Z116" s="23">
        <f t="shared" si="32"/>
        <v>43.944444444445224</v>
      </c>
      <c r="AA116" s="23">
        <f t="shared" si="32"/>
        <v>47.083333333333194</v>
      </c>
      <c r="AB116" s="23">
        <f t="shared" si="32"/>
        <v>50.222222222221603</v>
      </c>
      <c r="AC116" s="24">
        <f t="shared" si="32"/>
        <v>40.805555555554776</v>
      </c>
      <c r="AD116" s="24">
        <f t="shared" si="32"/>
        <v>43.944444444445224</v>
      </c>
      <c r="AE116" s="24">
        <f t="shared" si="27"/>
        <v>47.083333333333194</v>
      </c>
      <c r="AF116" s="25">
        <f t="shared" si="27"/>
        <v>37.666666666667275</v>
      </c>
      <c r="AG116" s="25">
        <f t="shared" si="27"/>
        <v>40.805555555554776</v>
      </c>
      <c r="AH116" s="25">
        <f t="shared" si="27"/>
        <v>43.944444444445224</v>
      </c>
      <c r="AI116" s="26">
        <f t="shared" si="27"/>
        <v>34.527777777777388</v>
      </c>
      <c r="AJ116" s="26">
        <f t="shared" si="27"/>
        <v>37.666666666667275</v>
      </c>
      <c r="AK116" s="26">
        <f t="shared" si="27"/>
        <v>40.805555555554776</v>
      </c>
    </row>
    <row r="117" spans="4:37" ht="20.100000000000001" customHeight="1">
      <c r="D117" s="27">
        <f t="shared" si="14"/>
        <v>0.31666666666666604</v>
      </c>
      <c r="E117" s="16">
        <f t="shared" si="33"/>
        <v>84.233333333334656</v>
      </c>
      <c r="F117" s="16">
        <f t="shared" si="33"/>
        <v>87.399999999998229</v>
      </c>
      <c r="G117" s="16">
        <f t="shared" si="33"/>
        <v>90.566666666666009</v>
      </c>
      <c r="H117" s="17">
        <f t="shared" si="33"/>
        <v>77.899999999999068</v>
      </c>
      <c r="I117" s="17">
        <f t="shared" si="33"/>
        <v>81.066666666667288</v>
      </c>
      <c r="J117" s="17">
        <f t="shared" si="33"/>
        <v>84.233333333334656</v>
      </c>
      <c r="K117" s="18">
        <f t="shared" si="33"/>
        <v>71.56666666666834</v>
      </c>
      <c r="L117" s="18">
        <f t="shared" si="33"/>
        <v>74.733333333332013</v>
      </c>
      <c r="M117" s="18">
        <f t="shared" si="33"/>
        <v>77.899999999999068</v>
      </c>
      <c r="N117" s="19">
        <f t="shared" si="33"/>
        <v>57</v>
      </c>
      <c r="O117" s="19">
        <f t="shared" si="33"/>
        <v>60.166666666668164</v>
      </c>
      <c r="P117" s="19">
        <f t="shared" si="33"/>
        <v>63.333333333334778</v>
      </c>
      <c r="Q117" s="20">
        <f t="shared" si="33"/>
        <v>53.833333333331936</v>
      </c>
      <c r="R117" s="20">
        <f t="shared" si="33"/>
        <v>57</v>
      </c>
      <c r="S117" s="20">
        <f t="shared" si="33"/>
        <v>60.166666666668164</v>
      </c>
      <c r="T117" s="21">
        <f t="shared" si="33"/>
        <v>50.666666666666046</v>
      </c>
      <c r="U117" s="21">
        <f t="shared" si="32"/>
        <v>53.833333333331936</v>
      </c>
      <c r="V117" s="21">
        <f t="shared" si="32"/>
        <v>57</v>
      </c>
      <c r="W117" s="22">
        <f t="shared" si="32"/>
        <v>47.499999999999858</v>
      </c>
      <c r="X117" s="22">
        <f t="shared" si="32"/>
        <v>50.666666666666046</v>
      </c>
      <c r="Y117" s="22">
        <f t="shared" si="32"/>
        <v>53.833333333331936</v>
      </c>
      <c r="Z117" s="23">
        <f t="shared" si="32"/>
        <v>44.33333333333411</v>
      </c>
      <c r="AA117" s="23">
        <f t="shared" si="32"/>
        <v>47.499999999999858</v>
      </c>
      <c r="AB117" s="23">
        <f t="shared" si="32"/>
        <v>50.666666666666046</v>
      </c>
      <c r="AC117" s="24">
        <f t="shared" si="32"/>
        <v>41.16666666666589</v>
      </c>
      <c r="AD117" s="24">
        <f t="shared" si="32"/>
        <v>44.33333333333411</v>
      </c>
      <c r="AE117" s="24">
        <f t="shared" si="32"/>
        <v>47.499999999999858</v>
      </c>
      <c r="AF117" s="25">
        <f t="shared" si="32"/>
        <v>38.000000000000611</v>
      </c>
      <c r="AG117" s="25">
        <f t="shared" si="32"/>
        <v>41.16666666666589</v>
      </c>
      <c r="AH117" s="25">
        <f t="shared" si="32"/>
        <v>44.33333333333411</v>
      </c>
      <c r="AI117" s="26">
        <f t="shared" si="32"/>
        <v>34.833333333332945</v>
      </c>
      <c r="AJ117" s="26">
        <f t="shared" si="27"/>
        <v>38.000000000000611</v>
      </c>
      <c r="AK117" s="26">
        <f t="shared" si="27"/>
        <v>41.16666666666589</v>
      </c>
    </row>
    <row r="118" spans="4:37" ht="20.100000000000001" customHeight="1">
      <c r="D118" s="27">
        <f t="shared" si="14"/>
        <v>0.31944444444444381</v>
      </c>
      <c r="E118" s="16">
        <f t="shared" si="33"/>
        <v>84.97222222222355</v>
      </c>
      <c r="F118" s="16">
        <f t="shared" si="33"/>
        <v>88.166666666664895</v>
      </c>
      <c r="G118" s="16">
        <f t="shared" si="33"/>
        <v>91.361111111110461</v>
      </c>
      <c r="H118" s="17">
        <f t="shared" si="33"/>
        <v>78.583333333332405</v>
      </c>
      <c r="I118" s="17">
        <f t="shared" si="33"/>
        <v>81.777777777778397</v>
      </c>
      <c r="J118" s="17">
        <f t="shared" si="33"/>
        <v>84.97222222222355</v>
      </c>
      <c r="K118" s="18">
        <f t="shared" si="33"/>
        <v>72.19444444444612</v>
      </c>
      <c r="L118" s="18">
        <f t="shared" si="33"/>
        <v>75.388888888887564</v>
      </c>
      <c r="M118" s="18">
        <f t="shared" si="33"/>
        <v>78.583333333332405</v>
      </c>
      <c r="N118" s="19">
        <f t="shared" si="33"/>
        <v>57.5</v>
      </c>
      <c r="O118" s="19">
        <f t="shared" si="33"/>
        <v>60.694444444445942</v>
      </c>
      <c r="P118" s="19">
        <f t="shared" si="33"/>
        <v>63.888888888890335</v>
      </c>
      <c r="Q118" s="20">
        <f t="shared" si="33"/>
        <v>54.305555555554157</v>
      </c>
      <c r="R118" s="20">
        <f t="shared" si="33"/>
        <v>57.5</v>
      </c>
      <c r="S118" s="20">
        <f t="shared" si="33"/>
        <v>60.694444444445942</v>
      </c>
      <c r="T118" s="21">
        <f t="shared" si="33"/>
        <v>51.111111111110489</v>
      </c>
      <c r="U118" s="21">
        <f t="shared" si="32"/>
        <v>54.305555555554157</v>
      </c>
      <c r="V118" s="21">
        <f t="shared" si="32"/>
        <v>57.5</v>
      </c>
      <c r="W118" s="22">
        <f t="shared" si="32"/>
        <v>47.916666666666522</v>
      </c>
      <c r="X118" s="22">
        <f t="shared" si="32"/>
        <v>51.111111111110489</v>
      </c>
      <c r="Y118" s="22">
        <f t="shared" si="32"/>
        <v>54.305555555554157</v>
      </c>
      <c r="Z118" s="23">
        <f t="shared" si="32"/>
        <v>44.722222222222996</v>
      </c>
      <c r="AA118" s="23">
        <f t="shared" si="32"/>
        <v>47.916666666666522</v>
      </c>
      <c r="AB118" s="23">
        <f t="shared" si="32"/>
        <v>51.111111111110489</v>
      </c>
      <c r="AC118" s="24">
        <f t="shared" si="32"/>
        <v>41.527777777777004</v>
      </c>
      <c r="AD118" s="24">
        <f t="shared" si="32"/>
        <v>44.722222222222996</v>
      </c>
      <c r="AE118" s="24">
        <f t="shared" si="32"/>
        <v>47.916666666666522</v>
      </c>
      <c r="AF118" s="25">
        <f t="shared" si="32"/>
        <v>38.333333333333947</v>
      </c>
      <c r="AG118" s="25">
        <f t="shared" si="32"/>
        <v>41.527777777777004</v>
      </c>
      <c r="AH118" s="25">
        <f t="shared" si="32"/>
        <v>44.722222222222996</v>
      </c>
      <c r="AI118" s="26">
        <f t="shared" si="32"/>
        <v>35.138888888888502</v>
      </c>
      <c r="AJ118" s="26">
        <f t="shared" ref="AJ118:AK145" si="34">AJ119-(AJ$363/360)</f>
        <v>38.333333333333947</v>
      </c>
      <c r="AK118" s="26">
        <f t="shared" si="34"/>
        <v>41.527777777777004</v>
      </c>
    </row>
    <row r="119" spans="4:37" ht="20.100000000000001" customHeight="1">
      <c r="D119" s="27">
        <f t="shared" si="14"/>
        <v>0.32222222222222158</v>
      </c>
      <c r="E119" s="16">
        <f t="shared" si="33"/>
        <v>85.711111111112444</v>
      </c>
      <c r="F119" s="16">
        <f t="shared" si="33"/>
        <v>88.933333333331561</v>
      </c>
      <c r="G119" s="16">
        <f t="shared" si="33"/>
        <v>92.155555555554912</v>
      </c>
      <c r="H119" s="17">
        <f t="shared" si="33"/>
        <v>79.266666666665742</v>
      </c>
      <c r="I119" s="17">
        <f t="shared" si="33"/>
        <v>82.488888888889505</v>
      </c>
      <c r="J119" s="17">
        <f t="shared" si="33"/>
        <v>85.711111111112444</v>
      </c>
      <c r="K119" s="18">
        <f t="shared" si="33"/>
        <v>72.8222222222239</v>
      </c>
      <c r="L119" s="18">
        <f t="shared" si="33"/>
        <v>76.044444444443116</v>
      </c>
      <c r="M119" s="18">
        <f t="shared" si="33"/>
        <v>79.266666666665742</v>
      </c>
      <c r="N119" s="19">
        <f t="shared" si="33"/>
        <v>58</v>
      </c>
      <c r="O119" s="19">
        <f t="shared" si="33"/>
        <v>61.222222222223721</v>
      </c>
      <c r="P119" s="19">
        <f t="shared" si="33"/>
        <v>64.444444444445892</v>
      </c>
      <c r="Q119" s="20">
        <f t="shared" si="33"/>
        <v>54.777777777776379</v>
      </c>
      <c r="R119" s="20">
        <f t="shared" si="33"/>
        <v>58</v>
      </c>
      <c r="S119" s="20">
        <f t="shared" si="33"/>
        <v>61.222222222223721</v>
      </c>
      <c r="T119" s="21">
        <f t="shared" si="33"/>
        <v>51.555555555554932</v>
      </c>
      <c r="U119" s="21">
        <f t="shared" si="32"/>
        <v>54.777777777776379</v>
      </c>
      <c r="V119" s="21">
        <f t="shared" si="32"/>
        <v>58</v>
      </c>
      <c r="W119" s="22">
        <f t="shared" si="32"/>
        <v>48.333333333333186</v>
      </c>
      <c r="X119" s="22">
        <f t="shared" si="32"/>
        <v>51.555555555554932</v>
      </c>
      <c r="Y119" s="22">
        <f t="shared" si="32"/>
        <v>54.777777777776379</v>
      </c>
      <c r="Z119" s="23">
        <f t="shared" si="32"/>
        <v>45.111111111111882</v>
      </c>
      <c r="AA119" s="23">
        <f t="shared" si="32"/>
        <v>48.333333333333186</v>
      </c>
      <c r="AB119" s="23">
        <f t="shared" si="32"/>
        <v>51.555555555554932</v>
      </c>
      <c r="AC119" s="24">
        <f t="shared" si="32"/>
        <v>41.888888888888118</v>
      </c>
      <c r="AD119" s="24">
        <f t="shared" si="32"/>
        <v>45.111111111111882</v>
      </c>
      <c r="AE119" s="24">
        <f t="shared" si="32"/>
        <v>48.333333333333186</v>
      </c>
      <c r="AF119" s="25">
        <f t="shared" si="32"/>
        <v>38.666666666667282</v>
      </c>
      <c r="AG119" s="25">
        <f t="shared" si="32"/>
        <v>41.888888888888118</v>
      </c>
      <c r="AH119" s="25">
        <f t="shared" si="32"/>
        <v>45.111111111111882</v>
      </c>
      <c r="AI119" s="26">
        <f t="shared" si="32"/>
        <v>35.444444444444059</v>
      </c>
      <c r="AJ119" s="26">
        <f t="shared" si="34"/>
        <v>38.666666666667282</v>
      </c>
      <c r="AK119" s="26">
        <f t="shared" si="34"/>
        <v>41.888888888888118</v>
      </c>
    </row>
    <row r="120" spans="4:37" ht="20.100000000000001" customHeight="1">
      <c r="D120" s="27">
        <f t="shared" si="14"/>
        <v>0.32499999999999934</v>
      </c>
      <c r="E120" s="16">
        <f t="shared" si="33"/>
        <v>86.450000000001339</v>
      </c>
      <c r="F120" s="16">
        <f t="shared" si="33"/>
        <v>89.699999999998226</v>
      </c>
      <c r="G120" s="16">
        <f t="shared" si="33"/>
        <v>92.949999999999363</v>
      </c>
      <c r="H120" s="17">
        <f t="shared" si="33"/>
        <v>79.949999999999079</v>
      </c>
      <c r="I120" s="17">
        <f t="shared" si="33"/>
        <v>83.200000000000614</v>
      </c>
      <c r="J120" s="17">
        <f t="shared" si="33"/>
        <v>86.450000000001339</v>
      </c>
      <c r="K120" s="18">
        <f t="shared" si="33"/>
        <v>73.45000000000168</v>
      </c>
      <c r="L120" s="18">
        <f t="shared" si="33"/>
        <v>76.699999999998667</v>
      </c>
      <c r="M120" s="18">
        <f t="shared" si="33"/>
        <v>79.949999999999079</v>
      </c>
      <c r="N120" s="19">
        <f t="shared" si="33"/>
        <v>58.5</v>
      </c>
      <c r="O120" s="19">
        <f t="shared" si="33"/>
        <v>61.750000000001499</v>
      </c>
      <c r="P120" s="19">
        <f t="shared" si="33"/>
        <v>65.00000000000145</v>
      </c>
      <c r="Q120" s="20">
        <f t="shared" si="33"/>
        <v>55.2499999999986</v>
      </c>
      <c r="R120" s="20">
        <f t="shared" si="33"/>
        <v>58.5</v>
      </c>
      <c r="S120" s="20">
        <f t="shared" si="33"/>
        <v>61.750000000001499</v>
      </c>
      <c r="T120" s="21">
        <f t="shared" si="33"/>
        <v>51.999999999999375</v>
      </c>
      <c r="U120" s="21">
        <f t="shared" si="32"/>
        <v>55.2499999999986</v>
      </c>
      <c r="V120" s="21">
        <f t="shared" si="32"/>
        <v>58.5</v>
      </c>
      <c r="W120" s="22">
        <f t="shared" si="32"/>
        <v>48.749999999999851</v>
      </c>
      <c r="X120" s="22">
        <f t="shared" si="32"/>
        <v>51.999999999999375</v>
      </c>
      <c r="Y120" s="22">
        <f t="shared" si="32"/>
        <v>55.2499999999986</v>
      </c>
      <c r="Z120" s="23">
        <f t="shared" si="32"/>
        <v>45.500000000000767</v>
      </c>
      <c r="AA120" s="23">
        <f t="shared" si="32"/>
        <v>48.749999999999851</v>
      </c>
      <c r="AB120" s="23">
        <f t="shared" si="32"/>
        <v>51.999999999999375</v>
      </c>
      <c r="AC120" s="24">
        <f t="shared" si="32"/>
        <v>42.249999999999233</v>
      </c>
      <c r="AD120" s="24">
        <f t="shared" si="32"/>
        <v>45.500000000000767</v>
      </c>
      <c r="AE120" s="24">
        <f t="shared" si="32"/>
        <v>48.749999999999851</v>
      </c>
      <c r="AF120" s="25">
        <f t="shared" si="32"/>
        <v>39.000000000000618</v>
      </c>
      <c r="AG120" s="25">
        <f t="shared" si="32"/>
        <v>42.249999999999233</v>
      </c>
      <c r="AH120" s="25">
        <f t="shared" si="32"/>
        <v>45.500000000000767</v>
      </c>
      <c r="AI120" s="26">
        <f t="shared" si="32"/>
        <v>35.749999999999616</v>
      </c>
      <c r="AJ120" s="26">
        <f t="shared" si="34"/>
        <v>39.000000000000618</v>
      </c>
      <c r="AK120" s="26">
        <f t="shared" si="34"/>
        <v>42.249999999999233</v>
      </c>
    </row>
    <row r="121" spans="4:37" ht="20.100000000000001" customHeight="1">
      <c r="D121" s="27">
        <f t="shared" si="14"/>
        <v>0.32777777777777711</v>
      </c>
      <c r="E121" s="16">
        <f t="shared" si="33"/>
        <v>87.188888888890233</v>
      </c>
      <c r="F121" s="16">
        <f t="shared" si="33"/>
        <v>90.466666666664892</v>
      </c>
      <c r="G121" s="16">
        <f t="shared" si="33"/>
        <v>93.744444444443815</v>
      </c>
      <c r="H121" s="17">
        <f t="shared" si="33"/>
        <v>80.633333333332416</v>
      </c>
      <c r="I121" s="17">
        <f t="shared" si="33"/>
        <v>83.911111111111722</v>
      </c>
      <c r="J121" s="17">
        <f t="shared" si="33"/>
        <v>87.188888888890233</v>
      </c>
      <c r="K121" s="18">
        <f t="shared" si="33"/>
        <v>74.07777777777946</v>
      </c>
      <c r="L121" s="18">
        <f t="shared" si="33"/>
        <v>77.355555555554218</v>
      </c>
      <c r="M121" s="18">
        <f t="shared" si="33"/>
        <v>80.633333333332416</v>
      </c>
      <c r="N121" s="19">
        <f t="shared" si="33"/>
        <v>59</v>
      </c>
      <c r="O121" s="19">
        <f t="shared" si="33"/>
        <v>62.277777777779278</v>
      </c>
      <c r="P121" s="19">
        <f t="shared" si="33"/>
        <v>65.555555555557007</v>
      </c>
      <c r="Q121" s="20">
        <f t="shared" si="33"/>
        <v>55.722222222220822</v>
      </c>
      <c r="R121" s="20">
        <f t="shared" si="33"/>
        <v>59</v>
      </c>
      <c r="S121" s="20">
        <f t="shared" si="33"/>
        <v>62.277777777779278</v>
      </c>
      <c r="T121" s="21">
        <f t="shared" si="33"/>
        <v>52.444444444443818</v>
      </c>
      <c r="U121" s="21">
        <f t="shared" si="32"/>
        <v>55.722222222220822</v>
      </c>
      <c r="V121" s="21">
        <f t="shared" si="32"/>
        <v>59</v>
      </c>
      <c r="W121" s="22">
        <f t="shared" si="32"/>
        <v>49.166666666666515</v>
      </c>
      <c r="X121" s="22">
        <f t="shared" si="32"/>
        <v>52.444444444443818</v>
      </c>
      <c r="Y121" s="22">
        <f t="shared" si="32"/>
        <v>55.722222222220822</v>
      </c>
      <c r="Z121" s="23">
        <f t="shared" si="32"/>
        <v>45.888888888889653</v>
      </c>
      <c r="AA121" s="23">
        <f t="shared" si="32"/>
        <v>49.166666666666515</v>
      </c>
      <c r="AB121" s="23">
        <f t="shared" si="32"/>
        <v>52.444444444443818</v>
      </c>
      <c r="AC121" s="24">
        <f t="shared" si="32"/>
        <v>42.611111111110347</v>
      </c>
      <c r="AD121" s="24">
        <f t="shared" si="32"/>
        <v>45.888888888889653</v>
      </c>
      <c r="AE121" s="24">
        <f t="shared" si="32"/>
        <v>49.166666666666515</v>
      </c>
      <c r="AF121" s="25">
        <f t="shared" si="32"/>
        <v>39.333333333333954</v>
      </c>
      <c r="AG121" s="25">
        <f t="shared" si="32"/>
        <v>42.611111111110347</v>
      </c>
      <c r="AH121" s="25">
        <f t="shared" si="32"/>
        <v>45.888888888889653</v>
      </c>
      <c r="AI121" s="26">
        <f t="shared" si="32"/>
        <v>36.055555555555173</v>
      </c>
      <c r="AJ121" s="26">
        <f t="shared" si="34"/>
        <v>39.333333333333954</v>
      </c>
      <c r="AK121" s="26">
        <f t="shared" si="34"/>
        <v>42.611111111110347</v>
      </c>
    </row>
    <row r="122" spans="4:37" ht="20.100000000000001" customHeight="1">
      <c r="D122" s="27">
        <f t="shared" si="14"/>
        <v>0.33055555555555488</v>
      </c>
      <c r="E122" s="16">
        <f t="shared" si="33"/>
        <v>87.927777777779127</v>
      </c>
      <c r="F122" s="16">
        <f t="shared" si="33"/>
        <v>91.233333333331558</v>
      </c>
      <c r="G122" s="16">
        <f t="shared" si="33"/>
        <v>94.538888888888266</v>
      </c>
      <c r="H122" s="17">
        <f t="shared" si="33"/>
        <v>81.316666666665753</v>
      </c>
      <c r="I122" s="17">
        <f t="shared" si="33"/>
        <v>84.622222222222831</v>
      </c>
      <c r="J122" s="17">
        <f t="shared" si="33"/>
        <v>87.927777777779127</v>
      </c>
      <c r="K122" s="18">
        <f t="shared" si="33"/>
        <v>74.70555555555724</v>
      </c>
      <c r="L122" s="18">
        <f t="shared" si="33"/>
        <v>78.01111111110977</v>
      </c>
      <c r="M122" s="18">
        <f t="shared" si="33"/>
        <v>81.316666666665753</v>
      </c>
      <c r="N122" s="19">
        <f t="shared" si="33"/>
        <v>59.5</v>
      </c>
      <c r="O122" s="19">
        <f t="shared" si="33"/>
        <v>62.805555555557056</v>
      </c>
      <c r="P122" s="19">
        <f t="shared" si="33"/>
        <v>66.111111111112564</v>
      </c>
      <c r="Q122" s="20">
        <f t="shared" si="33"/>
        <v>56.194444444443043</v>
      </c>
      <c r="R122" s="20">
        <f t="shared" si="33"/>
        <v>59.5</v>
      </c>
      <c r="S122" s="20">
        <f t="shared" si="33"/>
        <v>62.805555555557056</v>
      </c>
      <c r="T122" s="21">
        <f t="shared" si="33"/>
        <v>52.88888888888826</v>
      </c>
      <c r="U122" s="21">
        <f t="shared" si="32"/>
        <v>56.194444444443043</v>
      </c>
      <c r="V122" s="21">
        <f t="shared" si="32"/>
        <v>59.5</v>
      </c>
      <c r="W122" s="22">
        <f t="shared" si="32"/>
        <v>49.583333333333179</v>
      </c>
      <c r="X122" s="22">
        <f t="shared" si="32"/>
        <v>52.88888888888826</v>
      </c>
      <c r="Y122" s="22">
        <f t="shared" si="32"/>
        <v>56.194444444443043</v>
      </c>
      <c r="Z122" s="23">
        <f t="shared" si="32"/>
        <v>46.277777777778539</v>
      </c>
      <c r="AA122" s="23">
        <f t="shared" si="32"/>
        <v>49.583333333333179</v>
      </c>
      <c r="AB122" s="23">
        <f t="shared" si="32"/>
        <v>52.88888888888826</v>
      </c>
      <c r="AC122" s="24">
        <f t="shared" si="32"/>
        <v>42.972222222221461</v>
      </c>
      <c r="AD122" s="24">
        <f t="shared" si="32"/>
        <v>46.277777777778539</v>
      </c>
      <c r="AE122" s="24">
        <f t="shared" si="32"/>
        <v>49.583333333333179</v>
      </c>
      <c r="AF122" s="25">
        <f t="shared" si="32"/>
        <v>39.66666666666729</v>
      </c>
      <c r="AG122" s="25">
        <f t="shared" si="32"/>
        <v>42.972222222221461</v>
      </c>
      <c r="AH122" s="25">
        <f t="shared" si="32"/>
        <v>46.277777777778539</v>
      </c>
      <c r="AI122" s="26">
        <f t="shared" si="32"/>
        <v>36.361111111110731</v>
      </c>
      <c r="AJ122" s="26">
        <f t="shared" si="34"/>
        <v>39.66666666666729</v>
      </c>
      <c r="AK122" s="26">
        <f t="shared" si="34"/>
        <v>42.972222222221461</v>
      </c>
    </row>
    <row r="123" spans="4:37" ht="20.100000000000001" customHeight="1">
      <c r="D123" s="27">
        <f t="shared" si="14"/>
        <v>0.33333333333333265</v>
      </c>
      <c r="E123" s="16">
        <f t="shared" si="33"/>
        <v>88.666666666668021</v>
      </c>
      <c r="F123" s="16">
        <f t="shared" si="33"/>
        <v>91.999999999998224</v>
      </c>
      <c r="G123" s="16">
        <f t="shared" si="33"/>
        <v>95.333333333332718</v>
      </c>
      <c r="H123" s="17">
        <f t="shared" si="33"/>
        <v>81.999999999999091</v>
      </c>
      <c r="I123" s="17">
        <f t="shared" si="33"/>
        <v>85.33333333333394</v>
      </c>
      <c r="J123" s="17">
        <f t="shared" si="33"/>
        <v>88.666666666668021</v>
      </c>
      <c r="K123" s="18">
        <f t="shared" si="33"/>
        <v>75.33333333333502</v>
      </c>
      <c r="L123" s="18">
        <f t="shared" si="33"/>
        <v>78.666666666665321</v>
      </c>
      <c r="M123" s="18">
        <f t="shared" si="33"/>
        <v>81.999999999999091</v>
      </c>
      <c r="N123" s="19">
        <f t="shared" si="33"/>
        <v>60</v>
      </c>
      <c r="O123" s="19">
        <f t="shared" si="33"/>
        <v>63.333333333334835</v>
      </c>
      <c r="P123" s="19">
        <f t="shared" si="33"/>
        <v>66.666666666668121</v>
      </c>
      <c r="Q123" s="20">
        <f t="shared" si="33"/>
        <v>56.666666666665265</v>
      </c>
      <c r="R123" s="20">
        <f t="shared" si="33"/>
        <v>60</v>
      </c>
      <c r="S123" s="20">
        <f t="shared" si="33"/>
        <v>63.333333333334835</v>
      </c>
      <c r="T123" s="21">
        <f t="shared" si="33"/>
        <v>53.333333333332703</v>
      </c>
      <c r="U123" s="21">
        <f t="shared" si="32"/>
        <v>56.666666666665265</v>
      </c>
      <c r="V123" s="21">
        <f t="shared" si="32"/>
        <v>60</v>
      </c>
      <c r="W123" s="22">
        <f t="shared" si="32"/>
        <v>49.999999999999844</v>
      </c>
      <c r="X123" s="22">
        <f t="shared" si="32"/>
        <v>53.333333333332703</v>
      </c>
      <c r="Y123" s="22">
        <f t="shared" si="32"/>
        <v>56.666666666665265</v>
      </c>
      <c r="Z123" s="23">
        <f t="shared" si="32"/>
        <v>46.666666666667425</v>
      </c>
      <c r="AA123" s="23">
        <f t="shared" si="32"/>
        <v>49.999999999999844</v>
      </c>
      <c r="AB123" s="23">
        <f t="shared" si="32"/>
        <v>53.333333333332703</v>
      </c>
      <c r="AC123" s="24">
        <f t="shared" si="32"/>
        <v>43.333333333332575</v>
      </c>
      <c r="AD123" s="24">
        <f t="shared" si="32"/>
        <v>46.666666666667425</v>
      </c>
      <c r="AE123" s="24">
        <f t="shared" si="32"/>
        <v>49.999999999999844</v>
      </c>
      <c r="AF123" s="25">
        <f t="shared" si="32"/>
        <v>40.000000000000625</v>
      </c>
      <c r="AG123" s="25">
        <f t="shared" si="32"/>
        <v>43.333333333332575</v>
      </c>
      <c r="AH123" s="25">
        <f t="shared" si="32"/>
        <v>46.666666666667425</v>
      </c>
      <c r="AI123" s="26">
        <f t="shared" si="32"/>
        <v>36.666666666666288</v>
      </c>
      <c r="AJ123" s="26">
        <f t="shared" si="34"/>
        <v>40.000000000000625</v>
      </c>
      <c r="AK123" s="26">
        <f t="shared" si="34"/>
        <v>43.333333333332575</v>
      </c>
    </row>
    <row r="124" spans="4:37" ht="20.100000000000001" customHeight="1">
      <c r="D124" s="27">
        <f t="shared" si="14"/>
        <v>0.33611111111111042</v>
      </c>
      <c r="E124" s="16">
        <f t="shared" si="33"/>
        <v>89.405555555556916</v>
      </c>
      <c r="F124" s="16">
        <f t="shared" si="33"/>
        <v>92.766666666664889</v>
      </c>
      <c r="G124" s="16">
        <f t="shared" si="33"/>
        <v>96.127777777777169</v>
      </c>
      <c r="H124" s="17">
        <f t="shared" si="33"/>
        <v>82.683333333332428</v>
      </c>
      <c r="I124" s="17">
        <f t="shared" si="33"/>
        <v>86.044444444445048</v>
      </c>
      <c r="J124" s="17">
        <f t="shared" si="33"/>
        <v>89.405555555556916</v>
      </c>
      <c r="K124" s="18">
        <f t="shared" si="33"/>
        <v>75.9611111111128</v>
      </c>
      <c r="L124" s="18">
        <f t="shared" si="33"/>
        <v>79.322222222220873</v>
      </c>
      <c r="M124" s="18">
        <f t="shared" si="33"/>
        <v>82.683333333332428</v>
      </c>
      <c r="N124" s="19">
        <f t="shared" si="33"/>
        <v>60.5</v>
      </c>
      <c r="O124" s="19">
        <f t="shared" si="33"/>
        <v>63.861111111112614</v>
      </c>
      <c r="P124" s="19">
        <f t="shared" si="33"/>
        <v>67.222222222223678</v>
      </c>
      <c r="Q124" s="20">
        <f t="shared" si="33"/>
        <v>57.138888888887486</v>
      </c>
      <c r="R124" s="20">
        <f t="shared" si="33"/>
        <v>60.5</v>
      </c>
      <c r="S124" s="20">
        <f t="shared" si="33"/>
        <v>63.861111111112614</v>
      </c>
      <c r="T124" s="21">
        <f t="shared" si="33"/>
        <v>53.777777777777146</v>
      </c>
      <c r="U124" s="21">
        <f t="shared" si="32"/>
        <v>57.138888888887486</v>
      </c>
      <c r="V124" s="21">
        <f t="shared" si="32"/>
        <v>60.5</v>
      </c>
      <c r="W124" s="22">
        <f t="shared" si="32"/>
        <v>50.416666666666508</v>
      </c>
      <c r="X124" s="22">
        <f t="shared" si="32"/>
        <v>53.777777777777146</v>
      </c>
      <c r="Y124" s="22">
        <f t="shared" si="32"/>
        <v>57.138888888887486</v>
      </c>
      <c r="Z124" s="23">
        <f t="shared" si="32"/>
        <v>47.05555555555631</v>
      </c>
      <c r="AA124" s="23">
        <f t="shared" si="32"/>
        <v>50.416666666666508</v>
      </c>
      <c r="AB124" s="23">
        <f t="shared" si="32"/>
        <v>53.777777777777146</v>
      </c>
      <c r="AC124" s="24">
        <f t="shared" si="32"/>
        <v>43.69444444444369</v>
      </c>
      <c r="AD124" s="24">
        <f t="shared" si="32"/>
        <v>47.05555555555631</v>
      </c>
      <c r="AE124" s="24">
        <f t="shared" si="32"/>
        <v>50.416666666666508</v>
      </c>
      <c r="AF124" s="25">
        <f t="shared" si="32"/>
        <v>40.333333333333961</v>
      </c>
      <c r="AG124" s="25">
        <f t="shared" si="32"/>
        <v>43.69444444444369</v>
      </c>
      <c r="AH124" s="25">
        <f t="shared" si="32"/>
        <v>47.05555555555631</v>
      </c>
      <c r="AI124" s="26">
        <f t="shared" si="32"/>
        <v>36.972222222221845</v>
      </c>
      <c r="AJ124" s="26">
        <f t="shared" si="34"/>
        <v>40.333333333333961</v>
      </c>
      <c r="AK124" s="26">
        <f t="shared" si="34"/>
        <v>43.69444444444369</v>
      </c>
    </row>
    <row r="125" spans="4:37" ht="20.100000000000001" customHeight="1">
      <c r="D125" s="27">
        <f t="shared" si="14"/>
        <v>0.33888888888888818</v>
      </c>
      <c r="E125" s="16">
        <f t="shared" si="33"/>
        <v>90.14444444444581</v>
      </c>
      <c r="F125" s="16">
        <f t="shared" si="33"/>
        <v>93.533333333331555</v>
      </c>
      <c r="G125" s="16">
        <f t="shared" si="33"/>
        <v>96.92222222222162</v>
      </c>
      <c r="H125" s="17">
        <f t="shared" si="33"/>
        <v>83.366666666665765</v>
      </c>
      <c r="I125" s="17">
        <f t="shared" si="33"/>
        <v>86.755555555556157</v>
      </c>
      <c r="J125" s="17">
        <f t="shared" si="33"/>
        <v>90.14444444444581</v>
      </c>
      <c r="K125" s="18">
        <f t="shared" si="33"/>
        <v>76.58888888889058</v>
      </c>
      <c r="L125" s="18">
        <f t="shared" si="33"/>
        <v>79.977777777776424</v>
      </c>
      <c r="M125" s="18">
        <f t="shared" si="33"/>
        <v>83.366666666665765</v>
      </c>
      <c r="N125" s="19">
        <f t="shared" si="33"/>
        <v>61</v>
      </c>
      <c r="O125" s="19">
        <f t="shared" si="33"/>
        <v>64.388888888890392</v>
      </c>
      <c r="P125" s="19">
        <f t="shared" si="33"/>
        <v>67.777777777779235</v>
      </c>
      <c r="Q125" s="20">
        <f t="shared" si="33"/>
        <v>57.611111111109707</v>
      </c>
      <c r="R125" s="20">
        <f t="shared" si="33"/>
        <v>61</v>
      </c>
      <c r="S125" s="20">
        <f t="shared" si="33"/>
        <v>64.388888888890392</v>
      </c>
      <c r="T125" s="21">
        <f t="shared" si="33"/>
        <v>54.222222222221589</v>
      </c>
      <c r="U125" s="21">
        <f t="shared" si="32"/>
        <v>57.611111111109707</v>
      </c>
      <c r="V125" s="21">
        <f t="shared" si="32"/>
        <v>61</v>
      </c>
      <c r="W125" s="22">
        <f t="shared" si="32"/>
        <v>50.833333333333172</v>
      </c>
      <c r="X125" s="22">
        <f t="shared" si="32"/>
        <v>54.222222222221589</v>
      </c>
      <c r="Y125" s="22">
        <f t="shared" si="32"/>
        <v>57.611111111109707</v>
      </c>
      <c r="Z125" s="23">
        <f t="shared" si="32"/>
        <v>47.444444444445196</v>
      </c>
      <c r="AA125" s="23">
        <f t="shared" si="32"/>
        <v>50.833333333333172</v>
      </c>
      <c r="AB125" s="23">
        <f t="shared" si="32"/>
        <v>54.222222222221589</v>
      </c>
      <c r="AC125" s="24">
        <f t="shared" si="32"/>
        <v>44.055555555554804</v>
      </c>
      <c r="AD125" s="24">
        <f t="shared" si="32"/>
        <v>47.444444444445196</v>
      </c>
      <c r="AE125" s="24">
        <f t="shared" si="32"/>
        <v>50.833333333333172</v>
      </c>
      <c r="AF125" s="25">
        <f t="shared" si="32"/>
        <v>40.666666666667297</v>
      </c>
      <c r="AG125" s="25">
        <f t="shared" si="32"/>
        <v>44.055555555554804</v>
      </c>
      <c r="AH125" s="25">
        <f t="shared" si="32"/>
        <v>47.444444444445196</v>
      </c>
      <c r="AI125" s="26">
        <f t="shared" si="32"/>
        <v>37.277777777777402</v>
      </c>
      <c r="AJ125" s="26">
        <f t="shared" si="34"/>
        <v>40.666666666667297</v>
      </c>
      <c r="AK125" s="26">
        <f t="shared" si="34"/>
        <v>44.055555555554804</v>
      </c>
    </row>
    <row r="126" spans="4:37" ht="20.100000000000001" customHeight="1">
      <c r="D126" s="27">
        <f t="shared" si="14"/>
        <v>0.34166666666666595</v>
      </c>
      <c r="E126" s="16">
        <f t="shared" si="33"/>
        <v>90.883333333334704</v>
      </c>
      <c r="F126" s="16">
        <f t="shared" si="33"/>
        <v>94.299999999998221</v>
      </c>
      <c r="G126" s="16">
        <f t="shared" si="33"/>
        <v>97.716666666666072</v>
      </c>
      <c r="H126" s="17">
        <f t="shared" si="33"/>
        <v>84.049999999999102</v>
      </c>
      <c r="I126" s="17">
        <f t="shared" si="33"/>
        <v>87.466666666667265</v>
      </c>
      <c r="J126" s="17">
        <f t="shared" si="33"/>
        <v>90.883333333334704</v>
      </c>
      <c r="K126" s="18">
        <f t="shared" si="33"/>
        <v>77.21666666666836</v>
      </c>
      <c r="L126" s="18">
        <f t="shared" si="33"/>
        <v>80.633333333331976</v>
      </c>
      <c r="M126" s="18">
        <f t="shared" si="33"/>
        <v>84.049999999999102</v>
      </c>
      <c r="N126" s="19">
        <f t="shared" si="33"/>
        <v>61.5</v>
      </c>
      <c r="O126" s="19">
        <f t="shared" si="33"/>
        <v>64.916666666668164</v>
      </c>
      <c r="P126" s="19">
        <f t="shared" si="33"/>
        <v>68.333333333334792</v>
      </c>
      <c r="Q126" s="20">
        <f t="shared" si="33"/>
        <v>58.083333333331929</v>
      </c>
      <c r="R126" s="20">
        <f t="shared" si="33"/>
        <v>61.5</v>
      </c>
      <c r="S126" s="20">
        <f t="shared" si="33"/>
        <v>64.916666666668164</v>
      </c>
      <c r="T126" s="21">
        <f t="shared" si="33"/>
        <v>54.666666666666032</v>
      </c>
      <c r="U126" s="21">
        <f t="shared" si="32"/>
        <v>58.083333333331929</v>
      </c>
      <c r="V126" s="21">
        <f t="shared" si="32"/>
        <v>61.5</v>
      </c>
      <c r="W126" s="22">
        <f t="shared" si="32"/>
        <v>51.249999999999837</v>
      </c>
      <c r="X126" s="22">
        <f t="shared" si="32"/>
        <v>54.666666666666032</v>
      </c>
      <c r="Y126" s="22">
        <f t="shared" si="32"/>
        <v>58.083333333331929</v>
      </c>
      <c r="Z126" s="23">
        <f t="shared" si="32"/>
        <v>47.833333333334082</v>
      </c>
      <c r="AA126" s="23">
        <f t="shared" si="32"/>
        <v>51.249999999999837</v>
      </c>
      <c r="AB126" s="23">
        <f t="shared" si="32"/>
        <v>54.666666666666032</v>
      </c>
      <c r="AC126" s="24">
        <f t="shared" si="32"/>
        <v>44.416666666665918</v>
      </c>
      <c r="AD126" s="24">
        <f t="shared" si="32"/>
        <v>47.833333333334082</v>
      </c>
      <c r="AE126" s="24">
        <f t="shared" si="32"/>
        <v>51.249999999999837</v>
      </c>
      <c r="AF126" s="25">
        <f t="shared" si="32"/>
        <v>41.000000000000632</v>
      </c>
      <c r="AG126" s="25">
        <f t="shared" si="32"/>
        <v>44.416666666665918</v>
      </c>
      <c r="AH126" s="25">
        <f t="shared" si="32"/>
        <v>47.833333333334082</v>
      </c>
      <c r="AI126" s="26">
        <f t="shared" si="32"/>
        <v>37.583333333332959</v>
      </c>
      <c r="AJ126" s="26">
        <f t="shared" si="34"/>
        <v>41.000000000000632</v>
      </c>
      <c r="AK126" s="26">
        <f t="shared" si="34"/>
        <v>44.416666666665918</v>
      </c>
    </row>
    <row r="127" spans="4:37" ht="20.100000000000001" customHeight="1">
      <c r="D127" s="27">
        <f t="shared" si="14"/>
        <v>0.34444444444444372</v>
      </c>
      <c r="E127" s="16">
        <f t="shared" si="33"/>
        <v>91.622222222223598</v>
      </c>
      <c r="F127" s="16">
        <f t="shared" si="33"/>
        <v>95.066666666664887</v>
      </c>
      <c r="G127" s="16">
        <f t="shared" si="33"/>
        <v>98.511111111110523</v>
      </c>
      <c r="H127" s="17">
        <f t="shared" si="33"/>
        <v>84.733333333332439</v>
      </c>
      <c r="I127" s="17">
        <f t="shared" si="33"/>
        <v>88.177777777778374</v>
      </c>
      <c r="J127" s="17">
        <f t="shared" si="33"/>
        <v>91.622222222223598</v>
      </c>
      <c r="K127" s="18">
        <f t="shared" si="33"/>
        <v>77.84444444444614</v>
      </c>
      <c r="L127" s="18">
        <f t="shared" si="33"/>
        <v>81.288888888887527</v>
      </c>
      <c r="M127" s="18">
        <f t="shared" si="33"/>
        <v>84.733333333332439</v>
      </c>
      <c r="N127" s="19">
        <f t="shared" si="33"/>
        <v>62</v>
      </c>
      <c r="O127" s="19">
        <f t="shared" si="33"/>
        <v>65.444444444445935</v>
      </c>
      <c r="P127" s="19">
        <f t="shared" si="33"/>
        <v>68.888888888890349</v>
      </c>
      <c r="Q127" s="20">
        <f t="shared" si="33"/>
        <v>58.55555555555415</v>
      </c>
      <c r="R127" s="20">
        <f t="shared" si="33"/>
        <v>62</v>
      </c>
      <c r="S127" s="20">
        <f t="shared" si="33"/>
        <v>65.444444444445935</v>
      </c>
      <c r="T127" s="21">
        <f t="shared" si="33"/>
        <v>55.111111111110475</v>
      </c>
      <c r="U127" s="21">
        <f t="shared" si="32"/>
        <v>58.55555555555415</v>
      </c>
      <c r="V127" s="21">
        <f t="shared" si="32"/>
        <v>62</v>
      </c>
      <c r="W127" s="22">
        <f t="shared" si="32"/>
        <v>51.666666666666501</v>
      </c>
      <c r="X127" s="22">
        <f t="shared" si="32"/>
        <v>55.111111111110475</v>
      </c>
      <c r="Y127" s="22">
        <f t="shared" si="32"/>
        <v>58.55555555555415</v>
      </c>
      <c r="Z127" s="23">
        <f t="shared" si="32"/>
        <v>48.222222222222968</v>
      </c>
      <c r="AA127" s="23">
        <f t="shared" si="32"/>
        <v>51.666666666666501</v>
      </c>
      <c r="AB127" s="23">
        <f t="shared" si="32"/>
        <v>55.111111111110475</v>
      </c>
      <c r="AC127" s="24">
        <f t="shared" si="32"/>
        <v>44.777777777777032</v>
      </c>
      <c r="AD127" s="24">
        <f t="shared" si="32"/>
        <v>48.222222222222968</v>
      </c>
      <c r="AE127" s="24">
        <f t="shared" si="32"/>
        <v>51.666666666666501</v>
      </c>
      <c r="AF127" s="25">
        <f t="shared" si="32"/>
        <v>41.333333333333968</v>
      </c>
      <c r="AG127" s="25">
        <f t="shared" si="32"/>
        <v>44.777777777777032</v>
      </c>
      <c r="AH127" s="25">
        <f t="shared" si="32"/>
        <v>48.222222222222968</v>
      </c>
      <c r="AI127" s="26">
        <f t="shared" si="32"/>
        <v>37.888888888888516</v>
      </c>
      <c r="AJ127" s="26">
        <f t="shared" si="34"/>
        <v>41.333333333333968</v>
      </c>
      <c r="AK127" s="26">
        <f t="shared" si="34"/>
        <v>44.777777777777032</v>
      </c>
    </row>
    <row r="128" spans="4:37" ht="20.100000000000001" customHeight="1">
      <c r="D128" s="27">
        <f t="shared" si="14"/>
        <v>0.34722222222222149</v>
      </c>
      <c r="E128" s="16">
        <f t="shared" si="33"/>
        <v>92.361111111112493</v>
      </c>
      <c r="F128" s="16">
        <f t="shared" si="33"/>
        <v>95.833333333331552</v>
      </c>
      <c r="G128" s="16">
        <f t="shared" si="33"/>
        <v>99.305555555554974</v>
      </c>
      <c r="H128" s="17">
        <f t="shared" si="33"/>
        <v>85.416666666665776</v>
      </c>
      <c r="I128" s="17">
        <f t="shared" si="33"/>
        <v>88.888888888889483</v>
      </c>
      <c r="J128" s="17">
        <f t="shared" si="33"/>
        <v>92.361111111112493</v>
      </c>
      <c r="K128" s="18">
        <f t="shared" si="33"/>
        <v>78.47222222222392</v>
      </c>
      <c r="L128" s="18">
        <f t="shared" si="33"/>
        <v>81.944444444443079</v>
      </c>
      <c r="M128" s="18">
        <f t="shared" si="33"/>
        <v>85.416666666665776</v>
      </c>
      <c r="N128" s="19">
        <f t="shared" si="33"/>
        <v>62.5</v>
      </c>
      <c r="O128" s="19">
        <f t="shared" si="33"/>
        <v>65.972222222223706</v>
      </c>
      <c r="P128" s="19">
        <f t="shared" si="33"/>
        <v>69.444444444445907</v>
      </c>
      <c r="Q128" s="20">
        <f t="shared" si="33"/>
        <v>59.027777777776372</v>
      </c>
      <c r="R128" s="20">
        <f t="shared" si="33"/>
        <v>62.5</v>
      </c>
      <c r="S128" s="20">
        <f t="shared" si="33"/>
        <v>65.972222222223706</v>
      </c>
      <c r="T128" s="21">
        <f>T129-(T$363/360)</f>
        <v>55.555555555554918</v>
      </c>
      <c r="U128" s="21">
        <f t="shared" si="32"/>
        <v>59.027777777776372</v>
      </c>
      <c r="V128" s="21">
        <f t="shared" si="32"/>
        <v>62.5</v>
      </c>
      <c r="W128" s="22">
        <f t="shared" si="32"/>
        <v>52.083333333333165</v>
      </c>
      <c r="X128" s="22">
        <f t="shared" si="32"/>
        <v>55.555555555554918</v>
      </c>
      <c r="Y128" s="22">
        <f t="shared" si="32"/>
        <v>59.027777777776372</v>
      </c>
      <c r="Z128" s="23">
        <f t="shared" si="32"/>
        <v>48.611111111111853</v>
      </c>
      <c r="AA128" s="23">
        <f t="shared" si="32"/>
        <v>52.083333333333165</v>
      </c>
      <c r="AB128" s="23">
        <f t="shared" si="32"/>
        <v>55.555555555554918</v>
      </c>
      <c r="AC128" s="24">
        <f t="shared" si="32"/>
        <v>45.138888888888147</v>
      </c>
      <c r="AD128" s="24">
        <f t="shared" si="32"/>
        <v>48.611111111111853</v>
      </c>
      <c r="AE128" s="24">
        <f t="shared" si="32"/>
        <v>52.083333333333165</v>
      </c>
      <c r="AF128" s="25">
        <f t="shared" si="32"/>
        <v>41.666666666667304</v>
      </c>
      <c r="AG128" s="25">
        <f t="shared" si="32"/>
        <v>45.138888888888147</v>
      </c>
      <c r="AH128" s="25">
        <f t="shared" si="32"/>
        <v>48.611111111111853</v>
      </c>
      <c r="AI128" s="26">
        <f t="shared" si="32"/>
        <v>38.194444444444073</v>
      </c>
      <c r="AJ128" s="26">
        <f t="shared" si="34"/>
        <v>41.666666666667304</v>
      </c>
      <c r="AK128" s="26">
        <f t="shared" si="34"/>
        <v>45.138888888888147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93.100000000001387</v>
      </c>
      <c r="F129" s="16">
        <f t="shared" si="35"/>
        <v>96.599999999998218</v>
      </c>
      <c r="G129" s="16">
        <f t="shared" si="35"/>
        <v>100.09999999999943</v>
      </c>
      <c r="H129" s="17">
        <f t="shared" si="35"/>
        <v>86.099999999999113</v>
      </c>
      <c r="I129" s="17">
        <f t="shared" si="35"/>
        <v>89.600000000000591</v>
      </c>
      <c r="J129" s="17">
        <f t="shared" si="35"/>
        <v>93.100000000001387</v>
      </c>
      <c r="K129" s="18">
        <f t="shared" si="35"/>
        <v>79.1000000000017</v>
      </c>
      <c r="L129" s="18">
        <f t="shared" si="35"/>
        <v>82.59999999999863</v>
      </c>
      <c r="M129" s="18">
        <f t="shared" si="35"/>
        <v>86.099999999999113</v>
      </c>
      <c r="N129" s="19">
        <f t="shared" si="35"/>
        <v>63</v>
      </c>
      <c r="O129" s="19">
        <f t="shared" si="35"/>
        <v>66.500000000001478</v>
      </c>
      <c r="P129" s="19">
        <f t="shared" si="35"/>
        <v>70.000000000001464</v>
      </c>
      <c r="Q129" s="20">
        <f t="shared" si="35"/>
        <v>59.499999999998593</v>
      </c>
      <c r="R129" s="20">
        <f t="shared" si="35"/>
        <v>63</v>
      </c>
      <c r="S129" s="20">
        <f t="shared" si="35"/>
        <v>66.500000000001478</v>
      </c>
      <c r="T129" s="21">
        <f t="shared" si="35"/>
        <v>55.999999999999361</v>
      </c>
      <c r="U129" s="21">
        <f t="shared" si="32"/>
        <v>59.499999999998593</v>
      </c>
      <c r="V129" s="21">
        <f t="shared" si="32"/>
        <v>63</v>
      </c>
      <c r="W129" s="22">
        <f t="shared" si="32"/>
        <v>52.499999999999829</v>
      </c>
      <c r="X129" s="22">
        <f t="shared" si="32"/>
        <v>55.999999999999361</v>
      </c>
      <c r="Y129" s="22">
        <f t="shared" si="32"/>
        <v>59.499999999998593</v>
      </c>
      <c r="Z129" s="23">
        <f t="shared" si="32"/>
        <v>49.000000000000739</v>
      </c>
      <c r="AA129" s="23">
        <f t="shared" si="32"/>
        <v>52.499999999999829</v>
      </c>
      <c r="AB129" s="23">
        <f t="shared" si="32"/>
        <v>55.999999999999361</v>
      </c>
      <c r="AC129" s="24">
        <f t="shared" si="32"/>
        <v>45.499999999999261</v>
      </c>
      <c r="AD129" s="24">
        <f t="shared" si="32"/>
        <v>49.000000000000739</v>
      </c>
      <c r="AE129" s="24">
        <f t="shared" si="32"/>
        <v>52.499999999999829</v>
      </c>
      <c r="AF129" s="25">
        <f t="shared" si="32"/>
        <v>42.000000000000639</v>
      </c>
      <c r="AG129" s="25">
        <f t="shared" si="32"/>
        <v>45.499999999999261</v>
      </c>
      <c r="AH129" s="25">
        <f t="shared" si="32"/>
        <v>49.000000000000739</v>
      </c>
      <c r="AI129" s="26">
        <f t="shared" si="32"/>
        <v>38.499999999999631</v>
      </c>
      <c r="AJ129" s="26">
        <f t="shared" si="34"/>
        <v>42.000000000000639</v>
      </c>
      <c r="AK129" s="26">
        <f t="shared" si="34"/>
        <v>45.499999999999261</v>
      </c>
    </row>
    <row r="130" spans="4:37" ht="20.100000000000001" customHeight="1">
      <c r="D130" s="27">
        <f t="shared" si="14"/>
        <v>0.35277777777777702</v>
      </c>
      <c r="E130" s="16">
        <f t="shared" si="35"/>
        <v>93.838888888890281</v>
      </c>
      <c r="F130" s="16">
        <f t="shared" si="35"/>
        <v>97.366666666664884</v>
      </c>
      <c r="G130" s="16">
        <f t="shared" si="35"/>
        <v>100.89444444444388</v>
      </c>
      <c r="H130" s="17">
        <f t="shared" si="35"/>
        <v>86.78333333333245</v>
      </c>
      <c r="I130" s="17">
        <f t="shared" si="35"/>
        <v>90.3111111111117</v>
      </c>
      <c r="J130" s="17">
        <f t="shared" si="35"/>
        <v>93.838888888890281</v>
      </c>
      <c r="K130" s="18">
        <f t="shared" si="35"/>
        <v>79.72777777777948</v>
      </c>
      <c r="L130" s="18">
        <f t="shared" si="35"/>
        <v>83.255555555554182</v>
      </c>
      <c r="M130" s="18">
        <f t="shared" si="35"/>
        <v>86.78333333333245</v>
      </c>
      <c r="N130" s="19">
        <f t="shared" si="35"/>
        <v>63.5</v>
      </c>
      <c r="O130" s="19">
        <f t="shared" si="35"/>
        <v>67.027777777779249</v>
      </c>
      <c r="P130" s="19">
        <f t="shared" si="35"/>
        <v>70.555555555557021</v>
      </c>
      <c r="Q130" s="20">
        <f t="shared" si="35"/>
        <v>59.972222222220815</v>
      </c>
      <c r="R130" s="20">
        <f t="shared" si="35"/>
        <v>63.5</v>
      </c>
      <c r="S130" s="20">
        <f t="shared" si="35"/>
        <v>67.027777777779249</v>
      </c>
      <c r="T130" s="21">
        <f t="shared" si="35"/>
        <v>56.444444444443803</v>
      </c>
      <c r="U130" s="21">
        <f t="shared" si="32"/>
        <v>59.972222222220815</v>
      </c>
      <c r="V130" s="21">
        <f t="shared" si="32"/>
        <v>63.5</v>
      </c>
      <c r="W130" s="22">
        <f t="shared" si="32"/>
        <v>52.916666666666494</v>
      </c>
      <c r="X130" s="22">
        <f t="shared" si="32"/>
        <v>56.444444444443803</v>
      </c>
      <c r="Y130" s="22">
        <f t="shared" si="32"/>
        <v>59.972222222220815</v>
      </c>
      <c r="Z130" s="23">
        <f t="shared" si="32"/>
        <v>49.388888888889625</v>
      </c>
      <c r="AA130" s="23">
        <f t="shared" si="32"/>
        <v>52.916666666666494</v>
      </c>
      <c r="AB130" s="23">
        <f t="shared" si="32"/>
        <v>56.444444444443803</v>
      </c>
      <c r="AC130" s="24">
        <f t="shared" si="32"/>
        <v>45.861111111110375</v>
      </c>
      <c r="AD130" s="24">
        <f t="shared" ref="AD130:AI130" si="36">AD131-(AD$363/360)</f>
        <v>49.388888888889625</v>
      </c>
      <c r="AE130" s="24">
        <f t="shared" si="36"/>
        <v>52.916666666666494</v>
      </c>
      <c r="AF130" s="25">
        <f t="shared" si="36"/>
        <v>42.333333333333975</v>
      </c>
      <c r="AG130" s="25">
        <f t="shared" si="36"/>
        <v>45.861111111110375</v>
      </c>
      <c r="AH130" s="25">
        <f t="shared" si="36"/>
        <v>49.388888888889625</v>
      </c>
      <c r="AI130" s="26">
        <f t="shared" si="36"/>
        <v>38.805555555555188</v>
      </c>
      <c r="AJ130" s="26">
        <f t="shared" si="34"/>
        <v>42.333333333333975</v>
      </c>
      <c r="AK130" s="26">
        <f t="shared" si="34"/>
        <v>45.861111111110375</v>
      </c>
    </row>
    <row r="131" spans="4:37" ht="20.100000000000001" customHeight="1">
      <c r="D131" s="27">
        <f t="shared" si="14"/>
        <v>0.35555555555555479</v>
      </c>
      <c r="E131" s="16">
        <f t="shared" si="35"/>
        <v>94.577777777779175</v>
      </c>
      <c r="F131" s="16">
        <f t="shared" si="35"/>
        <v>98.133333333331549</v>
      </c>
      <c r="G131" s="16">
        <f t="shared" si="35"/>
        <v>101.68888888888833</v>
      </c>
      <c r="H131" s="17">
        <f t="shared" si="35"/>
        <v>87.466666666665787</v>
      </c>
      <c r="I131" s="17">
        <f t="shared" si="35"/>
        <v>91.022222222222808</v>
      </c>
      <c r="J131" s="17">
        <f t="shared" si="35"/>
        <v>94.577777777779175</v>
      </c>
      <c r="K131" s="18">
        <f t="shared" si="35"/>
        <v>80.35555555555726</v>
      </c>
      <c r="L131" s="18">
        <f t="shared" si="35"/>
        <v>83.911111111109733</v>
      </c>
      <c r="M131" s="18">
        <f t="shared" si="35"/>
        <v>87.466666666665787</v>
      </c>
      <c r="N131" s="19">
        <f t="shared" si="35"/>
        <v>64</v>
      </c>
      <c r="O131" s="19">
        <f t="shared" si="35"/>
        <v>67.555555555557021</v>
      </c>
      <c r="P131" s="19">
        <f t="shared" si="35"/>
        <v>71.111111111112578</v>
      </c>
      <c r="Q131" s="20">
        <f t="shared" si="35"/>
        <v>60.444444444443036</v>
      </c>
      <c r="R131" s="20">
        <f t="shared" si="35"/>
        <v>64</v>
      </c>
      <c r="S131" s="20">
        <f t="shared" si="35"/>
        <v>67.555555555557021</v>
      </c>
      <c r="T131" s="21">
        <f t="shared" si="35"/>
        <v>56.888888888888246</v>
      </c>
      <c r="U131" s="21">
        <f t="shared" ref="U131:AJ146" si="37">U132-(U$363/360)</f>
        <v>60.444444444443036</v>
      </c>
      <c r="V131" s="21">
        <f t="shared" si="37"/>
        <v>64</v>
      </c>
      <c r="W131" s="22">
        <f t="shared" si="37"/>
        <v>53.333333333333158</v>
      </c>
      <c r="X131" s="22">
        <f t="shared" si="37"/>
        <v>56.888888888888246</v>
      </c>
      <c r="Y131" s="22">
        <f t="shared" si="37"/>
        <v>60.444444444443036</v>
      </c>
      <c r="Z131" s="23">
        <f t="shared" si="37"/>
        <v>49.77777777777851</v>
      </c>
      <c r="AA131" s="23">
        <f t="shared" si="37"/>
        <v>53.333333333333158</v>
      </c>
      <c r="AB131" s="23">
        <f t="shared" si="37"/>
        <v>56.888888888888246</v>
      </c>
      <c r="AC131" s="24">
        <f t="shared" si="37"/>
        <v>46.22222222222149</v>
      </c>
      <c r="AD131" s="24">
        <f t="shared" si="37"/>
        <v>49.77777777777851</v>
      </c>
      <c r="AE131" s="24">
        <f t="shared" si="37"/>
        <v>53.333333333333158</v>
      </c>
      <c r="AF131" s="25">
        <f t="shared" si="37"/>
        <v>42.666666666667311</v>
      </c>
      <c r="AG131" s="25">
        <f t="shared" si="37"/>
        <v>46.22222222222149</v>
      </c>
      <c r="AH131" s="25">
        <f t="shared" si="37"/>
        <v>49.77777777777851</v>
      </c>
      <c r="AI131" s="26">
        <f t="shared" si="37"/>
        <v>39.111111111110745</v>
      </c>
      <c r="AJ131" s="26">
        <f t="shared" si="37"/>
        <v>42.666666666667311</v>
      </c>
      <c r="AK131" s="26">
        <f t="shared" si="34"/>
        <v>46.22222222222149</v>
      </c>
    </row>
    <row r="132" spans="4:37" ht="20.100000000000001" customHeight="1">
      <c r="D132" s="27">
        <f t="shared" si="14"/>
        <v>0.35833333333333256</v>
      </c>
      <c r="E132" s="16">
        <f t="shared" si="35"/>
        <v>95.31666666666807</v>
      </c>
      <c r="F132" s="16">
        <f t="shared" si="35"/>
        <v>98.899999999998215</v>
      </c>
      <c r="G132" s="16">
        <f t="shared" si="35"/>
        <v>102.48333333333278</v>
      </c>
      <c r="H132" s="17">
        <f t="shared" si="35"/>
        <v>88.149999999999125</v>
      </c>
      <c r="I132" s="17">
        <f t="shared" si="35"/>
        <v>91.733333333333917</v>
      </c>
      <c r="J132" s="17">
        <f t="shared" si="35"/>
        <v>95.31666666666807</v>
      </c>
      <c r="K132" s="18">
        <f t="shared" si="35"/>
        <v>80.98333333333504</v>
      </c>
      <c r="L132" s="18">
        <f t="shared" si="35"/>
        <v>84.566666666665284</v>
      </c>
      <c r="M132" s="18">
        <f t="shared" si="35"/>
        <v>88.149999999999125</v>
      </c>
      <c r="N132" s="19">
        <f t="shared" si="35"/>
        <v>64.5</v>
      </c>
      <c r="O132" s="19">
        <f t="shared" si="35"/>
        <v>68.083333333334792</v>
      </c>
      <c r="P132" s="19">
        <f t="shared" si="35"/>
        <v>71.666666666668135</v>
      </c>
      <c r="Q132" s="20">
        <f t="shared" si="35"/>
        <v>60.916666666665257</v>
      </c>
      <c r="R132" s="20">
        <f t="shared" si="35"/>
        <v>64.5</v>
      </c>
      <c r="S132" s="20">
        <f t="shared" si="35"/>
        <v>68.083333333334792</v>
      </c>
      <c r="T132" s="21">
        <f t="shared" si="35"/>
        <v>57.333333333332689</v>
      </c>
      <c r="U132" s="21">
        <f t="shared" si="37"/>
        <v>60.916666666665257</v>
      </c>
      <c r="V132" s="21">
        <f t="shared" si="37"/>
        <v>64.5</v>
      </c>
      <c r="W132" s="22">
        <f t="shared" si="37"/>
        <v>53.749999999999822</v>
      </c>
      <c r="X132" s="22">
        <f t="shared" si="37"/>
        <v>57.333333333332689</v>
      </c>
      <c r="Y132" s="22">
        <f t="shared" si="37"/>
        <v>60.916666666665257</v>
      </c>
      <c r="Z132" s="23">
        <f t="shared" si="37"/>
        <v>50.166666666667396</v>
      </c>
      <c r="AA132" s="23">
        <f t="shared" si="37"/>
        <v>53.749999999999822</v>
      </c>
      <c r="AB132" s="23">
        <f t="shared" si="37"/>
        <v>57.333333333332689</v>
      </c>
      <c r="AC132" s="24">
        <f t="shared" si="37"/>
        <v>46.583333333332604</v>
      </c>
      <c r="AD132" s="24">
        <f t="shared" si="37"/>
        <v>50.166666666667396</v>
      </c>
      <c r="AE132" s="24">
        <f t="shared" si="37"/>
        <v>53.749999999999822</v>
      </c>
      <c r="AF132" s="25">
        <f t="shared" si="37"/>
        <v>43.000000000000647</v>
      </c>
      <c r="AG132" s="25">
        <f t="shared" si="37"/>
        <v>46.583333333332604</v>
      </c>
      <c r="AH132" s="25">
        <f t="shared" si="37"/>
        <v>50.166666666667396</v>
      </c>
      <c r="AI132" s="26">
        <f t="shared" si="37"/>
        <v>39.416666666666302</v>
      </c>
      <c r="AJ132" s="26">
        <f t="shared" si="37"/>
        <v>43.000000000000647</v>
      </c>
      <c r="AK132" s="26">
        <f t="shared" si="34"/>
        <v>46.583333333332604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96.055555555556964</v>
      </c>
      <c r="F133" s="16">
        <f t="shared" si="35"/>
        <v>99.666666666664881</v>
      </c>
      <c r="G133" s="16">
        <f t="shared" si="35"/>
        <v>103.27777777777723</v>
      </c>
      <c r="H133" s="17">
        <f t="shared" si="35"/>
        <v>88.833333333332462</v>
      </c>
      <c r="I133" s="17">
        <f t="shared" si="35"/>
        <v>92.444444444445026</v>
      </c>
      <c r="J133" s="17">
        <f t="shared" si="35"/>
        <v>96.055555555556964</v>
      </c>
      <c r="K133" s="18">
        <f t="shared" si="35"/>
        <v>81.61111111111282</v>
      </c>
      <c r="L133" s="18">
        <f t="shared" si="35"/>
        <v>85.222222222220836</v>
      </c>
      <c r="M133" s="18">
        <f t="shared" si="35"/>
        <v>88.833333333332462</v>
      </c>
      <c r="N133" s="19">
        <f t="shared" si="35"/>
        <v>65</v>
      </c>
      <c r="O133" s="19">
        <f t="shared" si="35"/>
        <v>68.611111111112564</v>
      </c>
      <c r="P133" s="19">
        <f t="shared" si="35"/>
        <v>72.222222222223692</v>
      </c>
      <c r="Q133" s="20">
        <f t="shared" si="35"/>
        <v>61.388888888887479</v>
      </c>
      <c r="R133" s="20">
        <f t="shared" si="35"/>
        <v>65</v>
      </c>
      <c r="S133" s="20">
        <f t="shared" si="35"/>
        <v>68.611111111112564</v>
      </c>
      <c r="T133" s="21">
        <f t="shared" si="35"/>
        <v>57.777777777777132</v>
      </c>
      <c r="U133" s="21">
        <f t="shared" si="37"/>
        <v>61.388888888887479</v>
      </c>
      <c r="V133" s="21">
        <f t="shared" si="37"/>
        <v>65</v>
      </c>
      <c r="W133" s="22">
        <f t="shared" si="37"/>
        <v>54.166666666666487</v>
      </c>
      <c r="X133" s="22">
        <f t="shared" si="37"/>
        <v>57.777777777777132</v>
      </c>
      <c r="Y133" s="22">
        <f t="shared" si="37"/>
        <v>61.388888888887479</v>
      </c>
      <c r="Z133" s="23">
        <f t="shared" si="37"/>
        <v>50.555555555556282</v>
      </c>
      <c r="AA133" s="23">
        <f t="shared" si="37"/>
        <v>54.166666666666487</v>
      </c>
      <c r="AB133" s="23">
        <f t="shared" si="37"/>
        <v>57.777777777777132</v>
      </c>
      <c r="AC133" s="24">
        <f t="shared" si="37"/>
        <v>46.944444444443718</v>
      </c>
      <c r="AD133" s="24">
        <f t="shared" si="37"/>
        <v>50.555555555556282</v>
      </c>
      <c r="AE133" s="24">
        <f t="shared" si="37"/>
        <v>54.166666666666487</v>
      </c>
      <c r="AF133" s="25">
        <f t="shared" si="37"/>
        <v>43.333333333333982</v>
      </c>
      <c r="AG133" s="25">
        <f t="shared" si="37"/>
        <v>46.944444444443718</v>
      </c>
      <c r="AH133" s="25">
        <f t="shared" si="37"/>
        <v>50.555555555556282</v>
      </c>
      <c r="AI133" s="26">
        <f t="shared" si="37"/>
        <v>39.722222222221859</v>
      </c>
      <c r="AJ133" s="26">
        <f t="shared" si="37"/>
        <v>43.333333333333982</v>
      </c>
      <c r="AK133" s="26">
        <f t="shared" si="34"/>
        <v>46.944444444443718</v>
      </c>
    </row>
    <row r="134" spans="4:37" ht="20.100000000000001" customHeight="1">
      <c r="D134" s="27">
        <f t="shared" si="38"/>
        <v>0.3638888888888881</v>
      </c>
      <c r="E134" s="16">
        <f t="shared" si="35"/>
        <v>96.794444444445858</v>
      </c>
      <c r="F134" s="16">
        <f t="shared" si="35"/>
        <v>100.43333333333155</v>
      </c>
      <c r="G134" s="16">
        <f t="shared" si="35"/>
        <v>104.07222222222168</v>
      </c>
      <c r="H134" s="17">
        <f t="shared" si="35"/>
        <v>89.516666666665799</v>
      </c>
      <c r="I134" s="17">
        <f t="shared" si="35"/>
        <v>93.155555555556134</v>
      </c>
      <c r="J134" s="17">
        <f t="shared" si="35"/>
        <v>96.794444444445858</v>
      </c>
      <c r="K134" s="18">
        <f t="shared" si="35"/>
        <v>82.2388888888906</v>
      </c>
      <c r="L134" s="18">
        <f t="shared" si="35"/>
        <v>85.877777777776387</v>
      </c>
      <c r="M134" s="18">
        <f t="shared" si="35"/>
        <v>89.516666666665799</v>
      </c>
      <c r="N134" s="19">
        <f t="shared" si="35"/>
        <v>65.5</v>
      </c>
      <c r="O134" s="19">
        <f t="shared" si="35"/>
        <v>69.138888888890335</v>
      </c>
      <c r="P134" s="19">
        <f t="shared" si="35"/>
        <v>72.777777777779249</v>
      </c>
      <c r="Q134" s="20">
        <f t="shared" si="35"/>
        <v>61.8611111111097</v>
      </c>
      <c r="R134" s="20">
        <f t="shared" si="35"/>
        <v>65.5</v>
      </c>
      <c r="S134" s="20">
        <f t="shared" si="35"/>
        <v>69.138888888890335</v>
      </c>
      <c r="T134" s="21">
        <f t="shared" si="35"/>
        <v>58.222222222221575</v>
      </c>
      <c r="U134" s="21">
        <f t="shared" si="37"/>
        <v>61.8611111111097</v>
      </c>
      <c r="V134" s="21">
        <f t="shared" si="37"/>
        <v>65.5</v>
      </c>
      <c r="W134" s="22">
        <f t="shared" si="37"/>
        <v>54.583333333333151</v>
      </c>
      <c r="X134" s="22">
        <f t="shared" si="37"/>
        <v>58.222222222221575</v>
      </c>
      <c r="Y134" s="22">
        <f t="shared" si="37"/>
        <v>61.8611111111097</v>
      </c>
      <c r="Z134" s="23">
        <f t="shared" si="37"/>
        <v>50.944444444445168</v>
      </c>
      <c r="AA134" s="23">
        <f t="shared" si="37"/>
        <v>54.583333333333151</v>
      </c>
      <c r="AB134" s="23">
        <f t="shared" si="37"/>
        <v>58.222222222221575</v>
      </c>
      <c r="AC134" s="24">
        <f t="shared" si="37"/>
        <v>47.305555555554832</v>
      </c>
      <c r="AD134" s="24">
        <f t="shared" si="37"/>
        <v>50.944444444445168</v>
      </c>
      <c r="AE134" s="24">
        <f t="shared" si="37"/>
        <v>54.583333333333151</v>
      </c>
      <c r="AF134" s="25">
        <f t="shared" si="37"/>
        <v>43.666666666667318</v>
      </c>
      <c r="AG134" s="25">
        <f t="shared" si="37"/>
        <v>47.305555555554832</v>
      </c>
      <c r="AH134" s="25">
        <f t="shared" si="37"/>
        <v>50.944444444445168</v>
      </c>
      <c r="AI134" s="26">
        <f t="shared" si="37"/>
        <v>40.027777777777416</v>
      </c>
      <c r="AJ134" s="26">
        <f t="shared" si="37"/>
        <v>43.666666666667318</v>
      </c>
      <c r="AK134" s="26">
        <f t="shared" si="34"/>
        <v>47.305555555554832</v>
      </c>
    </row>
    <row r="135" spans="4:37" ht="20.100000000000001" customHeight="1">
      <c r="D135" s="27">
        <f t="shared" si="38"/>
        <v>0.36666666666666586</v>
      </c>
      <c r="E135" s="16">
        <f t="shared" si="35"/>
        <v>97.533333333334753</v>
      </c>
      <c r="F135" s="16">
        <f t="shared" si="35"/>
        <v>101.19999999999821</v>
      </c>
      <c r="G135" s="16">
        <f t="shared" si="35"/>
        <v>104.86666666666613</v>
      </c>
      <c r="H135" s="17">
        <f t="shared" si="35"/>
        <v>90.199999999999136</v>
      </c>
      <c r="I135" s="17">
        <f t="shared" si="35"/>
        <v>93.866666666667243</v>
      </c>
      <c r="J135" s="17">
        <f t="shared" si="35"/>
        <v>97.533333333334753</v>
      </c>
      <c r="K135" s="18">
        <f t="shared" si="35"/>
        <v>82.86666666666838</v>
      </c>
      <c r="L135" s="18">
        <f t="shared" si="35"/>
        <v>86.533333333331939</v>
      </c>
      <c r="M135" s="18">
        <f t="shared" si="35"/>
        <v>90.199999999999136</v>
      </c>
      <c r="N135" s="19">
        <f t="shared" si="35"/>
        <v>66</v>
      </c>
      <c r="O135" s="19">
        <f t="shared" si="35"/>
        <v>69.666666666668107</v>
      </c>
      <c r="P135" s="19">
        <f t="shared" si="35"/>
        <v>73.333333333334807</v>
      </c>
      <c r="Q135" s="20">
        <f t="shared" si="35"/>
        <v>62.333333333331922</v>
      </c>
      <c r="R135" s="20">
        <f t="shared" si="35"/>
        <v>66</v>
      </c>
      <c r="S135" s="20">
        <f t="shared" si="35"/>
        <v>69.666666666668107</v>
      </c>
      <c r="T135" s="21">
        <f t="shared" si="35"/>
        <v>58.666666666666018</v>
      </c>
      <c r="U135" s="21">
        <f t="shared" si="37"/>
        <v>62.333333333331922</v>
      </c>
      <c r="V135" s="21">
        <f t="shared" si="37"/>
        <v>66</v>
      </c>
      <c r="W135" s="22">
        <f t="shared" si="37"/>
        <v>54.999999999999815</v>
      </c>
      <c r="X135" s="22">
        <f t="shared" si="37"/>
        <v>58.666666666666018</v>
      </c>
      <c r="Y135" s="22">
        <f t="shared" si="37"/>
        <v>62.333333333331922</v>
      </c>
      <c r="Z135" s="23">
        <f t="shared" si="37"/>
        <v>51.333333333334053</v>
      </c>
      <c r="AA135" s="23">
        <f t="shared" si="37"/>
        <v>54.999999999999815</v>
      </c>
      <c r="AB135" s="23">
        <f t="shared" si="37"/>
        <v>58.666666666666018</v>
      </c>
      <c r="AC135" s="24">
        <f t="shared" si="37"/>
        <v>47.666666666665947</v>
      </c>
      <c r="AD135" s="24">
        <f t="shared" si="37"/>
        <v>51.333333333334053</v>
      </c>
      <c r="AE135" s="24">
        <f t="shared" si="37"/>
        <v>54.999999999999815</v>
      </c>
      <c r="AF135" s="25">
        <f t="shared" si="37"/>
        <v>44.000000000000654</v>
      </c>
      <c r="AG135" s="25">
        <f t="shared" si="37"/>
        <v>47.666666666665947</v>
      </c>
      <c r="AH135" s="25">
        <f t="shared" si="37"/>
        <v>51.333333333334053</v>
      </c>
      <c r="AI135" s="26">
        <f t="shared" si="37"/>
        <v>40.333333333332973</v>
      </c>
      <c r="AJ135" s="26">
        <f t="shared" si="37"/>
        <v>44.000000000000654</v>
      </c>
      <c r="AK135" s="26">
        <f t="shared" si="34"/>
        <v>47.666666666665947</v>
      </c>
    </row>
    <row r="136" spans="4:37" ht="20.100000000000001" customHeight="1">
      <c r="D136" s="27">
        <f t="shared" si="38"/>
        <v>0.36944444444444363</v>
      </c>
      <c r="E136" s="16">
        <f t="shared" si="35"/>
        <v>98.272222222223647</v>
      </c>
      <c r="F136" s="16">
        <f t="shared" si="35"/>
        <v>101.96666666666488</v>
      </c>
      <c r="G136" s="16">
        <f t="shared" si="35"/>
        <v>105.66111111111059</v>
      </c>
      <c r="H136" s="17">
        <f t="shared" si="35"/>
        <v>90.883333333332473</v>
      </c>
      <c r="I136" s="17">
        <f t="shared" si="35"/>
        <v>94.577777777778351</v>
      </c>
      <c r="J136" s="17">
        <f t="shared" si="35"/>
        <v>98.272222222223647</v>
      </c>
      <c r="K136" s="18">
        <f t="shared" si="35"/>
        <v>83.49444444444616</v>
      </c>
      <c r="L136" s="18">
        <f t="shared" si="35"/>
        <v>87.18888888888749</v>
      </c>
      <c r="M136" s="18">
        <f t="shared" si="35"/>
        <v>90.883333333332473</v>
      </c>
      <c r="N136" s="19">
        <f t="shared" si="35"/>
        <v>66.5</v>
      </c>
      <c r="O136" s="19">
        <f t="shared" si="35"/>
        <v>70.194444444445878</v>
      </c>
      <c r="P136" s="19">
        <f t="shared" si="35"/>
        <v>73.888888888890364</v>
      </c>
      <c r="Q136" s="20">
        <f t="shared" si="35"/>
        <v>62.805555555554143</v>
      </c>
      <c r="R136" s="20">
        <f t="shared" si="35"/>
        <v>66.5</v>
      </c>
      <c r="S136" s="20">
        <f t="shared" si="35"/>
        <v>70.194444444445878</v>
      </c>
      <c r="T136" s="21">
        <f t="shared" si="35"/>
        <v>59.111111111110461</v>
      </c>
      <c r="U136" s="21">
        <f t="shared" si="37"/>
        <v>62.805555555554143</v>
      </c>
      <c r="V136" s="21">
        <f t="shared" si="37"/>
        <v>66.5</v>
      </c>
      <c r="W136" s="22">
        <f t="shared" si="37"/>
        <v>55.41666666666648</v>
      </c>
      <c r="X136" s="22">
        <f t="shared" si="37"/>
        <v>59.111111111110461</v>
      </c>
      <c r="Y136" s="22">
        <f t="shared" si="37"/>
        <v>62.805555555554143</v>
      </c>
      <c r="Z136" s="23">
        <f t="shared" si="37"/>
        <v>51.722222222222939</v>
      </c>
      <c r="AA136" s="23">
        <f t="shared" si="37"/>
        <v>55.41666666666648</v>
      </c>
      <c r="AB136" s="23">
        <f t="shared" si="37"/>
        <v>59.111111111110461</v>
      </c>
      <c r="AC136" s="24">
        <f t="shared" si="37"/>
        <v>48.027777777777061</v>
      </c>
      <c r="AD136" s="24">
        <f t="shared" si="37"/>
        <v>51.722222222222939</v>
      </c>
      <c r="AE136" s="24">
        <f t="shared" si="37"/>
        <v>55.41666666666648</v>
      </c>
      <c r="AF136" s="25">
        <f t="shared" si="37"/>
        <v>44.333333333333989</v>
      </c>
      <c r="AG136" s="25">
        <f t="shared" si="37"/>
        <v>48.027777777777061</v>
      </c>
      <c r="AH136" s="25">
        <f t="shared" si="37"/>
        <v>51.722222222222939</v>
      </c>
      <c r="AI136" s="26">
        <f t="shared" si="37"/>
        <v>40.63888888888853</v>
      </c>
      <c r="AJ136" s="26">
        <f t="shared" si="37"/>
        <v>44.333333333333989</v>
      </c>
      <c r="AK136" s="26">
        <f t="shared" si="34"/>
        <v>48.027777777777061</v>
      </c>
    </row>
    <row r="137" spans="4:37" ht="20.100000000000001" customHeight="1">
      <c r="D137" s="27">
        <f t="shared" si="38"/>
        <v>0.3722222222222214</v>
      </c>
      <c r="E137" s="16">
        <f t="shared" si="35"/>
        <v>99.011111111112541</v>
      </c>
      <c r="F137" s="16">
        <f t="shared" si="35"/>
        <v>102.73333333333154</v>
      </c>
      <c r="G137" s="16">
        <f t="shared" si="35"/>
        <v>106.45555555555504</v>
      </c>
      <c r="H137" s="17">
        <f t="shared" si="35"/>
        <v>91.56666666666581</v>
      </c>
      <c r="I137" s="17">
        <f t="shared" si="35"/>
        <v>95.28888888888946</v>
      </c>
      <c r="J137" s="17">
        <f t="shared" si="35"/>
        <v>99.011111111112541</v>
      </c>
      <c r="K137" s="18">
        <f t="shared" si="35"/>
        <v>84.12222222222394</v>
      </c>
      <c r="L137" s="18">
        <f t="shared" si="35"/>
        <v>87.844444444443042</v>
      </c>
      <c r="M137" s="18">
        <f t="shared" si="35"/>
        <v>91.56666666666581</v>
      </c>
      <c r="N137" s="19">
        <f t="shared" si="35"/>
        <v>67</v>
      </c>
      <c r="O137" s="19">
        <f t="shared" si="35"/>
        <v>70.72222222222365</v>
      </c>
      <c r="P137" s="19">
        <f t="shared" si="35"/>
        <v>74.444444444445921</v>
      </c>
      <c r="Q137" s="20">
        <f t="shared" si="35"/>
        <v>63.277777777776365</v>
      </c>
      <c r="R137" s="20">
        <f t="shared" si="35"/>
        <v>67</v>
      </c>
      <c r="S137" s="20">
        <f t="shared" si="35"/>
        <v>70.72222222222365</v>
      </c>
      <c r="T137" s="21">
        <f t="shared" si="35"/>
        <v>59.555555555554903</v>
      </c>
      <c r="U137" s="21">
        <f t="shared" si="37"/>
        <v>63.277777777776365</v>
      </c>
      <c r="V137" s="21">
        <f t="shared" si="37"/>
        <v>67</v>
      </c>
      <c r="W137" s="22">
        <f t="shared" si="37"/>
        <v>55.833333333333144</v>
      </c>
      <c r="X137" s="22">
        <f t="shared" si="37"/>
        <v>59.555555555554903</v>
      </c>
      <c r="Y137" s="22">
        <f t="shared" si="37"/>
        <v>63.277777777776365</v>
      </c>
      <c r="Z137" s="23">
        <f t="shared" si="37"/>
        <v>52.111111111111825</v>
      </c>
      <c r="AA137" s="23">
        <f t="shared" si="37"/>
        <v>55.833333333333144</v>
      </c>
      <c r="AB137" s="23">
        <f t="shared" si="37"/>
        <v>59.555555555554903</v>
      </c>
      <c r="AC137" s="24">
        <f t="shared" si="37"/>
        <v>48.388888888888175</v>
      </c>
      <c r="AD137" s="24">
        <f t="shared" si="37"/>
        <v>52.111111111111825</v>
      </c>
      <c r="AE137" s="24">
        <f t="shared" si="37"/>
        <v>55.833333333333144</v>
      </c>
      <c r="AF137" s="25">
        <f t="shared" si="37"/>
        <v>44.666666666667325</v>
      </c>
      <c r="AG137" s="25">
        <f t="shared" si="37"/>
        <v>48.388888888888175</v>
      </c>
      <c r="AH137" s="25">
        <f t="shared" si="37"/>
        <v>52.111111111111825</v>
      </c>
      <c r="AI137" s="26">
        <f t="shared" si="37"/>
        <v>40.944444444444088</v>
      </c>
      <c r="AJ137" s="26">
        <f t="shared" si="37"/>
        <v>44.666666666667325</v>
      </c>
      <c r="AK137" s="26">
        <f t="shared" si="34"/>
        <v>48.388888888888175</v>
      </c>
    </row>
    <row r="138" spans="4:37" ht="20.100000000000001" customHeight="1">
      <c r="D138" s="27">
        <f t="shared" si="38"/>
        <v>0.37499999999999917</v>
      </c>
      <c r="E138" s="16">
        <f t="shared" si="35"/>
        <v>99.750000000001435</v>
      </c>
      <c r="F138" s="16">
        <f t="shared" si="35"/>
        <v>103.49999999999821</v>
      </c>
      <c r="G138" s="16">
        <f t="shared" si="35"/>
        <v>107.24999999999949</v>
      </c>
      <c r="H138" s="17">
        <f t="shared" si="35"/>
        <v>92.249999999999147</v>
      </c>
      <c r="I138" s="17">
        <f t="shared" si="35"/>
        <v>96.000000000000568</v>
      </c>
      <c r="J138" s="17">
        <f t="shared" si="35"/>
        <v>99.750000000001435</v>
      </c>
      <c r="K138" s="18">
        <f t="shared" si="35"/>
        <v>84.75000000000172</v>
      </c>
      <c r="L138" s="18">
        <f t="shared" si="35"/>
        <v>88.499999999998593</v>
      </c>
      <c r="M138" s="18">
        <f t="shared" si="35"/>
        <v>92.249999999999147</v>
      </c>
      <c r="N138" s="19">
        <f t="shared" si="35"/>
        <v>67.5</v>
      </c>
      <c r="O138" s="19">
        <f t="shared" si="35"/>
        <v>71.250000000001421</v>
      </c>
      <c r="P138" s="19">
        <f t="shared" si="35"/>
        <v>75.000000000001478</v>
      </c>
      <c r="Q138" s="20">
        <f t="shared" si="35"/>
        <v>63.749999999998586</v>
      </c>
      <c r="R138" s="20">
        <f t="shared" si="35"/>
        <v>67.5</v>
      </c>
      <c r="S138" s="20">
        <f t="shared" si="35"/>
        <v>71.250000000001421</v>
      </c>
      <c r="T138" s="21">
        <f t="shared" si="35"/>
        <v>59.999999999999346</v>
      </c>
      <c r="U138" s="21">
        <f t="shared" si="37"/>
        <v>63.749999999998586</v>
      </c>
      <c r="V138" s="21">
        <f t="shared" si="37"/>
        <v>67.5</v>
      </c>
      <c r="W138" s="22">
        <f t="shared" si="37"/>
        <v>56.249999999999808</v>
      </c>
      <c r="X138" s="22">
        <f t="shared" si="37"/>
        <v>59.999999999999346</v>
      </c>
      <c r="Y138" s="22">
        <f t="shared" si="37"/>
        <v>63.749999999998586</v>
      </c>
      <c r="Z138" s="23">
        <f t="shared" si="37"/>
        <v>52.500000000000711</v>
      </c>
      <c r="AA138" s="23">
        <f t="shared" si="37"/>
        <v>56.249999999999808</v>
      </c>
      <c r="AB138" s="23">
        <f t="shared" si="37"/>
        <v>59.999999999999346</v>
      </c>
      <c r="AC138" s="24">
        <f t="shared" si="37"/>
        <v>48.749999999999289</v>
      </c>
      <c r="AD138" s="24">
        <f t="shared" si="37"/>
        <v>52.500000000000711</v>
      </c>
      <c r="AE138" s="24">
        <f t="shared" si="37"/>
        <v>56.249999999999808</v>
      </c>
      <c r="AF138" s="25">
        <f t="shared" si="37"/>
        <v>45.000000000000661</v>
      </c>
      <c r="AG138" s="25">
        <f t="shared" si="37"/>
        <v>48.749999999999289</v>
      </c>
      <c r="AH138" s="25">
        <f t="shared" si="37"/>
        <v>52.500000000000711</v>
      </c>
      <c r="AI138" s="26">
        <f t="shared" si="37"/>
        <v>41.249999999999645</v>
      </c>
      <c r="AJ138" s="26">
        <f t="shared" si="37"/>
        <v>45.000000000000661</v>
      </c>
      <c r="AK138" s="26">
        <f t="shared" si="34"/>
        <v>48.749999999999289</v>
      </c>
    </row>
    <row r="139" spans="4:37" ht="20.100000000000001" customHeight="1">
      <c r="D139" s="27">
        <f t="shared" si="38"/>
        <v>0.37777777777777694</v>
      </c>
      <c r="E139" s="16">
        <f t="shared" si="35"/>
        <v>100.48888888889033</v>
      </c>
      <c r="F139" s="16">
        <f t="shared" si="35"/>
        <v>104.26666666666488</v>
      </c>
      <c r="G139" s="16">
        <f t="shared" si="35"/>
        <v>108.04444444444394</v>
      </c>
      <c r="H139" s="17">
        <f t="shared" si="35"/>
        <v>92.933333333332484</v>
      </c>
      <c r="I139" s="17">
        <f t="shared" si="35"/>
        <v>96.711111111111677</v>
      </c>
      <c r="J139" s="17">
        <f t="shared" si="35"/>
        <v>100.48888888889033</v>
      </c>
      <c r="K139" s="18">
        <f t="shared" si="35"/>
        <v>85.3777777777795</v>
      </c>
      <c r="L139" s="18">
        <f t="shared" si="35"/>
        <v>89.155555555554145</v>
      </c>
      <c r="M139" s="18">
        <f t="shared" si="35"/>
        <v>92.933333333332484</v>
      </c>
      <c r="N139" s="19">
        <f t="shared" si="35"/>
        <v>68</v>
      </c>
      <c r="O139" s="19">
        <f t="shared" si="35"/>
        <v>71.777777777779193</v>
      </c>
      <c r="P139" s="19">
        <f t="shared" si="35"/>
        <v>75.555555555557035</v>
      </c>
      <c r="Q139" s="20">
        <f t="shared" si="35"/>
        <v>64.222222222220807</v>
      </c>
      <c r="R139" s="20">
        <f t="shared" si="35"/>
        <v>68</v>
      </c>
      <c r="S139" s="20">
        <f t="shared" si="35"/>
        <v>71.777777777779193</v>
      </c>
      <c r="T139" s="21">
        <f t="shared" si="35"/>
        <v>60.444444444443789</v>
      </c>
      <c r="U139" s="21">
        <f t="shared" si="37"/>
        <v>64.222222222220807</v>
      </c>
      <c r="V139" s="21">
        <f t="shared" si="37"/>
        <v>68</v>
      </c>
      <c r="W139" s="22">
        <f t="shared" si="37"/>
        <v>56.666666666666472</v>
      </c>
      <c r="X139" s="22">
        <f t="shared" si="37"/>
        <v>60.444444444443789</v>
      </c>
      <c r="Y139" s="22">
        <f t="shared" si="37"/>
        <v>64.222222222220807</v>
      </c>
      <c r="Z139" s="23">
        <f t="shared" si="37"/>
        <v>52.888888888889596</v>
      </c>
      <c r="AA139" s="23">
        <f t="shared" si="37"/>
        <v>56.666666666666472</v>
      </c>
      <c r="AB139" s="23">
        <f t="shared" si="37"/>
        <v>60.444444444443789</v>
      </c>
      <c r="AC139" s="24">
        <f t="shared" si="37"/>
        <v>49.111111111110404</v>
      </c>
      <c r="AD139" s="24">
        <f t="shared" si="37"/>
        <v>52.888888888889596</v>
      </c>
      <c r="AE139" s="24">
        <f t="shared" si="37"/>
        <v>56.666666666666472</v>
      </c>
      <c r="AF139" s="25">
        <f t="shared" si="37"/>
        <v>45.333333333333997</v>
      </c>
      <c r="AG139" s="25">
        <f t="shared" si="37"/>
        <v>49.111111111110404</v>
      </c>
      <c r="AH139" s="25">
        <f t="shared" si="37"/>
        <v>52.888888888889596</v>
      </c>
      <c r="AI139" s="26">
        <f t="shared" si="37"/>
        <v>41.555555555555202</v>
      </c>
      <c r="AJ139" s="26">
        <f t="shared" si="37"/>
        <v>45.333333333333997</v>
      </c>
      <c r="AK139" s="26">
        <f t="shared" si="34"/>
        <v>49.111111111110404</v>
      </c>
    </row>
    <row r="140" spans="4:37" ht="20.100000000000001" customHeight="1">
      <c r="D140" s="27">
        <f t="shared" si="38"/>
        <v>0.3805555555555547</v>
      </c>
      <c r="E140" s="16">
        <f t="shared" si="35"/>
        <v>101.22777777777922</v>
      </c>
      <c r="F140" s="16">
        <f t="shared" si="35"/>
        <v>105.03333333333154</v>
      </c>
      <c r="G140" s="16">
        <f t="shared" si="35"/>
        <v>108.83888888888839</v>
      </c>
      <c r="H140" s="17">
        <f t="shared" si="35"/>
        <v>93.616666666665822</v>
      </c>
      <c r="I140" s="17">
        <f t="shared" si="35"/>
        <v>97.422222222222786</v>
      </c>
      <c r="J140" s="17">
        <f t="shared" si="35"/>
        <v>101.22777777777922</v>
      </c>
      <c r="K140" s="18">
        <f t="shared" si="35"/>
        <v>86.005555555557279</v>
      </c>
      <c r="L140" s="18">
        <f t="shared" si="35"/>
        <v>89.811111111109696</v>
      </c>
      <c r="M140" s="18">
        <f t="shared" si="35"/>
        <v>93.616666666665822</v>
      </c>
      <c r="N140" s="19">
        <f t="shared" si="35"/>
        <v>68.5</v>
      </c>
      <c r="O140" s="19">
        <f t="shared" si="35"/>
        <v>72.305555555556964</v>
      </c>
      <c r="P140" s="19">
        <f t="shared" si="35"/>
        <v>76.111111111112592</v>
      </c>
      <c r="Q140" s="20">
        <f t="shared" si="35"/>
        <v>64.694444444443036</v>
      </c>
      <c r="R140" s="20">
        <f t="shared" si="35"/>
        <v>68.5</v>
      </c>
      <c r="S140" s="20">
        <f t="shared" si="35"/>
        <v>72.305555555556964</v>
      </c>
      <c r="T140" s="21">
        <f t="shared" si="35"/>
        <v>60.888888888888232</v>
      </c>
      <c r="U140" s="21">
        <f t="shared" si="37"/>
        <v>64.694444444443036</v>
      </c>
      <c r="V140" s="21">
        <f t="shared" si="37"/>
        <v>68.5</v>
      </c>
      <c r="W140" s="22">
        <f t="shared" si="37"/>
        <v>57.083333333333137</v>
      </c>
      <c r="X140" s="22">
        <f t="shared" si="37"/>
        <v>60.888888888888232</v>
      </c>
      <c r="Y140" s="22">
        <f t="shared" si="37"/>
        <v>64.694444444443036</v>
      </c>
      <c r="Z140" s="23">
        <f t="shared" si="37"/>
        <v>53.277777777778482</v>
      </c>
      <c r="AA140" s="23">
        <f t="shared" si="37"/>
        <v>57.083333333333137</v>
      </c>
      <c r="AB140" s="23">
        <f t="shared" si="37"/>
        <v>60.888888888888232</v>
      </c>
      <c r="AC140" s="24">
        <f t="shared" si="37"/>
        <v>49.472222222221518</v>
      </c>
      <c r="AD140" s="24">
        <f t="shared" si="37"/>
        <v>53.277777777778482</v>
      </c>
      <c r="AE140" s="24">
        <f t="shared" si="37"/>
        <v>57.083333333333137</v>
      </c>
      <c r="AF140" s="25">
        <f t="shared" si="37"/>
        <v>45.666666666667332</v>
      </c>
      <c r="AG140" s="25">
        <f t="shared" si="37"/>
        <v>49.472222222221518</v>
      </c>
      <c r="AH140" s="25">
        <f t="shared" si="37"/>
        <v>53.277777777778482</v>
      </c>
      <c r="AI140" s="26">
        <f t="shared" si="37"/>
        <v>41.861111111110759</v>
      </c>
      <c r="AJ140" s="26">
        <f t="shared" si="37"/>
        <v>45.666666666667332</v>
      </c>
      <c r="AK140" s="26">
        <f t="shared" si="34"/>
        <v>49.472222222221518</v>
      </c>
    </row>
    <row r="141" spans="4:37" ht="20.100000000000001" customHeight="1">
      <c r="D141" s="27">
        <f t="shared" si="38"/>
        <v>0.38333333333333247</v>
      </c>
      <c r="E141" s="16">
        <f t="shared" si="35"/>
        <v>101.96666666666812</v>
      </c>
      <c r="F141" s="16">
        <f t="shared" si="35"/>
        <v>105.79999999999821</v>
      </c>
      <c r="G141" s="16">
        <f t="shared" si="35"/>
        <v>109.63333333333284</v>
      </c>
      <c r="H141" s="17">
        <f t="shared" si="35"/>
        <v>94.299999999999159</v>
      </c>
      <c r="I141" s="17">
        <f t="shared" si="35"/>
        <v>98.133333333333894</v>
      </c>
      <c r="J141" s="17">
        <f t="shared" si="35"/>
        <v>101.96666666666812</v>
      </c>
      <c r="K141" s="18">
        <f t="shared" si="35"/>
        <v>86.633333333335059</v>
      </c>
      <c r="L141" s="18">
        <f t="shared" si="35"/>
        <v>90.466666666665247</v>
      </c>
      <c r="M141" s="18">
        <f t="shared" si="35"/>
        <v>94.299999999999159</v>
      </c>
      <c r="N141" s="19">
        <f t="shared" si="35"/>
        <v>69</v>
      </c>
      <c r="O141" s="19">
        <f t="shared" si="35"/>
        <v>72.833333333334735</v>
      </c>
      <c r="P141" s="19">
        <f t="shared" si="35"/>
        <v>76.666666666668149</v>
      </c>
      <c r="Q141" s="20">
        <f t="shared" si="35"/>
        <v>65.166666666665265</v>
      </c>
      <c r="R141" s="20">
        <f t="shared" si="35"/>
        <v>69</v>
      </c>
      <c r="S141" s="20">
        <f t="shared" si="35"/>
        <v>72.833333333334735</v>
      </c>
      <c r="T141" s="21">
        <f t="shared" si="35"/>
        <v>61.333333333332675</v>
      </c>
      <c r="U141" s="21">
        <f t="shared" si="37"/>
        <v>65.166666666665265</v>
      </c>
      <c r="V141" s="21">
        <f t="shared" si="37"/>
        <v>69</v>
      </c>
      <c r="W141" s="22">
        <f t="shared" si="37"/>
        <v>57.499999999999801</v>
      </c>
      <c r="X141" s="22">
        <f t="shared" si="37"/>
        <v>61.333333333332675</v>
      </c>
      <c r="Y141" s="22">
        <f t="shared" si="37"/>
        <v>65.166666666665265</v>
      </c>
      <c r="Z141" s="23">
        <f t="shared" si="37"/>
        <v>53.666666666667368</v>
      </c>
      <c r="AA141" s="23">
        <f t="shared" si="37"/>
        <v>57.499999999999801</v>
      </c>
      <c r="AB141" s="23">
        <f t="shared" si="37"/>
        <v>61.333333333332675</v>
      </c>
      <c r="AC141" s="24">
        <f t="shared" si="37"/>
        <v>49.833333333332632</v>
      </c>
      <c r="AD141" s="24">
        <f t="shared" si="37"/>
        <v>53.666666666667368</v>
      </c>
      <c r="AE141" s="24">
        <f t="shared" si="37"/>
        <v>57.499999999999801</v>
      </c>
      <c r="AF141" s="25">
        <f t="shared" si="37"/>
        <v>46.000000000000668</v>
      </c>
      <c r="AG141" s="25">
        <f t="shared" si="37"/>
        <v>49.833333333332632</v>
      </c>
      <c r="AH141" s="25">
        <f t="shared" si="37"/>
        <v>53.666666666667368</v>
      </c>
      <c r="AI141" s="26">
        <f t="shared" si="37"/>
        <v>42.166666666666316</v>
      </c>
      <c r="AJ141" s="26">
        <f t="shared" si="37"/>
        <v>46.000000000000668</v>
      </c>
      <c r="AK141" s="26">
        <f t="shared" si="34"/>
        <v>49.833333333332632</v>
      </c>
    </row>
    <row r="142" spans="4:37" ht="20.100000000000001" customHeight="1">
      <c r="D142" s="27">
        <f t="shared" si="38"/>
        <v>0.38611111111111024</v>
      </c>
      <c r="E142" s="16">
        <f t="shared" si="35"/>
        <v>102.70555555555701</v>
      </c>
      <c r="F142" s="16">
        <f t="shared" si="35"/>
        <v>106.56666666666487</v>
      </c>
      <c r="G142" s="16">
        <f t="shared" si="35"/>
        <v>110.42777777777729</v>
      </c>
      <c r="H142" s="17">
        <f t="shared" si="35"/>
        <v>94.983333333332496</v>
      </c>
      <c r="I142" s="17">
        <f t="shared" si="35"/>
        <v>98.844444444445003</v>
      </c>
      <c r="J142" s="17">
        <f t="shared" si="35"/>
        <v>102.70555555555701</v>
      </c>
      <c r="K142" s="18">
        <f t="shared" si="35"/>
        <v>87.261111111112839</v>
      </c>
      <c r="L142" s="18">
        <f t="shared" si="35"/>
        <v>91.122222222220799</v>
      </c>
      <c r="M142" s="18">
        <f t="shared" si="35"/>
        <v>94.983333333332496</v>
      </c>
      <c r="N142" s="19">
        <f t="shared" si="35"/>
        <v>69.5</v>
      </c>
      <c r="O142" s="19">
        <f t="shared" si="35"/>
        <v>73.361111111112507</v>
      </c>
      <c r="P142" s="19">
        <f t="shared" si="35"/>
        <v>77.222222222223706</v>
      </c>
      <c r="Q142" s="20">
        <f t="shared" si="35"/>
        <v>65.638888888887493</v>
      </c>
      <c r="R142" s="20">
        <f t="shared" si="35"/>
        <v>69.5</v>
      </c>
      <c r="S142" s="20">
        <f t="shared" si="35"/>
        <v>73.361111111112507</v>
      </c>
      <c r="T142" s="21">
        <f t="shared" si="35"/>
        <v>61.777777777777118</v>
      </c>
      <c r="U142" s="21">
        <f t="shared" si="37"/>
        <v>65.638888888887493</v>
      </c>
      <c r="V142" s="21">
        <f t="shared" si="37"/>
        <v>69.5</v>
      </c>
      <c r="W142" s="22">
        <f t="shared" si="37"/>
        <v>57.916666666666465</v>
      </c>
      <c r="X142" s="22">
        <f t="shared" si="37"/>
        <v>61.777777777777118</v>
      </c>
      <c r="Y142" s="22">
        <f t="shared" si="37"/>
        <v>65.638888888887493</v>
      </c>
      <c r="Z142" s="23">
        <f t="shared" si="37"/>
        <v>54.055555555556253</v>
      </c>
      <c r="AA142" s="23">
        <f t="shared" si="37"/>
        <v>57.916666666666465</v>
      </c>
      <c r="AB142" s="23">
        <f t="shared" si="37"/>
        <v>61.777777777777118</v>
      </c>
      <c r="AC142" s="24">
        <f t="shared" si="37"/>
        <v>50.194444444443747</v>
      </c>
      <c r="AD142" s="24">
        <f t="shared" si="37"/>
        <v>54.055555555556253</v>
      </c>
      <c r="AE142" s="24">
        <f t="shared" si="37"/>
        <v>57.916666666666465</v>
      </c>
      <c r="AF142" s="25">
        <f t="shared" si="37"/>
        <v>46.333333333334004</v>
      </c>
      <c r="AG142" s="25">
        <f t="shared" si="37"/>
        <v>50.194444444443747</v>
      </c>
      <c r="AH142" s="25">
        <f t="shared" si="37"/>
        <v>54.055555555556253</v>
      </c>
      <c r="AI142" s="26">
        <f t="shared" si="37"/>
        <v>42.472222222221873</v>
      </c>
      <c r="AJ142" s="26">
        <f t="shared" si="37"/>
        <v>46.333333333334004</v>
      </c>
      <c r="AK142" s="26">
        <f t="shared" si="34"/>
        <v>50.194444444443747</v>
      </c>
    </row>
    <row r="143" spans="4:37" ht="20.100000000000001" customHeight="1">
      <c r="D143" s="27">
        <f t="shared" si="38"/>
        <v>0.38888888888888801</v>
      </c>
      <c r="E143" s="16">
        <f t="shared" si="35"/>
        <v>103.44444444444591</v>
      </c>
      <c r="F143" s="16">
        <f t="shared" si="35"/>
        <v>107.33333333333154</v>
      </c>
      <c r="G143" s="16">
        <f t="shared" si="35"/>
        <v>111.22222222222175</v>
      </c>
      <c r="H143" s="17">
        <f t="shared" si="35"/>
        <v>95.666666666665833</v>
      </c>
      <c r="I143" s="17">
        <f t="shared" si="35"/>
        <v>99.555555555556111</v>
      </c>
      <c r="J143" s="17">
        <f t="shared" si="35"/>
        <v>103.44444444444591</v>
      </c>
      <c r="K143" s="18">
        <f t="shared" si="35"/>
        <v>87.888888888890619</v>
      </c>
      <c r="L143" s="18">
        <f t="shared" si="35"/>
        <v>91.77777777777635</v>
      </c>
      <c r="M143" s="18">
        <f t="shared" si="35"/>
        <v>95.666666666665833</v>
      </c>
      <c r="N143" s="19">
        <f t="shared" si="35"/>
        <v>70</v>
      </c>
      <c r="O143" s="19">
        <f t="shared" si="35"/>
        <v>73.888888888890278</v>
      </c>
      <c r="P143" s="19">
        <f t="shared" si="35"/>
        <v>77.777777777779264</v>
      </c>
      <c r="Q143" s="20">
        <f t="shared" si="35"/>
        <v>66.111111111109722</v>
      </c>
      <c r="R143" s="20">
        <f t="shared" si="35"/>
        <v>70</v>
      </c>
      <c r="S143" s="20">
        <f t="shared" si="35"/>
        <v>73.888888888890278</v>
      </c>
      <c r="T143" s="21">
        <f t="shared" si="35"/>
        <v>62.222222222221561</v>
      </c>
      <c r="U143" s="21">
        <f t="shared" si="37"/>
        <v>66.111111111109722</v>
      </c>
      <c r="V143" s="21">
        <f t="shared" si="37"/>
        <v>70</v>
      </c>
      <c r="W143" s="22">
        <f t="shared" si="37"/>
        <v>58.33333333333313</v>
      </c>
      <c r="X143" s="22">
        <f t="shared" si="37"/>
        <v>62.222222222221561</v>
      </c>
      <c r="Y143" s="22">
        <f t="shared" si="37"/>
        <v>66.111111111109722</v>
      </c>
      <c r="Z143" s="23">
        <f t="shared" si="37"/>
        <v>54.444444444445139</v>
      </c>
      <c r="AA143" s="23">
        <f t="shared" si="37"/>
        <v>58.33333333333313</v>
      </c>
      <c r="AB143" s="23">
        <f t="shared" si="37"/>
        <v>62.222222222221561</v>
      </c>
      <c r="AC143" s="24">
        <f t="shared" si="37"/>
        <v>50.555555555554861</v>
      </c>
      <c r="AD143" s="24">
        <f t="shared" si="37"/>
        <v>54.444444444445139</v>
      </c>
      <c r="AE143" s="24">
        <f t="shared" si="37"/>
        <v>58.33333333333313</v>
      </c>
      <c r="AF143" s="25">
        <f t="shared" si="37"/>
        <v>46.666666666667339</v>
      </c>
      <c r="AG143" s="25">
        <f t="shared" si="37"/>
        <v>50.555555555554861</v>
      </c>
      <c r="AH143" s="25">
        <f t="shared" si="37"/>
        <v>54.444444444445139</v>
      </c>
      <c r="AI143" s="26">
        <f t="shared" si="37"/>
        <v>42.77777777777743</v>
      </c>
      <c r="AJ143" s="26">
        <f t="shared" si="37"/>
        <v>46.666666666667339</v>
      </c>
      <c r="AK143" s="26">
        <f t="shared" si="34"/>
        <v>50.555555555554861</v>
      </c>
    </row>
    <row r="144" spans="4:37" ht="20.100000000000001" customHeight="1">
      <c r="D144" s="27">
        <f t="shared" si="38"/>
        <v>0.39166666666666577</v>
      </c>
      <c r="E144" s="16">
        <f t="shared" si="35"/>
        <v>104.1833333333348</v>
      </c>
      <c r="F144" s="16">
        <f t="shared" si="35"/>
        <v>108.0999999999982</v>
      </c>
      <c r="G144" s="16">
        <f t="shared" si="35"/>
        <v>112.0166666666662</v>
      </c>
      <c r="H144" s="17">
        <f t="shared" si="35"/>
        <v>96.34999999999917</v>
      </c>
      <c r="I144" s="17">
        <f t="shared" si="35"/>
        <v>100.26666666666722</v>
      </c>
      <c r="J144" s="17">
        <f t="shared" si="35"/>
        <v>104.1833333333348</v>
      </c>
      <c r="K144" s="18">
        <f t="shared" si="35"/>
        <v>88.516666666668399</v>
      </c>
      <c r="L144" s="18">
        <f t="shared" si="35"/>
        <v>92.433333333331902</v>
      </c>
      <c r="M144" s="18">
        <f t="shared" si="35"/>
        <v>96.34999999999917</v>
      </c>
      <c r="N144" s="19">
        <f t="shared" si="35"/>
        <v>70.5</v>
      </c>
      <c r="O144" s="19">
        <f t="shared" si="35"/>
        <v>74.41666666666805</v>
      </c>
      <c r="P144" s="19">
        <f t="shared" si="35"/>
        <v>78.333333333334821</v>
      </c>
      <c r="Q144" s="20">
        <f t="shared" si="35"/>
        <v>66.58333333333195</v>
      </c>
      <c r="R144" s="20">
        <f t="shared" si="35"/>
        <v>70.5</v>
      </c>
      <c r="S144" s="20">
        <f t="shared" si="35"/>
        <v>74.41666666666805</v>
      </c>
      <c r="T144" s="21">
        <f t="shared" ref="T144:AI162" si="39">T145-(T$363/360)</f>
        <v>62.666666666666003</v>
      </c>
      <c r="U144" s="21">
        <f t="shared" si="37"/>
        <v>66.58333333333195</v>
      </c>
      <c r="V144" s="21">
        <f t="shared" si="37"/>
        <v>70.5</v>
      </c>
      <c r="W144" s="22">
        <f t="shared" si="37"/>
        <v>58.749999999999794</v>
      </c>
      <c r="X144" s="22">
        <f t="shared" si="37"/>
        <v>62.666666666666003</v>
      </c>
      <c r="Y144" s="22">
        <f t="shared" si="37"/>
        <v>66.58333333333195</v>
      </c>
      <c r="Z144" s="23">
        <f t="shared" si="37"/>
        <v>54.833333333334025</v>
      </c>
      <c r="AA144" s="23">
        <f t="shared" si="37"/>
        <v>58.749999999999794</v>
      </c>
      <c r="AB144" s="23">
        <f t="shared" si="37"/>
        <v>62.666666666666003</v>
      </c>
      <c r="AC144" s="24">
        <f t="shared" si="37"/>
        <v>50.916666666665975</v>
      </c>
      <c r="AD144" s="24">
        <f t="shared" si="37"/>
        <v>54.833333333334025</v>
      </c>
      <c r="AE144" s="24">
        <f t="shared" si="37"/>
        <v>58.749999999999794</v>
      </c>
      <c r="AF144" s="25">
        <f t="shared" si="37"/>
        <v>47.000000000000675</v>
      </c>
      <c r="AG144" s="25">
        <f t="shared" si="37"/>
        <v>50.916666666665975</v>
      </c>
      <c r="AH144" s="25">
        <f t="shared" si="37"/>
        <v>54.833333333334025</v>
      </c>
      <c r="AI144" s="26">
        <f t="shared" si="37"/>
        <v>43.083333333332988</v>
      </c>
      <c r="AJ144" s="26">
        <f t="shared" si="37"/>
        <v>47.000000000000675</v>
      </c>
      <c r="AK144" s="26">
        <f t="shared" si="34"/>
        <v>50.916666666665975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104.9222222222237</v>
      </c>
      <c r="F145" s="16">
        <f t="shared" si="40"/>
        <v>108.86666666666487</v>
      </c>
      <c r="G145" s="16">
        <f t="shared" si="40"/>
        <v>112.81111111111065</v>
      </c>
      <c r="H145" s="17">
        <f t="shared" si="40"/>
        <v>97.033333333332507</v>
      </c>
      <c r="I145" s="17">
        <f t="shared" si="40"/>
        <v>100.97777777777833</v>
      </c>
      <c r="J145" s="17">
        <f t="shared" si="40"/>
        <v>104.9222222222237</v>
      </c>
      <c r="K145" s="18">
        <f t="shared" si="40"/>
        <v>89.144444444446179</v>
      </c>
      <c r="L145" s="18">
        <f t="shared" si="40"/>
        <v>93.088888888887453</v>
      </c>
      <c r="M145" s="18">
        <f t="shared" si="40"/>
        <v>97.033333333332507</v>
      </c>
      <c r="N145" s="19">
        <f t="shared" si="40"/>
        <v>71</v>
      </c>
      <c r="O145" s="19">
        <f t="shared" si="40"/>
        <v>74.944444444445821</v>
      </c>
      <c r="P145" s="19">
        <f t="shared" si="40"/>
        <v>78.888888888890378</v>
      </c>
      <c r="Q145" s="20">
        <f t="shared" si="40"/>
        <v>67.055555555554179</v>
      </c>
      <c r="R145" s="20">
        <f t="shared" si="40"/>
        <v>71</v>
      </c>
      <c r="S145" s="20">
        <f t="shared" si="40"/>
        <v>74.944444444445821</v>
      </c>
      <c r="T145" s="21">
        <f t="shared" si="39"/>
        <v>63.111111111110446</v>
      </c>
      <c r="U145" s="21">
        <f t="shared" si="37"/>
        <v>67.055555555554179</v>
      </c>
      <c r="V145" s="21">
        <f t="shared" si="37"/>
        <v>71</v>
      </c>
      <c r="W145" s="22">
        <f t="shared" si="37"/>
        <v>59.166666666666458</v>
      </c>
      <c r="X145" s="22">
        <f t="shared" si="37"/>
        <v>63.111111111110446</v>
      </c>
      <c r="Y145" s="22">
        <f t="shared" si="37"/>
        <v>67.055555555554179</v>
      </c>
      <c r="Z145" s="23">
        <f t="shared" si="37"/>
        <v>55.222222222222911</v>
      </c>
      <c r="AA145" s="23">
        <f t="shared" si="37"/>
        <v>59.166666666666458</v>
      </c>
      <c r="AB145" s="23">
        <f t="shared" si="37"/>
        <v>63.111111111110446</v>
      </c>
      <c r="AC145" s="24">
        <f t="shared" si="37"/>
        <v>51.277777777777089</v>
      </c>
      <c r="AD145" s="24">
        <f t="shared" si="37"/>
        <v>55.222222222222911</v>
      </c>
      <c r="AE145" s="24">
        <f t="shared" si="37"/>
        <v>59.166666666666458</v>
      </c>
      <c r="AF145" s="25">
        <f t="shared" si="37"/>
        <v>47.333333333334011</v>
      </c>
      <c r="AG145" s="25">
        <f t="shared" si="37"/>
        <v>51.277777777777089</v>
      </c>
      <c r="AH145" s="25">
        <f t="shared" si="37"/>
        <v>55.222222222222911</v>
      </c>
      <c r="AI145" s="26">
        <f t="shared" si="37"/>
        <v>43.388888888888545</v>
      </c>
      <c r="AJ145" s="26">
        <f t="shared" si="37"/>
        <v>47.333333333334011</v>
      </c>
      <c r="AK145" s="26">
        <f t="shared" si="34"/>
        <v>51.277777777777089</v>
      </c>
    </row>
    <row r="146" spans="4:37" ht="20.100000000000001" customHeight="1">
      <c r="D146" s="27">
        <f t="shared" si="38"/>
        <v>0.39722222222222131</v>
      </c>
      <c r="E146" s="16">
        <f t="shared" si="40"/>
        <v>105.66111111111259</v>
      </c>
      <c r="F146" s="16">
        <f t="shared" si="40"/>
        <v>109.63333333333154</v>
      </c>
      <c r="G146" s="16">
        <f t="shared" si="40"/>
        <v>113.6055555555551</v>
      </c>
      <c r="H146" s="17">
        <f t="shared" si="40"/>
        <v>97.716666666665844</v>
      </c>
      <c r="I146" s="17">
        <f t="shared" si="40"/>
        <v>101.68888888888944</v>
      </c>
      <c r="J146" s="17">
        <f t="shared" si="40"/>
        <v>105.66111111111259</v>
      </c>
      <c r="K146" s="18">
        <f t="shared" si="40"/>
        <v>89.772222222223959</v>
      </c>
      <c r="L146" s="18">
        <f t="shared" si="40"/>
        <v>93.744444444443005</v>
      </c>
      <c r="M146" s="18">
        <f t="shared" si="40"/>
        <v>97.716666666665844</v>
      </c>
      <c r="N146" s="19">
        <f t="shared" si="40"/>
        <v>71.5</v>
      </c>
      <c r="O146" s="19">
        <f t="shared" si="40"/>
        <v>75.472222222223593</v>
      </c>
      <c r="P146" s="19">
        <f t="shared" si="40"/>
        <v>79.444444444445935</v>
      </c>
      <c r="Q146" s="20">
        <f t="shared" si="40"/>
        <v>67.527777777776407</v>
      </c>
      <c r="R146" s="20">
        <f t="shared" si="40"/>
        <v>71.5</v>
      </c>
      <c r="S146" s="20">
        <f t="shared" si="40"/>
        <v>75.472222222223593</v>
      </c>
      <c r="T146" s="21">
        <f t="shared" si="39"/>
        <v>63.555555555554889</v>
      </c>
      <c r="U146" s="21">
        <f t="shared" si="37"/>
        <v>67.527777777776407</v>
      </c>
      <c r="V146" s="21">
        <f t="shared" si="37"/>
        <v>71.5</v>
      </c>
      <c r="W146" s="22">
        <f t="shared" si="37"/>
        <v>59.583333333333123</v>
      </c>
      <c r="X146" s="22">
        <f t="shared" si="37"/>
        <v>63.555555555554889</v>
      </c>
      <c r="Y146" s="22">
        <f t="shared" si="37"/>
        <v>67.527777777776407</v>
      </c>
      <c r="Z146" s="23">
        <f t="shared" si="37"/>
        <v>55.611111111111796</v>
      </c>
      <c r="AA146" s="23">
        <f t="shared" si="37"/>
        <v>59.583333333333123</v>
      </c>
      <c r="AB146" s="23">
        <f t="shared" si="37"/>
        <v>63.555555555554889</v>
      </c>
      <c r="AC146" s="24">
        <f t="shared" si="37"/>
        <v>51.638888888888204</v>
      </c>
      <c r="AD146" s="24">
        <f t="shared" si="37"/>
        <v>55.611111111111796</v>
      </c>
      <c r="AE146" s="24">
        <f t="shared" si="37"/>
        <v>59.583333333333123</v>
      </c>
      <c r="AF146" s="25">
        <f t="shared" si="37"/>
        <v>47.666666666667346</v>
      </c>
      <c r="AG146" s="25">
        <f t="shared" si="37"/>
        <v>51.638888888888204</v>
      </c>
      <c r="AH146" s="25">
        <f t="shared" si="37"/>
        <v>55.611111111111796</v>
      </c>
      <c r="AI146" s="26">
        <f t="shared" si="37"/>
        <v>43.694444444444102</v>
      </c>
      <c r="AJ146" s="26">
        <f t="shared" ref="AJ146:AK161" si="41">AJ147-(AJ$363/360)</f>
        <v>47.666666666667346</v>
      </c>
      <c r="AK146" s="26">
        <f t="shared" si="41"/>
        <v>51.638888888888204</v>
      </c>
    </row>
    <row r="147" spans="4:37" ht="20.100000000000001" customHeight="1">
      <c r="D147" s="27">
        <f t="shared" si="38"/>
        <v>0.39999999999999908</v>
      </c>
      <c r="E147" s="16">
        <f t="shared" si="40"/>
        <v>106.40000000000148</v>
      </c>
      <c r="F147" s="16">
        <f t="shared" si="40"/>
        <v>110.3999999999982</v>
      </c>
      <c r="G147" s="16">
        <f t="shared" si="40"/>
        <v>114.39999999999955</v>
      </c>
      <c r="H147" s="17">
        <f t="shared" si="40"/>
        <v>98.399999999999181</v>
      </c>
      <c r="I147" s="17">
        <f t="shared" si="40"/>
        <v>102.40000000000055</v>
      </c>
      <c r="J147" s="17">
        <f t="shared" si="40"/>
        <v>106.40000000000148</v>
      </c>
      <c r="K147" s="18">
        <f t="shared" si="40"/>
        <v>90.400000000001739</v>
      </c>
      <c r="L147" s="18">
        <f t="shared" si="40"/>
        <v>94.399999999998556</v>
      </c>
      <c r="M147" s="18">
        <f t="shared" si="40"/>
        <v>98.399999999999181</v>
      </c>
      <c r="N147" s="19">
        <f t="shared" si="40"/>
        <v>72</v>
      </c>
      <c r="O147" s="19">
        <f t="shared" si="40"/>
        <v>76.000000000001364</v>
      </c>
      <c r="P147" s="19">
        <f t="shared" si="40"/>
        <v>80.000000000001492</v>
      </c>
      <c r="Q147" s="20">
        <f t="shared" si="40"/>
        <v>67.999999999998636</v>
      </c>
      <c r="R147" s="20">
        <f t="shared" si="40"/>
        <v>72</v>
      </c>
      <c r="S147" s="20">
        <f t="shared" si="40"/>
        <v>76.000000000001364</v>
      </c>
      <c r="T147" s="21">
        <f t="shared" si="39"/>
        <v>63.999999999999332</v>
      </c>
      <c r="U147" s="21">
        <f t="shared" si="39"/>
        <v>67.999999999998636</v>
      </c>
      <c r="V147" s="21">
        <f t="shared" si="39"/>
        <v>72</v>
      </c>
      <c r="W147" s="22">
        <f t="shared" si="39"/>
        <v>59.999999999999787</v>
      </c>
      <c r="X147" s="22">
        <f t="shared" si="39"/>
        <v>63.999999999999332</v>
      </c>
      <c r="Y147" s="22">
        <f t="shared" si="39"/>
        <v>67.999999999998636</v>
      </c>
      <c r="Z147" s="23">
        <f t="shared" si="39"/>
        <v>56.000000000000682</v>
      </c>
      <c r="AA147" s="23">
        <f t="shared" si="39"/>
        <v>59.999999999999787</v>
      </c>
      <c r="AB147" s="23">
        <f t="shared" si="39"/>
        <v>63.999999999999332</v>
      </c>
      <c r="AC147" s="24">
        <f t="shared" si="39"/>
        <v>51.999999999999318</v>
      </c>
      <c r="AD147" s="24">
        <f t="shared" si="39"/>
        <v>56.000000000000682</v>
      </c>
      <c r="AE147" s="24">
        <f t="shared" si="39"/>
        <v>59.999999999999787</v>
      </c>
      <c r="AF147" s="25">
        <f t="shared" si="39"/>
        <v>48.000000000000682</v>
      </c>
      <c r="AG147" s="25">
        <f t="shared" si="39"/>
        <v>51.999999999999318</v>
      </c>
      <c r="AH147" s="25">
        <f t="shared" si="39"/>
        <v>56.000000000000682</v>
      </c>
      <c r="AI147" s="26">
        <f t="shared" si="39"/>
        <v>43.999999999999659</v>
      </c>
      <c r="AJ147" s="26">
        <f t="shared" si="41"/>
        <v>48.000000000000682</v>
      </c>
      <c r="AK147" s="26">
        <f t="shared" si="41"/>
        <v>51.999999999999318</v>
      </c>
    </row>
    <row r="148" spans="4:37" ht="20.100000000000001" customHeight="1">
      <c r="D148" s="27">
        <f t="shared" si="38"/>
        <v>0.40277777777777685</v>
      </c>
      <c r="E148" s="16">
        <f t="shared" si="40"/>
        <v>107.13888888889038</v>
      </c>
      <c r="F148" s="16">
        <f t="shared" si="40"/>
        <v>111.16666666666487</v>
      </c>
      <c r="G148" s="16">
        <f t="shared" si="40"/>
        <v>115.194444444444</v>
      </c>
      <c r="H148" s="17">
        <f t="shared" si="40"/>
        <v>99.083333333332519</v>
      </c>
      <c r="I148" s="17">
        <f t="shared" si="40"/>
        <v>103.11111111111165</v>
      </c>
      <c r="J148" s="17">
        <f t="shared" si="40"/>
        <v>107.13888888889038</v>
      </c>
      <c r="K148" s="18">
        <f t="shared" si="40"/>
        <v>91.027777777779519</v>
      </c>
      <c r="L148" s="18">
        <f t="shared" si="40"/>
        <v>95.055555555554108</v>
      </c>
      <c r="M148" s="18">
        <f t="shared" si="40"/>
        <v>99.083333333332519</v>
      </c>
      <c r="N148" s="19">
        <f t="shared" si="40"/>
        <v>72.5</v>
      </c>
      <c r="O148" s="19">
        <f t="shared" si="40"/>
        <v>76.527777777779136</v>
      </c>
      <c r="P148" s="19">
        <f t="shared" si="40"/>
        <v>80.555555555557049</v>
      </c>
      <c r="Q148" s="20">
        <f t="shared" si="40"/>
        <v>68.472222222220864</v>
      </c>
      <c r="R148" s="20">
        <f t="shared" si="40"/>
        <v>72.5</v>
      </c>
      <c r="S148" s="20">
        <f t="shared" si="40"/>
        <v>76.527777777779136</v>
      </c>
      <c r="T148" s="21">
        <f t="shared" si="39"/>
        <v>64.444444444443775</v>
      </c>
      <c r="U148" s="21">
        <f t="shared" si="39"/>
        <v>68.472222222220864</v>
      </c>
      <c r="V148" s="21">
        <f t="shared" si="39"/>
        <v>72.5</v>
      </c>
      <c r="W148" s="22">
        <f t="shared" si="39"/>
        <v>60.416666666666451</v>
      </c>
      <c r="X148" s="22">
        <f t="shared" si="39"/>
        <v>64.444444444443775</v>
      </c>
      <c r="Y148" s="22">
        <f t="shared" si="39"/>
        <v>68.472222222220864</v>
      </c>
      <c r="Z148" s="23">
        <f t="shared" si="39"/>
        <v>56.388888888889568</v>
      </c>
      <c r="AA148" s="23">
        <f t="shared" si="39"/>
        <v>60.416666666666451</v>
      </c>
      <c r="AB148" s="23">
        <f t="shared" si="39"/>
        <v>64.444444444443775</v>
      </c>
      <c r="AC148" s="24">
        <f t="shared" si="39"/>
        <v>52.361111111110432</v>
      </c>
      <c r="AD148" s="24">
        <f t="shared" si="39"/>
        <v>56.388888888889568</v>
      </c>
      <c r="AE148" s="24">
        <f t="shared" si="39"/>
        <v>60.416666666666451</v>
      </c>
      <c r="AF148" s="25">
        <f t="shared" si="39"/>
        <v>48.333333333334018</v>
      </c>
      <c r="AG148" s="25">
        <f t="shared" si="39"/>
        <v>52.361111111110432</v>
      </c>
      <c r="AH148" s="25">
        <f t="shared" si="39"/>
        <v>56.388888888889568</v>
      </c>
      <c r="AI148" s="26">
        <f t="shared" si="39"/>
        <v>44.305555555555216</v>
      </c>
      <c r="AJ148" s="26">
        <f t="shared" si="41"/>
        <v>48.333333333334018</v>
      </c>
      <c r="AK148" s="26">
        <f t="shared" si="41"/>
        <v>52.361111111110432</v>
      </c>
    </row>
    <row r="149" spans="4:37" ht="20.100000000000001" customHeight="1">
      <c r="D149" s="27">
        <f t="shared" si="38"/>
        <v>0.40555555555555461</v>
      </c>
      <c r="E149" s="16">
        <f t="shared" si="40"/>
        <v>107.87777777777927</v>
      </c>
      <c r="F149" s="16">
        <f t="shared" si="40"/>
        <v>111.93333333333153</v>
      </c>
      <c r="G149" s="16">
        <f t="shared" si="40"/>
        <v>115.98888888888845</v>
      </c>
      <c r="H149" s="17">
        <f t="shared" si="40"/>
        <v>99.766666666665856</v>
      </c>
      <c r="I149" s="17">
        <f t="shared" si="40"/>
        <v>103.82222222222276</v>
      </c>
      <c r="J149" s="17">
        <f t="shared" si="40"/>
        <v>107.87777777777927</v>
      </c>
      <c r="K149" s="18">
        <f t="shared" si="40"/>
        <v>91.655555555557299</v>
      </c>
      <c r="L149" s="18">
        <f t="shared" si="40"/>
        <v>95.711111111109659</v>
      </c>
      <c r="M149" s="18">
        <f t="shared" si="40"/>
        <v>99.766666666665856</v>
      </c>
      <c r="N149" s="19">
        <f t="shared" si="40"/>
        <v>73</v>
      </c>
      <c r="O149" s="19">
        <f t="shared" si="40"/>
        <v>77.055555555556907</v>
      </c>
      <c r="P149" s="19">
        <f t="shared" si="40"/>
        <v>81.111111111112606</v>
      </c>
      <c r="Q149" s="20">
        <f t="shared" si="40"/>
        <v>68.944444444443093</v>
      </c>
      <c r="R149" s="20">
        <f t="shared" si="40"/>
        <v>73</v>
      </c>
      <c r="S149" s="20">
        <f t="shared" si="40"/>
        <v>77.055555555556907</v>
      </c>
      <c r="T149" s="21">
        <f t="shared" si="39"/>
        <v>64.888888888888218</v>
      </c>
      <c r="U149" s="21">
        <f t="shared" si="39"/>
        <v>68.944444444443093</v>
      </c>
      <c r="V149" s="21">
        <f t="shared" si="39"/>
        <v>73</v>
      </c>
      <c r="W149" s="22">
        <f t="shared" si="39"/>
        <v>60.833333333333115</v>
      </c>
      <c r="X149" s="22">
        <f t="shared" si="39"/>
        <v>64.888888888888218</v>
      </c>
      <c r="Y149" s="22">
        <f t="shared" si="39"/>
        <v>68.944444444443093</v>
      </c>
      <c r="Z149" s="23">
        <f t="shared" si="39"/>
        <v>56.777777777778454</v>
      </c>
      <c r="AA149" s="23">
        <f t="shared" si="39"/>
        <v>60.833333333333115</v>
      </c>
      <c r="AB149" s="23">
        <f t="shared" si="39"/>
        <v>64.888888888888218</v>
      </c>
      <c r="AC149" s="24">
        <f t="shared" si="39"/>
        <v>52.722222222221546</v>
      </c>
      <c r="AD149" s="24">
        <f t="shared" si="39"/>
        <v>56.777777777778454</v>
      </c>
      <c r="AE149" s="24">
        <f t="shared" si="39"/>
        <v>60.833333333333115</v>
      </c>
      <c r="AF149" s="25">
        <f t="shared" si="39"/>
        <v>48.666666666667354</v>
      </c>
      <c r="AG149" s="25">
        <f t="shared" si="39"/>
        <v>52.722222222221546</v>
      </c>
      <c r="AH149" s="25">
        <f t="shared" si="39"/>
        <v>56.777777777778454</v>
      </c>
      <c r="AI149" s="26">
        <f t="shared" si="39"/>
        <v>44.611111111110773</v>
      </c>
      <c r="AJ149" s="26">
        <f t="shared" si="41"/>
        <v>48.666666666667354</v>
      </c>
      <c r="AK149" s="26">
        <f t="shared" si="41"/>
        <v>52.722222222221546</v>
      </c>
    </row>
    <row r="150" spans="4:37" ht="20.100000000000001" customHeight="1">
      <c r="D150" s="27">
        <f t="shared" si="38"/>
        <v>0.40833333333333238</v>
      </c>
      <c r="E150" s="16">
        <f t="shared" si="40"/>
        <v>108.61666666666817</v>
      </c>
      <c r="F150" s="16">
        <f t="shared" si="40"/>
        <v>112.6999999999982</v>
      </c>
      <c r="G150" s="16">
        <f t="shared" si="40"/>
        <v>116.78333333333291</v>
      </c>
      <c r="H150" s="17">
        <f t="shared" si="40"/>
        <v>100.44999999999919</v>
      </c>
      <c r="I150" s="17">
        <f t="shared" si="40"/>
        <v>104.53333333333387</v>
      </c>
      <c r="J150" s="17">
        <f t="shared" si="40"/>
        <v>108.61666666666817</v>
      </c>
      <c r="K150" s="18">
        <f t="shared" si="40"/>
        <v>92.283333333335079</v>
      </c>
      <c r="L150" s="18">
        <f t="shared" si="40"/>
        <v>96.366666666665211</v>
      </c>
      <c r="M150" s="18">
        <f t="shared" si="40"/>
        <v>100.44999999999919</v>
      </c>
      <c r="N150" s="19">
        <f t="shared" si="40"/>
        <v>73.5</v>
      </c>
      <c r="O150" s="19">
        <f t="shared" si="40"/>
        <v>77.583333333334679</v>
      </c>
      <c r="P150" s="19">
        <f t="shared" si="40"/>
        <v>81.666666666668164</v>
      </c>
      <c r="Q150" s="20">
        <f t="shared" si="40"/>
        <v>69.416666666665321</v>
      </c>
      <c r="R150" s="20">
        <f t="shared" si="40"/>
        <v>73.5</v>
      </c>
      <c r="S150" s="20">
        <f t="shared" si="40"/>
        <v>77.583333333334679</v>
      </c>
      <c r="T150" s="21">
        <f t="shared" si="39"/>
        <v>65.333333333332661</v>
      </c>
      <c r="U150" s="21">
        <f t="shared" si="39"/>
        <v>69.416666666665321</v>
      </c>
      <c r="V150" s="21">
        <f t="shared" si="39"/>
        <v>73.5</v>
      </c>
      <c r="W150" s="22">
        <f t="shared" si="39"/>
        <v>61.24999999999978</v>
      </c>
      <c r="X150" s="22">
        <f t="shared" si="39"/>
        <v>65.333333333332661</v>
      </c>
      <c r="Y150" s="22">
        <f t="shared" si="39"/>
        <v>69.416666666665321</v>
      </c>
      <c r="Z150" s="23">
        <f t="shared" si="39"/>
        <v>57.166666666667339</v>
      </c>
      <c r="AA150" s="23">
        <f t="shared" si="39"/>
        <v>61.24999999999978</v>
      </c>
      <c r="AB150" s="23">
        <f t="shared" si="39"/>
        <v>65.333333333332661</v>
      </c>
      <c r="AC150" s="24">
        <f t="shared" si="39"/>
        <v>53.083333333332661</v>
      </c>
      <c r="AD150" s="24">
        <f t="shared" si="39"/>
        <v>57.166666666667339</v>
      </c>
      <c r="AE150" s="24">
        <f t="shared" si="39"/>
        <v>61.24999999999978</v>
      </c>
      <c r="AF150" s="25">
        <f t="shared" si="39"/>
        <v>49.000000000000689</v>
      </c>
      <c r="AG150" s="25">
        <f t="shared" si="39"/>
        <v>53.083333333332661</v>
      </c>
      <c r="AH150" s="25">
        <f t="shared" si="39"/>
        <v>57.166666666667339</v>
      </c>
      <c r="AI150" s="26">
        <f t="shared" si="39"/>
        <v>44.91666666666633</v>
      </c>
      <c r="AJ150" s="26">
        <f t="shared" si="41"/>
        <v>49.000000000000689</v>
      </c>
      <c r="AK150" s="26">
        <f t="shared" si="41"/>
        <v>53.083333333332661</v>
      </c>
    </row>
    <row r="151" spans="4:37" ht="20.100000000000001" customHeight="1">
      <c r="D151" s="27">
        <f t="shared" si="38"/>
        <v>0.41111111111111015</v>
      </c>
      <c r="E151" s="16">
        <f t="shared" si="40"/>
        <v>109.35555555555706</v>
      </c>
      <c r="F151" s="16">
        <f t="shared" si="40"/>
        <v>113.46666666666486</v>
      </c>
      <c r="G151" s="16">
        <f t="shared" si="40"/>
        <v>117.57777777777736</v>
      </c>
      <c r="H151" s="17">
        <f t="shared" si="40"/>
        <v>101.13333333333253</v>
      </c>
      <c r="I151" s="17">
        <f t="shared" si="40"/>
        <v>105.24444444444498</v>
      </c>
      <c r="J151" s="17">
        <f t="shared" si="40"/>
        <v>109.35555555555706</v>
      </c>
      <c r="K151" s="18">
        <f t="shared" si="40"/>
        <v>92.911111111112859</v>
      </c>
      <c r="L151" s="18">
        <f t="shared" si="40"/>
        <v>97.022222222220762</v>
      </c>
      <c r="M151" s="18">
        <f t="shared" si="40"/>
        <v>101.13333333333253</v>
      </c>
      <c r="N151" s="19">
        <f t="shared" si="40"/>
        <v>74</v>
      </c>
      <c r="O151" s="19">
        <f t="shared" si="40"/>
        <v>78.11111111111245</v>
      </c>
      <c r="P151" s="19">
        <f t="shared" si="40"/>
        <v>82.222222222223721</v>
      </c>
      <c r="Q151" s="20">
        <f t="shared" si="40"/>
        <v>69.88888888888755</v>
      </c>
      <c r="R151" s="20">
        <f t="shared" si="40"/>
        <v>74</v>
      </c>
      <c r="S151" s="20">
        <f t="shared" si="40"/>
        <v>78.11111111111245</v>
      </c>
      <c r="T151" s="21">
        <f t="shared" si="39"/>
        <v>65.777777777777104</v>
      </c>
      <c r="U151" s="21">
        <f t="shared" si="39"/>
        <v>69.88888888888755</v>
      </c>
      <c r="V151" s="21">
        <f t="shared" si="39"/>
        <v>74</v>
      </c>
      <c r="W151" s="22">
        <f t="shared" si="39"/>
        <v>61.666666666666444</v>
      </c>
      <c r="X151" s="22">
        <f t="shared" si="39"/>
        <v>65.777777777777104</v>
      </c>
      <c r="Y151" s="22">
        <f t="shared" si="39"/>
        <v>69.88888888888755</v>
      </c>
      <c r="Z151" s="23">
        <f t="shared" si="39"/>
        <v>57.555555555556225</v>
      </c>
      <c r="AA151" s="23">
        <f t="shared" si="39"/>
        <v>61.666666666666444</v>
      </c>
      <c r="AB151" s="23">
        <f t="shared" si="39"/>
        <v>65.777777777777104</v>
      </c>
      <c r="AC151" s="24">
        <f t="shared" si="39"/>
        <v>53.444444444443775</v>
      </c>
      <c r="AD151" s="24">
        <f t="shared" si="39"/>
        <v>57.555555555556225</v>
      </c>
      <c r="AE151" s="24">
        <f t="shared" si="39"/>
        <v>61.666666666666444</v>
      </c>
      <c r="AF151" s="25">
        <f t="shared" si="39"/>
        <v>49.333333333334025</v>
      </c>
      <c r="AG151" s="25">
        <f t="shared" si="39"/>
        <v>53.444444444443775</v>
      </c>
      <c r="AH151" s="25">
        <f t="shared" si="39"/>
        <v>57.555555555556225</v>
      </c>
      <c r="AI151" s="26">
        <f t="shared" si="39"/>
        <v>45.222222222221887</v>
      </c>
      <c r="AJ151" s="26">
        <f t="shared" si="41"/>
        <v>49.333333333334025</v>
      </c>
      <c r="AK151" s="26">
        <f t="shared" si="41"/>
        <v>53.444444444443775</v>
      </c>
    </row>
    <row r="152" spans="4:37" ht="20.100000000000001" customHeight="1">
      <c r="D152" s="27">
        <f t="shared" si="38"/>
        <v>0.41388888888888792</v>
      </c>
      <c r="E152" s="16">
        <f t="shared" si="40"/>
        <v>110.09444444444595</v>
      </c>
      <c r="F152" s="16">
        <f t="shared" si="40"/>
        <v>114.23333333333153</v>
      </c>
      <c r="G152" s="16">
        <f t="shared" si="40"/>
        <v>118.37222222222181</v>
      </c>
      <c r="H152" s="17">
        <f t="shared" si="40"/>
        <v>101.81666666666587</v>
      </c>
      <c r="I152" s="17">
        <f t="shared" si="40"/>
        <v>105.95555555555609</v>
      </c>
      <c r="J152" s="17">
        <f t="shared" si="40"/>
        <v>110.09444444444595</v>
      </c>
      <c r="K152" s="18">
        <f t="shared" si="40"/>
        <v>93.538888888890639</v>
      </c>
      <c r="L152" s="18">
        <f t="shared" si="40"/>
        <v>97.677777777776313</v>
      </c>
      <c r="M152" s="18">
        <f t="shared" si="40"/>
        <v>101.81666666666587</v>
      </c>
      <c r="N152" s="19">
        <f t="shared" si="40"/>
        <v>74.5</v>
      </c>
      <c r="O152" s="19">
        <f t="shared" si="40"/>
        <v>78.638888888890222</v>
      </c>
      <c r="P152" s="19">
        <f t="shared" si="40"/>
        <v>82.777777777779278</v>
      </c>
      <c r="Q152" s="20">
        <f t="shared" si="40"/>
        <v>70.361111111109778</v>
      </c>
      <c r="R152" s="20">
        <f t="shared" si="40"/>
        <v>74.5</v>
      </c>
      <c r="S152" s="20">
        <f t="shared" si="40"/>
        <v>78.638888888890222</v>
      </c>
      <c r="T152" s="21">
        <f t="shared" si="39"/>
        <v>66.222222222221546</v>
      </c>
      <c r="U152" s="21">
        <f t="shared" si="39"/>
        <v>70.361111111109778</v>
      </c>
      <c r="V152" s="21">
        <f t="shared" si="39"/>
        <v>74.5</v>
      </c>
      <c r="W152" s="22">
        <f t="shared" si="39"/>
        <v>62.083333333333108</v>
      </c>
      <c r="X152" s="22">
        <f t="shared" si="39"/>
        <v>66.222222222221546</v>
      </c>
      <c r="Y152" s="22">
        <f t="shared" si="39"/>
        <v>70.361111111109778</v>
      </c>
      <c r="Z152" s="23">
        <f t="shared" si="39"/>
        <v>57.944444444445111</v>
      </c>
      <c r="AA152" s="23">
        <f t="shared" si="39"/>
        <v>62.083333333333108</v>
      </c>
      <c r="AB152" s="23">
        <f t="shared" si="39"/>
        <v>66.222222222221546</v>
      </c>
      <c r="AC152" s="24">
        <f t="shared" si="39"/>
        <v>53.805555555554889</v>
      </c>
      <c r="AD152" s="24">
        <f t="shared" si="39"/>
        <v>57.944444444445111</v>
      </c>
      <c r="AE152" s="24">
        <f t="shared" si="39"/>
        <v>62.083333333333108</v>
      </c>
      <c r="AF152" s="25">
        <f t="shared" si="39"/>
        <v>49.666666666667361</v>
      </c>
      <c r="AG152" s="25">
        <f t="shared" si="39"/>
        <v>53.805555555554889</v>
      </c>
      <c r="AH152" s="25">
        <f t="shared" si="39"/>
        <v>57.944444444445111</v>
      </c>
      <c r="AI152" s="26">
        <f t="shared" si="39"/>
        <v>45.527777777777445</v>
      </c>
      <c r="AJ152" s="26">
        <f t="shared" si="41"/>
        <v>49.666666666667361</v>
      </c>
      <c r="AK152" s="26">
        <f t="shared" si="41"/>
        <v>53.805555555554889</v>
      </c>
    </row>
    <row r="153" spans="4:37" ht="20.100000000000001" customHeight="1">
      <c r="D153" s="27">
        <f t="shared" si="38"/>
        <v>0.41666666666666569</v>
      </c>
      <c r="E153" s="16">
        <f t="shared" si="40"/>
        <v>110.83333333333485</v>
      </c>
      <c r="F153" s="16">
        <f t="shared" si="40"/>
        <v>114.9999999999982</v>
      </c>
      <c r="G153" s="16">
        <f t="shared" si="40"/>
        <v>119.16666666666626</v>
      </c>
      <c r="H153" s="17">
        <f t="shared" si="40"/>
        <v>102.4999999999992</v>
      </c>
      <c r="I153" s="17">
        <f t="shared" si="40"/>
        <v>106.6666666666672</v>
      </c>
      <c r="J153" s="17">
        <f t="shared" si="40"/>
        <v>110.83333333333485</v>
      </c>
      <c r="K153" s="18">
        <f t="shared" si="40"/>
        <v>94.166666666668419</v>
      </c>
      <c r="L153" s="18">
        <f t="shared" si="40"/>
        <v>98.333333333331865</v>
      </c>
      <c r="M153" s="18">
        <f t="shared" si="40"/>
        <v>102.4999999999992</v>
      </c>
      <c r="N153" s="19">
        <f t="shared" si="40"/>
        <v>75</v>
      </c>
      <c r="O153" s="19">
        <f t="shared" si="40"/>
        <v>79.166666666667993</v>
      </c>
      <c r="P153" s="19">
        <f t="shared" si="40"/>
        <v>83.333333333334835</v>
      </c>
      <c r="Q153" s="20">
        <f t="shared" si="40"/>
        <v>70.833333333332007</v>
      </c>
      <c r="R153" s="20">
        <f t="shared" si="40"/>
        <v>75</v>
      </c>
      <c r="S153" s="20">
        <f t="shared" si="40"/>
        <v>79.166666666667993</v>
      </c>
      <c r="T153" s="21">
        <f t="shared" si="39"/>
        <v>66.666666666665989</v>
      </c>
      <c r="U153" s="21">
        <f t="shared" si="39"/>
        <v>70.833333333332007</v>
      </c>
      <c r="V153" s="21">
        <f t="shared" si="39"/>
        <v>75</v>
      </c>
      <c r="W153" s="22">
        <f t="shared" si="39"/>
        <v>62.499999999999773</v>
      </c>
      <c r="X153" s="22">
        <f t="shared" si="39"/>
        <v>66.666666666665989</v>
      </c>
      <c r="Y153" s="22">
        <f t="shared" si="39"/>
        <v>70.833333333332007</v>
      </c>
      <c r="Z153" s="23">
        <f t="shared" si="39"/>
        <v>58.333333333333997</v>
      </c>
      <c r="AA153" s="23">
        <f t="shared" si="39"/>
        <v>62.499999999999773</v>
      </c>
      <c r="AB153" s="23">
        <f t="shared" si="39"/>
        <v>66.666666666665989</v>
      </c>
      <c r="AC153" s="24">
        <f t="shared" si="39"/>
        <v>54.166666666666003</v>
      </c>
      <c r="AD153" s="24">
        <f t="shared" si="39"/>
        <v>58.333333333333997</v>
      </c>
      <c r="AE153" s="24">
        <f t="shared" si="39"/>
        <v>62.499999999999773</v>
      </c>
      <c r="AF153" s="25">
        <f t="shared" si="39"/>
        <v>50.000000000000696</v>
      </c>
      <c r="AG153" s="25">
        <f t="shared" si="39"/>
        <v>54.166666666666003</v>
      </c>
      <c r="AH153" s="25">
        <f t="shared" si="39"/>
        <v>58.333333333333997</v>
      </c>
      <c r="AI153" s="26">
        <f t="shared" si="39"/>
        <v>45.833333333333002</v>
      </c>
      <c r="AJ153" s="26">
        <f t="shared" si="41"/>
        <v>50.000000000000696</v>
      </c>
      <c r="AK153" s="26">
        <f t="shared" si="41"/>
        <v>54.166666666666003</v>
      </c>
    </row>
    <row r="154" spans="4:37" ht="20.100000000000001" customHeight="1">
      <c r="D154" s="27">
        <f t="shared" si="38"/>
        <v>0.41944444444444345</v>
      </c>
      <c r="E154" s="16">
        <f t="shared" si="40"/>
        <v>111.57222222222374</v>
      </c>
      <c r="F154" s="16">
        <f t="shared" si="40"/>
        <v>115.76666666666486</v>
      </c>
      <c r="G154" s="16">
        <f t="shared" si="40"/>
        <v>119.96111111111071</v>
      </c>
      <c r="H154" s="17">
        <f t="shared" si="40"/>
        <v>103.18333333333254</v>
      </c>
      <c r="I154" s="17">
        <f t="shared" si="40"/>
        <v>107.37777777777831</v>
      </c>
      <c r="J154" s="17">
        <f t="shared" si="40"/>
        <v>111.57222222222374</v>
      </c>
      <c r="K154" s="18">
        <f t="shared" si="40"/>
        <v>94.794444444446199</v>
      </c>
      <c r="L154" s="18">
        <f t="shared" si="40"/>
        <v>98.988888888887416</v>
      </c>
      <c r="M154" s="18">
        <f t="shared" si="40"/>
        <v>103.18333333333254</v>
      </c>
      <c r="N154" s="19">
        <f t="shared" si="40"/>
        <v>75.5</v>
      </c>
      <c r="O154" s="19">
        <f t="shared" si="40"/>
        <v>79.694444444445764</v>
      </c>
      <c r="P154" s="19">
        <f t="shared" si="40"/>
        <v>83.888888888890392</v>
      </c>
      <c r="Q154" s="20">
        <f t="shared" si="40"/>
        <v>71.305555555554236</v>
      </c>
      <c r="R154" s="20">
        <f t="shared" si="40"/>
        <v>75.5</v>
      </c>
      <c r="S154" s="20">
        <f t="shared" si="40"/>
        <v>79.694444444445764</v>
      </c>
      <c r="T154" s="21">
        <f t="shared" si="39"/>
        <v>67.111111111110432</v>
      </c>
      <c r="U154" s="21">
        <f t="shared" si="39"/>
        <v>71.305555555554236</v>
      </c>
      <c r="V154" s="21">
        <f t="shared" si="39"/>
        <v>75.5</v>
      </c>
      <c r="W154" s="22">
        <f t="shared" si="39"/>
        <v>62.916666666666437</v>
      </c>
      <c r="X154" s="22">
        <f t="shared" si="39"/>
        <v>67.111111111110432</v>
      </c>
      <c r="Y154" s="22">
        <f t="shared" si="39"/>
        <v>71.305555555554236</v>
      </c>
      <c r="Z154" s="23">
        <f t="shared" si="39"/>
        <v>58.722222222222882</v>
      </c>
      <c r="AA154" s="23">
        <f t="shared" si="39"/>
        <v>62.916666666666437</v>
      </c>
      <c r="AB154" s="23">
        <f t="shared" si="39"/>
        <v>67.111111111110432</v>
      </c>
      <c r="AC154" s="24">
        <f t="shared" si="39"/>
        <v>54.527777777777118</v>
      </c>
      <c r="AD154" s="24">
        <f t="shared" si="39"/>
        <v>58.722222222222882</v>
      </c>
      <c r="AE154" s="24">
        <f t="shared" si="39"/>
        <v>62.916666666666437</v>
      </c>
      <c r="AF154" s="25">
        <f t="shared" si="39"/>
        <v>50.333333333334032</v>
      </c>
      <c r="AG154" s="25">
        <f t="shared" si="39"/>
        <v>54.527777777777118</v>
      </c>
      <c r="AH154" s="25">
        <f t="shared" si="39"/>
        <v>58.722222222222882</v>
      </c>
      <c r="AI154" s="26">
        <f t="shared" si="39"/>
        <v>46.138888888888559</v>
      </c>
      <c r="AJ154" s="26">
        <f t="shared" si="41"/>
        <v>50.333333333334032</v>
      </c>
      <c r="AK154" s="26">
        <f t="shared" si="41"/>
        <v>54.527777777777118</v>
      </c>
    </row>
    <row r="155" spans="4:37" ht="20.100000000000001" customHeight="1">
      <c r="D155" s="27">
        <f t="shared" si="38"/>
        <v>0.42222222222222122</v>
      </c>
      <c r="E155" s="16">
        <f t="shared" si="40"/>
        <v>112.31111111111264</v>
      </c>
      <c r="F155" s="16">
        <f t="shared" si="40"/>
        <v>116.53333333333153</v>
      </c>
      <c r="G155" s="16">
        <f t="shared" si="40"/>
        <v>120.75555555555516</v>
      </c>
      <c r="H155" s="17">
        <f t="shared" si="40"/>
        <v>103.86666666666588</v>
      </c>
      <c r="I155" s="17">
        <f t="shared" si="40"/>
        <v>108.08888888888941</v>
      </c>
      <c r="J155" s="17">
        <f t="shared" si="40"/>
        <v>112.31111111111264</v>
      </c>
      <c r="K155" s="18">
        <f t="shared" si="40"/>
        <v>95.422222222223979</v>
      </c>
      <c r="L155" s="18">
        <f t="shared" si="40"/>
        <v>99.644444444442968</v>
      </c>
      <c r="M155" s="18">
        <f t="shared" si="40"/>
        <v>103.86666666666588</v>
      </c>
      <c r="N155" s="19">
        <f t="shared" si="40"/>
        <v>76</v>
      </c>
      <c r="O155" s="19">
        <f t="shared" si="40"/>
        <v>80.222222222223536</v>
      </c>
      <c r="P155" s="19">
        <f t="shared" si="40"/>
        <v>84.444444444445949</v>
      </c>
      <c r="Q155" s="20">
        <f t="shared" si="40"/>
        <v>71.777777777776464</v>
      </c>
      <c r="R155" s="20">
        <f t="shared" si="40"/>
        <v>76</v>
      </c>
      <c r="S155" s="20">
        <f t="shared" si="40"/>
        <v>80.222222222223536</v>
      </c>
      <c r="T155" s="21">
        <f t="shared" si="39"/>
        <v>67.555555555554875</v>
      </c>
      <c r="U155" s="21">
        <f t="shared" si="39"/>
        <v>71.777777777776464</v>
      </c>
      <c r="V155" s="21">
        <f t="shared" si="39"/>
        <v>76</v>
      </c>
      <c r="W155" s="22">
        <f t="shared" si="39"/>
        <v>63.333333333333101</v>
      </c>
      <c r="X155" s="22">
        <f t="shared" si="39"/>
        <v>67.555555555554875</v>
      </c>
      <c r="Y155" s="22">
        <f t="shared" si="39"/>
        <v>71.777777777776464</v>
      </c>
      <c r="Z155" s="23">
        <f t="shared" si="39"/>
        <v>59.111111111111768</v>
      </c>
      <c r="AA155" s="23">
        <f t="shared" si="39"/>
        <v>63.333333333333101</v>
      </c>
      <c r="AB155" s="23">
        <f t="shared" si="39"/>
        <v>67.555555555554875</v>
      </c>
      <c r="AC155" s="24">
        <f t="shared" si="39"/>
        <v>54.888888888888232</v>
      </c>
      <c r="AD155" s="24">
        <f t="shared" si="39"/>
        <v>59.111111111111768</v>
      </c>
      <c r="AE155" s="24">
        <f t="shared" si="39"/>
        <v>63.333333333333101</v>
      </c>
      <c r="AF155" s="25">
        <f t="shared" si="39"/>
        <v>50.666666666667368</v>
      </c>
      <c r="AG155" s="25">
        <f t="shared" si="39"/>
        <v>54.888888888888232</v>
      </c>
      <c r="AH155" s="25">
        <f t="shared" si="39"/>
        <v>59.111111111111768</v>
      </c>
      <c r="AI155" s="26">
        <f t="shared" si="39"/>
        <v>46.444444444444116</v>
      </c>
      <c r="AJ155" s="26">
        <f t="shared" si="41"/>
        <v>50.666666666667368</v>
      </c>
      <c r="AK155" s="26">
        <f t="shared" si="41"/>
        <v>54.888888888888232</v>
      </c>
    </row>
    <row r="156" spans="4:37" ht="20.100000000000001" customHeight="1">
      <c r="D156" s="27">
        <f t="shared" si="38"/>
        <v>0.42499999999999899</v>
      </c>
      <c r="E156" s="16">
        <f t="shared" si="40"/>
        <v>113.05000000000153</v>
      </c>
      <c r="F156" s="16">
        <f t="shared" si="40"/>
        <v>117.29999999999819</v>
      </c>
      <c r="G156" s="16">
        <f t="shared" si="40"/>
        <v>121.54999999999961</v>
      </c>
      <c r="H156" s="17">
        <f t="shared" si="40"/>
        <v>104.54999999999922</v>
      </c>
      <c r="I156" s="17">
        <f t="shared" si="40"/>
        <v>108.80000000000052</v>
      </c>
      <c r="J156" s="17">
        <f t="shared" si="40"/>
        <v>113.05000000000153</v>
      </c>
      <c r="K156" s="18">
        <f t="shared" si="40"/>
        <v>96.050000000001759</v>
      </c>
      <c r="L156" s="18">
        <f t="shared" si="40"/>
        <v>100.29999999999852</v>
      </c>
      <c r="M156" s="18">
        <f t="shared" si="40"/>
        <v>104.54999999999922</v>
      </c>
      <c r="N156" s="19">
        <f t="shared" si="40"/>
        <v>76.5</v>
      </c>
      <c r="O156" s="19">
        <f t="shared" si="40"/>
        <v>80.750000000001307</v>
      </c>
      <c r="P156" s="19">
        <f t="shared" si="40"/>
        <v>85.000000000001506</v>
      </c>
      <c r="Q156" s="20">
        <f t="shared" si="40"/>
        <v>72.249999999998693</v>
      </c>
      <c r="R156" s="20">
        <f t="shared" si="40"/>
        <v>76.5</v>
      </c>
      <c r="S156" s="20">
        <f t="shared" si="40"/>
        <v>80.750000000001307</v>
      </c>
      <c r="T156" s="21">
        <f t="shared" si="39"/>
        <v>67.999999999999318</v>
      </c>
      <c r="U156" s="21">
        <f t="shared" si="39"/>
        <v>72.249999999998693</v>
      </c>
      <c r="V156" s="21">
        <f t="shared" si="39"/>
        <v>76.5</v>
      </c>
      <c r="W156" s="22">
        <f t="shared" si="39"/>
        <v>63.749999999999766</v>
      </c>
      <c r="X156" s="22">
        <f t="shared" si="39"/>
        <v>67.999999999999318</v>
      </c>
      <c r="Y156" s="22">
        <f t="shared" si="39"/>
        <v>72.249999999998693</v>
      </c>
      <c r="Z156" s="23">
        <f t="shared" si="39"/>
        <v>59.500000000000654</v>
      </c>
      <c r="AA156" s="23">
        <f t="shared" si="39"/>
        <v>63.749999999999766</v>
      </c>
      <c r="AB156" s="23">
        <f t="shared" si="39"/>
        <v>67.999999999999318</v>
      </c>
      <c r="AC156" s="24">
        <f t="shared" si="39"/>
        <v>55.249999999999346</v>
      </c>
      <c r="AD156" s="24">
        <f t="shared" si="39"/>
        <v>59.500000000000654</v>
      </c>
      <c r="AE156" s="24">
        <f t="shared" si="39"/>
        <v>63.749999999999766</v>
      </c>
      <c r="AF156" s="25">
        <f t="shared" si="39"/>
        <v>51.000000000000703</v>
      </c>
      <c r="AG156" s="25">
        <f t="shared" si="39"/>
        <v>55.249999999999346</v>
      </c>
      <c r="AH156" s="25">
        <f t="shared" si="39"/>
        <v>59.500000000000654</v>
      </c>
      <c r="AI156" s="26">
        <f t="shared" si="39"/>
        <v>46.749999999999673</v>
      </c>
      <c r="AJ156" s="26">
        <f t="shared" si="41"/>
        <v>51.000000000000703</v>
      </c>
      <c r="AK156" s="26">
        <f t="shared" si="41"/>
        <v>55.249999999999346</v>
      </c>
    </row>
    <row r="157" spans="4:37" ht="20.100000000000001" customHeight="1">
      <c r="D157" s="27">
        <f t="shared" si="38"/>
        <v>0.42777777777777676</v>
      </c>
      <c r="E157" s="16">
        <f t="shared" si="40"/>
        <v>113.78888888889043</v>
      </c>
      <c r="F157" s="16">
        <f t="shared" si="40"/>
        <v>118.06666666666486</v>
      </c>
      <c r="G157" s="16">
        <f t="shared" si="40"/>
        <v>122.34444444444406</v>
      </c>
      <c r="H157" s="17">
        <f t="shared" si="40"/>
        <v>105.23333333333255</v>
      </c>
      <c r="I157" s="17">
        <f t="shared" si="40"/>
        <v>109.51111111111163</v>
      </c>
      <c r="J157" s="17">
        <f t="shared" si="40"/>
        <v>113.78888888889043</v>
      </c>
      <c r="K157" s="18">
        <f t="shared" si="40"/>
        <v>96.677777777779539</v>
      </c>
      <c r="L157" s="18">
        <f t="shared" si="40"/>
        <v>100.95555555555407</v>
      </c>
      <c r="M157" s="18">
        <f t="shared" si="40"/>
        <v>105.23333333333255</v>
      </c>
      <c r="N157" s="19">
        <f t="shared" si="40"/>
        <v>77</v>
      </c>
      <c r="O157" s="19">
        <f t="shared" si="40"/>
        <v>81.277777777779079</v>
      </c>
      <c r="P157" s="19">
        <f t="shared" si="40"/>
        <v>85.555555555557063</v>
      </c>
      <c r="Q157" s="20">
        <f t="shared" si="40"/>
        <v>72.722222222220921</v>
      </c>
      <c r="R157" s="20">
        <f t="shared" si="40"/>
        <v>77</v>
      </c>
      <c r="S157" s="20">
        <f t="shared" si="40"/>
        <v>81.277777777779079</v>
      </c>
      <c r="T157" s="21">
        <f t="shared" si="39"/>
        <v>68.444444444443761</v>
      </c>
      <c r="U157" s="21">
        <f t="shared" si="39"/>
        <v>72.722222222220921</v>
      </c>
      <c r="V157" s="21">
        <f t="shared" si="39"/>
        <v>77</v>
      </c>
      <c r="W157" s="22">
        <f t="shared" si="39"/>
        <v>64.16666666666643</v>
      </c>
      <c r="X157" s="22">
        <f t="shared" si="39"/>
        <v>68.444444444443761</v>
      </c>
      <c r="Y157" s="22">
        <f t="shared" si="39"/>
        <v>72.722222222220921</v>
      </c>
      <c r="Z157" s="23">
        <f t="shared" si="39"/>
        <v>59.888888888889539</v>
      </c>
      <c r="AA157" s="23">
        <f t="shared" si="39"/>
        <v>64.16666666666643</v>
      </c>
      <c r="AB157" s="23">
        <f t="shared" si="39"/>
        <v>68.444444444443761</v>
      </c>
      <c r="AC157" s="24">
        <f t="shared" si="39"/>
        <v>55.611111111110461</v>
      </c>
      <c r="AD157" s="24">
        <f t="shared" si="39"/>
        <v>59.888888888889539</v>
      </c>
      <c r="AE157" s="24">
        <f t="shared" si="39"/>
        <v>64.16666666666643</v>
      </c>
      <c r="AF157" s="25">
        <f t="shared" si="39"/>
        <v>51.333333333334039</v>
      </c>
      <c r="AG157" s="25">
        <f t="shared" si="39"/>
        <v>55.611111111110461</v>
      </c>
      <c r="AH157" s="25">
        <f t="shared" si="39"/>
        <v>59.888888888889539</v>
      </c>
      <c r="AI157" s="26">
        <f t="shared" si="39"/>
        <v>47.05555555555523</v>
      </c>
      <c r="AJ157" s="26">
        <f t="shared" si="41"/>
        <v>51.333333333334039</v>
      </c>
      <c r="AK157" s="26">
        <f t="shared" si="41"/>
        <v>55.611111111110461</v>
      </c>
    </row>
    <row r="158" spans="4:37" ht="20.100000000000001" customHeight="1">
      <c r="D158" s="27">
        <f t="shared" si="38"/>
        <v>0.43055555555555453</v>
      </c>
      <c r="E158" s="16">
        <f t="shared" si="40"/>
        <v>114.52777777777932</v>
      </c>
      <c r="F158" s="16">
        <f t="shared" si="40"/>
        <v>118.83333333333152</v>
      </c>
      <c r="G158" s="16">
        <f t="shared" si="40"/>
        <v>123.13888888888852</v>
      </c>
      <c r="H158" s="17">
        <f t="shared" si="40"/>
        <v>105.91666666666589</v>
      </c>
      <c r="I158" s="17">
        <f t="shared" si="40"/>
        <v>110.22222222222274</v>
      </c>
      <c r="J158" s="17">
        <f t="shared" si="40"/>
        <v>114.52777777777932</v>
      </c>
      <c r="K158" s="18">
        <f t="shared" si="40"/>
        <v>97.305555555557319</v>
      </c>
      <c r="L158" s="18">
        <f t="shared" si="40"/>
        <v>101.61111111110962</v>
      </c>
      <c r="M158" s="18">
        <f t="shared" si="40"/>
        <v>105.91666666666589</v>
      </c>
      <c r="N158" s="19">
        <f t="shared" si="40"/>
        <v>77.5</v>
      </c>
      <c r="O158" s="19">
        <f t="shared" si="40"/>
        <v>81.80555555555685</v>
      </c>
      <c r="P158" s="19">
        <f t="shared" si="40"/>
        <v>86.111111111112621</v>
      </c>
      <c r="Q158" s="20">
        <f t="shared" si="40"/>
        <v>73.19444444444315</v>
      </c>
      <c r="R158" s="20">
        <f t="shared" si="40"/>
        <v>77.5</v>
      </c>
      <c r="S158" s="20">
        <f t="shared" si="40"/>
        <v>81.80555555555685</v>
      </c>
      <c r="T158" s="21">
        <f t="shared" si="39"/>
        <v>68.888888888888204</v>
      </c>
      <c r="U158" s="21">
        <f t="shared" si="39"/>
        <v>73.19444444444315</v>
      </c>
      <c r="V158" s="21">
        <f t="shared" si="39"/>
        <v>77.5</v>
      </c>
      <c r="W158" s="22">
        <f t="shared" si="39"/>
        <v>64.583333333333101</v>
      </c>
      <c r="X158" s="22">
        <f t="shared" si="39"/>
        <v>68.888888888888204</v>
      </c>
      <c r="Y158" s="22">
        <f t="shared" si="39"/>
        <v>73.19444444444315</v>
      </c>
      <c r="Z158" s="23">
        <f t="shared" si="39"/>
        <v>60.277777777778425</v>
      </c>
      <c r="AA158" s="23">
        <f t="shared" si="39"/>
        <v>64.583333333333101</v>
      </c>
      <c r="AB158" s="23">
        <f t="shared" si="39"/>
        <v>68.888888888888204</v>
      </c>
      <c r="AC158" s="24">
        <f t="shared" si="39"/>
        <v>55.972222222221575</v>
      </c>
      <c r="AD158" s="24">
        <f t="shared" si="39"/>
        <v>60.277777777778425</v>
      </c>
      <c r="AE158" s="24">
        <f t="shared" si="39"/>
        <v>64.583333333333101</v>
      </c>
      <c r="AF158" s="25">
        <f t="shared" si="39"/>
        <v>51.666666666667375</v>
      </c>
      <c r="AG158" s="25">
        <f t="shared" si="39"/>
        <v>55.972222222221575</v>
      </c>
      <c r="AH158" s="25">
        <f t="shared" si="39"/>
        <v>60.277777777778425</v>
      </c>
      <c r="AI158" s="26">
        <f t="shared" si="39"/>
        <v>47.361111111110787</v>
      </c>
      <c r="AJ158" s="26">
        <f t="shared" si="41"/>
        <v>51.666666666667375</v>
      </c>
      <c r="AK158" s="26">
        <f t="shared" si="41"/>
        <v>55.972222222221575</v>
      </c>
    </row>
    <row r="159" spans="4:37" ht="20.100000000000001" customHeight="1">
      <c r="D159" s="27">
        <f t="shared" si="38"/>
        <v>0.43333333333333229</v>
      </c>
      <c r="E159" s="16">
        <f t="shared" si="40"/>
        <v>115.26666666666821</v>
      </c>
      <c r="F159" s="16">
        <f t="shared" si="40"/>
        <v>119.59999999999819</v>
      </c>
      <c r="G159" s="16">
        <f t="shared" si="40"/>
        <v>123.93333333333297</v>
      </c>
      <c r="H159" s="17">
        <f t="shared" si="40"/>
        <v>106.59999999999923</v>
      </c>
      <c r="I159" s="17">
        <f t="shared" si="40"/>
        <v>110.93333333333385</v>
      </c>
      <c r="J159" s="17">
        <f t="shared" si="40"/>
        <v>115.26666666666821</v>
      </c>
      <c r="K159" s="18">
        <f t="shared" si="40"/>
        <v>97.933333333335099</v>
      </c>
      <c r="L159" s="18">
        <f t="shared" si="40"/>
        <v>102.26666666666517</v>
      </c>
      <c r="M159" s="18">
        <f t="shared" si="40"/>
        <v>106.59999999999923</v>
      </c>
      <c r="N159" s="19">
        <f t="shared" si="40"/>
        <v>78</v>
      </c>
      <c r="O159" s="19">
        <f t="shared" si="40"/>
        <v>82.333333333334622</v>
      </c>
      <c r="P159" s="19">
        <f t="shared" si="40"/>
        <v>86.666666666668178</v>
      </c>
      <c r="Q159" s="20">
        <f t="shared" si="40"/>
        <v>73.666666666665378</v>
      </c>
      <c r="R159" s="20">
        <f t="shared" si="40"/>
        <v>78</v>
      </c>
      <c r="S159" s="20">
        <f t="shared" si="40"/>
        <v>82.333333333334622</v>
      </c>
      <c r="T159" s="21">
        <f t="shared" si="39"/>
        <v>69.333333333332646</v>
      </c>
      <c r="U159" s="21">
        <f t="shared" si="39"/>
        <v>73.666666666665378</v>
      </c>
      <c r="V159" s="21">
        <f t="shared" si="39"/>
        <v>78</v>
      </c>
      <c r="W159" s="22">
        <f t="shared" si="39"/>
        <v>64.999999999999773</v>
      </c>
      <c r="X159" s="22">
        <f t="shared" si="39"/>
        <v>69.333333333332646</v>
      </c>
      <c r="Y159" s="22">
        <f t="shared" si="39"/>
        <v>73.666666666665378</v>
      </c>
      <c r="Z159" s="23">
        <f t="shared" si="39"/>
        <v>60.666666666667311</v>
      </c>
      <c r="AA159" s="23">
        <f t="shared" si="39"/>
        <v>64.999999999999773</v>
      </c>
      <c r="AB159" s="23">
        <f t="shared" si="39"/>
        <v>69.333333333332646</v>
      </c>
      <c r="AC159" s="24">
        <f t="shared" si="39"/>
        <v>56.333333333332689</v>
      </c>
      <c r="AD159" s="24">
        <f t="shared" si="39"/>
        <v>60.666666666667311</v>
      </c>
      <c r="AE159" s="24">
        <f t="shared" si="39"/>
        <v>64.999999999999773</v>
      </c>
      <c r="AF159" s="25">
        <f t="shared" si="39"/>
        <v>52.000000000000711</v>
      </c>
      <c r="AG159" s="25">
        <f t="shared" si="39"/>
        <v>56.333333333332689</v>
      </c>
      <c r="AH159" s="25">
        <f t="shared" si="39"/>
        <v>60.666666666667311</v>
      </c>
      <c r="AI159" s="26">
        <f t="shared" si="39"/>
        <v>47.666666666666345</v>
      </c>
      <c r="AJ159" s="26">
        <f t="shared" si="41"/>
        <v>52.000000000000711</v>
      </c>
      <c r="AK159" s="26">
        <f t="shared" si="41"/>
        <v>56.333333333332689</v>
      </c>
    </row>
    <row r="160" spans="4:37" ht="20.100000000000001" customHeight="1">
      <c r="D160" s="27">
        <f t="shared" si="38"/>
        <v>0.43611111111111006</v>
      </c>
      <c r="E160" s="16">
        <f t="shared" si="40"/>
        <v>116.00555555555711</v>
      </c>
      <c r="F160" s="16">
        <f t="shared" si="40"/>
        <v>120.36666666666486</v>
      </c>
      <c r="G160" s="16">
        <f t="shared" si="40"/>
        <v>124.72777777777742</v>
      </c>
      <c r="H160" s="17">
        <f t="shared" si="40"/>
        <v>107.28333333333256</v>
      </c>
      <c r="I160" s="17">
        <f t="shared" si="40"/>
        <v>111.64444444444496</v>
      </c>
      <c r="J160" s="17">
        <f t="shared" si="40"/>
        <v>116.00555555555711</v>
      </c>
      <c r="K160" s="18">
        <f t="shared" si="40"/>
        <v>98.561111111112879</v>
      </c>
      <c r="L160" s="18">
        <f t="shared" si="40"/>
        <v>102.92222222222073</v>
      </c>
      <c r="M160" s="18">
        <f t="shared" si="40"/>
        <v>107.28333333333256</v>
      </c>
      <c r="N160" s="19">
        <f t="shared" si="40"/>
        <v>78.5</v>
      </c>
      <c r="O160" s="19">
        <f t="shared" si="40"/>
        <v>82.861111111112393</v>
      </c>
      <c r="P160" s="19">
        <f t="shared" si="40"/>
        <v>87.222222222223735</v>
      </c>
      <c r="Q160" s="20">
        <f t="shared" si="40"/>
        <v>74.138888888887607</v>
      </c>
      <c r="R160" s="20">
        <f t="shared" si="40"/>
        <v>78.5</v>
      </c>
      <c r="S160" s="20">
        <f t="shared" si="40"/>
        <v>82.861111111112393</v>
      </c>
      <c r="T160" s="21">
        <f t="shared" si="39"/>
        <v>69.777777777777089</v>
      </c>
      <c r="U160" s="21">
        <f t="shared" si="39"/>
        <v>74.138888888887607</v>
      </c>
      <c r="V160" s="21">
        <f t="shared" si="39"/>
        <v>78.5</v>
      </c>
      <c r="W160" s="22">
        <f t="shared" si="39"/>
        <v>65.416666666666444</v>
      </c>
      <c r="X160" s="22">
        <f t="shared" si="39"/>
        <v>69.777777777777089</v>
      </c>
      <c r="Y160" s="22">
        <f t="shared" si="39"/>
        <v>74.138888888887607</v>
      </c>
      <c r="Z160" s="23">
        <f t="shared" si="39"/>
        <v>61.055555555556197</v>
      </c>
      <c r="AA160" s="23">
        <f t="shared" si="39"/>
        <v>65.416666666666444</v>
      </c>
      <c r="AB160" s="23">
        <f t="shared" si="39"/>
        <v>69.777777777777089</v>
      </c>
      <c r="AC160" s="24">
        <f t="shared" si="39"/>
        <v>56.694444444443803</v>
      </c>
      <c r="AD160" s="24">
        <f t="shared" si="39"/>
        <v>61.055555555556197</v>
      </c>
      <c r="AE160" s="24">
        <f t="shared" si="39"/>
        <v>65.416666666666444</v>
      </c>
      <c r="AF160" s="25">
        <f t="shared" si="39"/>
        <v>52.333333333334046</v>
      </c>
      <c r="AG160" s="25">
        <f t="shared" si="39"/>
        <v>56.694444444443803</v>
      </c>
      <c r="AH160" s="25">
        <f t="shared" si="39"/>
        <v>61.055555555556197</v>
      </c>
      <c r="AI160" s="26">
        <f t="shared" si="39"/>
        <v>47.972222222221902</v>
      </c>
      <c r="AJ160" s="26">
        <f t="shared" si="41"/>
        <v>52.333333333334046</v>
      </c>
      <c r="AK160" s="26">
        <f t="shared" si="41"/>
        <v>56.694444444443803</v>
      </c>
    </row>
    <row r="161" spans="4:37" ht="20.100000000000001" customHeight="1">
      <c r="D161" s="27">
        <f t="shared" si="38"/>
        <v>0.43888888888888783</v>
      </c>
      <c r="E161" s="16">
        <f t="shared" si="40"/>
        <v>116.744444444446</v>
      </c>
      <c r="F161" s="16">
        <f t="shared" si="40"/>
        <v>121.13333333333152</v>
      </c>
      <c r="G161" s="16">
        <f t="shared" si="40"/>
        <v>125.52222222222187</v>
      </c>
      <c r="H161" s="17">
        <f t="shared" si="40"/>
        <v>107.9666666666659</v>
      </c>
      <c r="I161" s="17">
        <f t="shared" si="40"/>
        <v>112.35555555555607</v>
      </c>
      <c r="J161" s="17">
        <f t="shared" si="40"/>
        <v>116.744444444446</v>
      </c>
      <c r="K161" s="18">
        <f t="shared" si="40"/>
        <v>99.188888888890659</v>
      </c>
      <c r="L161" s="18">
        <f t="shared" si="40"/>
        <v>103.57777777777628</v>
      </c>
      <c r="M161" s="18">
        <f t="shared" si="40"/>
        <v>107.9666666666659</v>
      </c>
      <c r="N161" s="19">
        <f t="shared" si="40"/>
        <v>79</v>
      </c>
      <c r="O161" s="19">
        <f t="shared" si="40"/>
        <v>83.388888888890165</v>
      </c>
      <c r="P161" s="19">
        <f t="shared" si="40"/>
        <v>87.777777777779292</v>
      </c>
      <c r="Q161" s="20">
        <f t="shared" si="40"/>
        <v>74.611111111109835</v>
      </c>
      <c r="R161" s="20">
        <f t="shared" si="40"/>
        <v>79</v>
      </c>
      <c r="S161" s="20">
        <f t="shared" si="40"/>
        <v>83.388888888890165</v>
      </c>
      <c r="T161" s="21">
        <f t="shared" si="39"/>
        <v>70.222222222221532</v>
      </c>
      <c r="U161" s="21">
        <f t="shared" si="39"/>
        <v>74.611111111109835</v>
      </c>
      <c r="V161" s="21">
        <f t="shared" si="39"/>
        <v>79</v>
      </c>
      <c r="W161" s="22">
        <f t="shared" si="39"/>
        <v>65.833333333333115</v>
      </c>
      <c r="X161" s="22">
        <f t="shared" si="39"/>
        <v>70.222222222221532</v>
      </c>
      <c r="Y161" s="22">
        <f t="shared" si="39"/>
        <v>74.611111111109835</v>
      </c>
      <c r="Z161" s="23">
        <f t="shared" si="39"/>
        <v>61.444444444445082</v>
      </c>
      <c r="AA161" s="23">
        <f t="shared" si="39"/>
        <v>65.833333333333115</v>
      </c>
      <c r="AB161" s="23">
        <f t="shared" si="39"/>
        <v>70.222222222221532</v>
      </c>
      <c r="AC161" s="24">
        <f t="shared" si="39"/>
        <v>57.055555555554918</v>
      </c>
      <c r="AD161" s="24">
        <f t="shared" si="39"/>
        <v>61.444444444445082</v>
      </c>
      <c r="AE161" s="24">
        <f t="shared" si="39"/>
        <v>65.833333333333115</v>
      </c>
      <c r="AF161" s="25">
        <f t="shared" si="39"/>
        <v>52.666666666667382</v>
      </c>
      <c r="AG161" s="25">
        <f t="shared" si="39"/>
        <v>57.055555555554918</v>
      </c>
      <c r="AH161" s="25">
        <f t="shared" si="39"/>
        <v>61.444444444445082</v>
      </c>
      <c r="AI161" s="26">
        <f t="shared" si="39"/>
        <v>48.277777777777459</v>
      </c>
      <c r="AJ161" s="26">
        <f t="shared" si="41"/>
        <v>52.666666666667382</v>
      </c>
      <c r="AK161" s="26">
        <f t="shared" si="41"/>
        <v>57.055555555554918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117.4833333333349</v>
      </c>
      <c r="F162" s="16">
        <f t="shared" si="42"/>
        <v>121.89999999999819</v>
      </c>
      <c r="G162" s="16">
        <f t="shared" si="42"/>
        <v>126.31666666666632</v>
      </c>
      <c r="H162" s="17">
        <f t="shared" si="42"/>
        <v>108.64999999999924</v>
      </c>
      <c r="I162" s="17">
        <f t="shared" si="42"/>
        <v>113.06666666666717</v>
      </c>
      <c r="J162" s="17">
        <f t="shared" si="42"/>
        <v>117.4833333333349</v>
      </c>
      <c r="K162" s="18">
        <f t="shared" si="42"/>
        <v>99.816666666668439</v>
      </c>
      <c r="L162" s="18">
        <f t="shared" si="42"/>
        <v>104.23333333333183</v>
      </c>
      <c r="M162" s="18">
        <f t="shared" si="42"/>
        <v>108.64999999999924</v>
      </c>
      <c r="N162" s="19">
        <f t="shared" si="42"/>
        <v>79.5</v>
      </c>
      <c r="O162" s="19">
        <f t="shared" si="42"/>
        <v>83.916666666667936</v>
      </c>
      <c r="P162" s="19">
        <f t="shared" si="42"/>
        <v>88.333333333334849</v>
      </c>
      <c r="Q162" s="20">
        <f t="shared" si="42"/>
        <v>75.083333333332064</v>
      </c>
      <c r="R162" s="20">
        <f t="shared" si="42"/>
        <v>79.5</v>
      </c>
      <c r="S162" s="20">
        <f t="shared" si="42"/>
        <v>83.916666666667936</v>
      </c>
      <c r="T162" s="21">
        <f t="shared" si="42"/>
        <v>70.666666666665975</v>
      </c>
      <c r="U162" s="21">
        <f t="shared" si="39"/>
        <v>75.083333333332064</v>
      </c>
      <c r="V162" s="21">
        <f t="shared" si="39"/>
        <v>79.5</v>
      </c>
      <c r="W162" s="22">
        <f t="shared" si="39"/>
        <v>66.249999999999787</v>
      </c>
      <c r="X162" s="22">
        <f t="shared" si="39"/>
        <v>70.666666666665975</v>
      </c>
      <c r="Y162" s="22">
        <f t="shared" si="39"/>
        <v>75.083333333332064</v>
      </c>
      <c r="Z162" s="23">
        <f t="shared" si="39"/>
        <v>61.833333333333968</v>
      </c>
      <c r="AA162" s="23">
        <f t="shared" si="39"/>
        <v>66.249999999999787</v>
      </c>
      <c r="AB162" s="23">
        <f t="shared" si="39"/>
        <v>70.666666666665975</v>
      </c>
      <c r="AC162" s="24">
        <f t="shared" si="39"/>
        <v>57.416666666666032</v>
      </c>
      <c r="AD162" s="24">
        <f t="shared" si="39"/>
        <v>61.833333333333968</v>
      </c>
      <c r="AE162" s="24">
        <f t="shared" si="39"/>
        <v>66.249999999999787</v>
      </c>
      <c r="AF162" s="25">
        <f t="shared" si="39"/>
        <v>53.000000000000718</v>
      </c>
      <c r="AG162" s="25">
        <f t="shared" ref="AF162:AK198" si="43">AG163-(AG$363/360)</f>
        <v>57.416666666666032</v>
      </c>
      <c r="AH162" s="25">
        <f t="shared" si="43"/>
        <v>61.833333333333968</v>
      </c>
      <c r="AI162" s="26">
        <f t="shared" si="43"/>
        <v>48.583333333333016</v>
      </c>
      <c r="AJ162" s="26">
        <f t="shared" si="43"/>
        <v>53.000000000000718</v>
      </c>
      <c r="AK162" s="26">
        <f t="shared" si="43"/>
        <v>57.416666666666032</v>
      </c>
    </row>
    <row r="163" spans="4:37" ht="20.100000000000001" customHeight="1">
      <c r="D163" s="27">
        <f t="shared" si="38"/>
        <v>0.44444444444444337</v>
      </c>
      <c r="E163" s="16">
        <f t="shared" si="42"/>
        <v>118.22222222222379</v>
      </c>
      <c r="F163" s="16">
        <f t="shared" si="42"/>
        <v>122.66666666666485</v>
      </c>
      <c r="G163" s="16">
        <f t="shared" si="42"/>
        <v>127.11111111111077</v>
      </c>
      <c r="H163" s="17">
        <f t="shared" si="42"/>
        <v>109.33333333333258</v>
      </c>
      <c r="I163" s="17">
        <f t="shared" si="42"/>
        <v>113.77777777777828</v>
      </c>
      <c r="J163" s="17">
        <f t="shared" si="42"/>
        <v>118.22222222222379</v>
      </c>
      <c r="K163" s="18">
        <f t="shared" si="42"/>
        <v>100.44444444444622</v>
      </c>
      <c r="L163" s="18">
        <f t="shared" si="42"/>
        <v>104.88888888888738</v>
      </c>
      <c r="M163" s="18">
        <f t="shared" si="42"/>
        <v>109.33333333333258</v>
      </c>
      <c r="N163" s="19">
        <f t="shared" si="42"/>
        <v>80</v>
      </c>
      <c r="O163" s="19">
        <f t="shared" si="42"/>
        <v>84.444444444445708</v>
      </c>
      <c r="P163" s="19">
        <f t="shared" si="42"/>
        <v>88.888888888890406</v>
      </c>
      <c r="Q163" s="20">
        <f t="shared" si="42"/>
        <v>75.555555555554292</v>
      </c>
      <c r="R163" s="20">
        <f t="shared" si="42"/>
        <v>80</v>
      </c>
      <c r="S163" s="20">
        <f t="shared" si="42"/>
        <v>84.444444444445708</v>
      </c>
      <c r="T163" s="21">
        <f t="shared" si="42"/>
        <v>71.111111111110418</v>
      </c>
      <c r="U163" s="21">
        <f t="shared" ref="U163:AJ180" si="44">U164-(U$363/360)</f>
        <v>75.555555555554292</v>
      </c>
      <c r="V163" s="21">
        <f t="shared" si="44"/>
        <v>80</v>
      </c>
      <c r="W163" s="22">
        <f t="shared" si="44"/>
        <v>66.666666666666458</v>
      </c>
      <c r="X163" s="22">
        <f t="shared" si="44"/>
        <v>71.111111111110418</v>
      </c>
      <c r="Y163" s="22">
        <f t="shared" si="44"/>
        <v>75.555555555554292</v>
      </c>
      <c r="Z163" s="23">
        <f t="shared" si="44"/>
        <v>62.222222222222854</v>
      </c>
      <c r="AA163" s="23">
        <f t="shared" si="44"/>
        <v>66.666666666666458</v>
      </c>
      <c r="AB163" s="23">
        <f t="shared" si="44"/>
        <v>71.111111111110418</v>
      </c>
      <c r="AC163" s="24">
        <f t="shared" si="44"/>
        <v>57.777777777777146</v>
      </c>
      <c r="AD163" s="24">
        <f t="shared" si="44"/>
        <v>62.222222222222854</v>
      </c>
      <c r="AE163" s="24">
        <f t="shared" si="44"/>
        <v>66.666666666666458</v>
      </c>
      <c r="AF163" s="25">
        <f t="shared" si="44"/>
        <v>53.333333333334053</v>
      </c>
      <c r="AG163" s="25">
        <f t="shared" si="44"/>
        <v>57.777777777777146</v>
      </c>
      <c r="AH163" s="25">
        <f t="shared" si="44"/>
        <v>62.222222222222854</v>
      </c>
      <c r="AI163" s="26">
        <f t="shared" si="44"/>
        <v>48.888888888888573</v>
      </c>
      <c r="AJ163" s="26">
        <f t="shared" si="44"/>
        <v>53.333333333334053</v>
      </c>
      <c r="AK163" s="26">
        <f t="shared" si="43"/>
        <v>57.777777777777146</v>
      </c>
    </row>
    <row r="164" spans="4:37" ht="20.100000000000001" customHeight="1">
      <c r="D164" s="27">
        <f t="shared" si="38"/>
        <v>0.44722222222222113</v>
      </c>
      <c r="E164" s="16">
        <f t="shared" si="42"/>
        <v>118.96111111111269</v>
      </c>
      <c r="F164" s="16">
        <f t="shared" si="42"/>
        <v>123.43333333333152</v>
      </c>
      <c r="G164" s="16">
        <f t="shared" si="42"/>
        <v>127.90555555555522</v>
      </c>
      <c r="H164" s="17">
        <f t="shared" si="42"/>
        <v>110.01666666666591</v>
      </c>
      <c r="I164" s="17">
        <f t="shared" si="42"/>
        <v>114.48888888888939</v>
      </c>
      <c r="J164" s="17">
        <f t="shared" si="42"/>
        <v>118.96111111111269</v>
      </c>
      <c r="K164" s="18">
        <f t="shared" si="42"/>
        <v>101.072222222224</v>
      </c>
      <c r="L164" s="18">
        <f t="shared" si="42"/>
        <v>105.54444444444293</v>
      </c>
      <c r="M164" s="18">
        <f t="shared" si="42"/>
        <v>110.01666666666591</v>
      </c>
      <c r="N164" s="19">
        <f t="shared" si="42"/>
        <v>80.5</v>
      </c>
      <c r="O164" s="19">
        <f t="shared" si="42"/>
        <v>84.972222222223479</v>
      </c>
      <c r="P164" s="19">
        <f t="shared" si="42"/>
        <v>89.444444444445963</v>
      </c>
      <c r="Q164" s="20">
        <f t="shared" si="42"/>
        <v>76.027777777776521</v>
      </c>
      <c r="R164" s="20">
        <f t="shared" si="42"/>
        <v>80.5</v>
      </c>
      <c r="S164" s="20">
        <f t="shared" si="42"/>
        <v>84.972222222223479</v>
      </c>
      <c r="T164" s="21">
        <f t="shared" si="42"/>
        <v>71.555555555554861</v>
      </c>
      <c r="U164" s="21">
        <f t="shared" si="44"/>
        <v>76.027777777776521</v>
      </c>
      <c r="V164" s="21">
        <f t="shared" si="44"/>
        <v>80.5</v>
      </c>
      <c r="W164" s="22">
        <f t="shared" si="44"/>
        <v>67.08333333333313</v>
      </c>
      <c r="X164" s="22">
        <f t="shared" si="44"/>
        <v>71.555555555554861</v>
      </c>
      <c r="Y164" s="22">
        <f t="shared" si="44"/>
        <v>76.027777777776521</v>
      </c>
      <c r="Z164" s="23">
        <f t="shared" si="44"/>
        <v>62.61111111111174</v>
      </c>
      <c r="AA164" s="23">
        <f t="shared" si="44"/>
        <v>67.08333333333313</v>
      </c>
      <c r="AB164" s="23">
        <f t="shared" si="44"/>
        <v>71.555555555554861</v>
      </c>
      <c r="AC164" s="24">
        <f t="shared" si="44"/>
        <v>58.13888888888826</v>
      </c>
      <c r="AD164" s="24">
        <f t="shared" si="44"/>
        <v>62.61111111111174</v>
      </c>
      <c r="AE164" s="24">
        <f t="shared" si="44"/>
        <v>67.08333333333313</v>
      </c>
      <c r="AF164" s="25">
        <f t="shared" si="44"/>
        <v>53.666666666667389</v>
      </c>
      <c r="AG164" s="25">
        <f t="shared" si="44"/>
        <v>58.13888888888826</v>
      </c>
      <c r="AH164" s="25">
        <f t="shared" si="44"/>
        <v>62.61111111111174</v>
      </c>
      <c r="AI164" s="26">
        <f t="shared" si="44"/>
        <v>49.19444444444413</v>
      </c>
      <c r="AJ164" s="26">
        <f t="shared" si="44"/>
        <v>53.666666666667389</v>
      </c>
      <c r="AK164" s="26">
        <f t="shared" si="43"/>
        <v>58.13888888888826</v>
      </c>
    </row>
    <row r="165" spans="4:37" ht="20.100000000000001" customHeight="1">
      <c r="D165" s="27">
        <f t="shared" si="38"/>
        <v>0.4499999999999989</v>
      </c>
      <c r="E165" s="16">
        <f t="shared" si="42"/>
        <v>119.70000000000158</v>
      </c>
      <c r="F165" s="16">
        <f t="shared" si="42"/>
        <v>124.19999999999818</v>
      </c>
      <c r="G165" s="16">
        <f t="shared" si="42"/>
        <v>128.69999999999968</v>
      </c>
      <c r="H165" s="17">
        <f t="shared" si="42"/>
        <v>110.69999999999925</v>
      </c>
      <c r="I165" s="17">
        <f t="shared" si="42"/>
        <v>115.2000000000005</v>
      </c>
      <c r="J165" s="17">
        <f t="shared" si="42"/>
        <v>119.70000000000158</v>
      </c>
      <c r="K165" s="18">
        <f t="shared" si="42"/>
        <v>101.70000000000178</v>
      </c>
      <c r="L165" s="18">
        <f t="shared" si="42"/>
        <v>106.19999999999848</v>
      </c>
      <c r="M165" s="18">
        <f t="shared" si="42"/>
        <v>110.69999999999925</v>
      </c>
      <c r="N165" s="19">
        <f t="shared" si="42"/>
        <v>81</v>
      </c>
      <c r="O165" s="19">
        <f t="shared" si="42"/>
        <v>85.500000000001251</v>
      </c>
      <c r="P165" s="19">
        <f t="shared" si="42"/>
        <v>90.000000000001521</v>
      </c>
      <c r="Q165" s="20">
        <f t="shared" si="42"/>
        <v>76.499999999998749</v>
      </c>
      <c r="R165" s="20">
        <f t="shared" si="42"/>
        <v>81</v>
      </c>
      <c r="S165" s="20">
        <f t="shared" si="42"/>
        <v>85.500000000001251</v>
      </c>
      <c r="T165" s="21">
        <f t="shared" si="42"/>
        <v>71.999999999999304</v>
      </c>
      <c r="U165" s="21">
        <f t="shared" si="44"/>
        <v>76.499999999998749</v>
      </c>
      <c r="V165" s="21">
        <f t="shared" si="44"/>
        <v>81</v>
      </c>
      <c r="W165" s="22">
        <f t="shared" si="44"/>
        <v>67.499999999999801</v>
      </c>
      <c r="X165" s="22">
        <f t="shared" si="44"/>
        <v>71.999999999999304</v>
      </c>
      <c r="Y165" s="22">
        <f t="shared" si="44"/>
        <v>76.499999999998749</v>
      </c>
      <c r="Z165" s="23">
        <f t="shared" si="44"/>
        <v>63.000000000000625</v>
      </c>
      <c r="AA165" s="23">
        <f t="shared" si="44"/>
        <v>67.499999999999801</v>
      </c>
      <c r="AB165" s="23">
        <f t="shared" si="44"/>
        <v>71.999999999999304</v>
      </c>
      <c r="AC165" s="24">
        <f t="shared" si="44"/>
        <v>58.499999999999375</v>
      </c>
      <c r="AD165" s="24">
        <f t="shared" si="44"/>
        <v>63.000000000000625</v>
      </c>
      <c r="AE165" s="24">
        <f t="shared" si="44"/>
        <v>67.499999999999801</v>
      </c>
      <c r="AF165" s="25">
        <f t="shared" si="44"/>
        <v>54.000000000000725</v>
      </c>
      <c r="AG165" s="25">
        <f t="shared" si="44"/>
        <v>58.499999999999375</v>
      </c>
      <c r="AH165" s="25">
        <f t="shared" si="44"/>
        <v>63.000000000000625</v>
      </c>
      <c r="AI165" s="26">
        <f t="shared" si="44"/>
        <v>49.499999999999687</v>
      </c>
      <c r="AJ165" s="26">
        <f t="shared" si="44"/>
        <v>54.000000000000725</v>
      </c>
      <c r="AK165" s="26">
        <f t="shared" si="43"/>
        <v>58.499999999999375</v>
      </c>
    </row>
    <row r="166" spans="4:37" ht="20.100000000000001" customHeight="1">
      <c r="D166" s="27">
        <f t="shared" si="38"/>
        <v>0.45277777777777667</v>
      </c>
      <c r="E166" s="16">
        <f t="shared" si="42"/>
        <v>120.43888888889047</v>
      </c>
      <c r="F166" s="16">
        <f t="shared" si="42"/>
        <v>124.96666666666485</v>
      </c>
      <c r="G166" s="16">
        <f t="shared" si="42"/>
        <v>129.49444444444413</v>
      </c>
      <c r="H166" s="17">
        <f t="shared" si="42"/>
        <v>111.38333333333259</v>
      </c>
      <c r="I166" s="17">
        <f t="shared" si="42"/>
        <v>115.91111111111161</v>
      </c>
      <c r="J166" s="17">
        <f t="shared" si="42"/>
        <v>120.43888888889047</v>
      </c>
      <c r="K166" s="18">
        <f t="shared" si="42"/>
        <v>102.32777777777956</v>
      </c>
      <c r="L166" s="18">
        <f t="shared" si="42"/>
        <v>106.85555555555403</v>
      </c>
      <c r="M166" s="18">
        <f t="shared" si="42"/>
        <v>111.38333333333259</v>
      </c>
      <c r="N166" s="19">
        <f t="shared" si="42"/>
        <v>81.5</v>
      </c>
      <c r="O166" s="19">
        <f t="shared" si="42"/>
        <v>86.027777777779022</v>
      </c>
      <c r="P166" s="19">
        <f t="shared" si="42"/>
        <v>90.555555555557078</v>
      </c>
      <c r="Q166" s="20">
        <f t="shared" si="42"/>
        <v>76.972222222220978</v>
      </c>
      <c r="R166" s="20">
        <f t="shared" si="42"/>
        <v>81.5</v>
      </c>
      <c r="S166" s="20">
        <f t="shared" si="42"/>
        <v>86.027777777779022</v>
      </c>
      <c r="T166" s="21">
        <f t="shared" si="42"/>
        <v>72.444444444443747</v>
      </c>
      <c r="U166" s="21">
        <f t="shared" si="44"/>
        <v>76.972222222220978</v>
      </c>
      <c r="V166" s="21">
        <f t="shared" si="44"/>
        <v>81.5</v>
      </c>
      <c r="W166" s="22">
        <f t="shared" si="44"/>
        <v>67.916666666666472</v>
      </c>
      <c r="X166" s="22">
        <f t="shared" si="44"/>
        <v>72.444444444443747</v>
      </c>
      <c r="Y166" s="22">
        <f t="shared" si="44"/>
        <v>76.972222222220978</v>
      </c>
      <c r="Z166" s="23">
        <f t="shared" si="44"/>
        <v>63.388888888889511</v>
      </c>
      <c r="AA166" s="23">
        <f t="shared" si="44"/>
        <v>67.916666666666472</v>
      </c>
      <c r="AB166" s="23">
        <f t="shared" si="44"/>
        <v>72.444444444443747</v>
      </c>
      <c r="AC166" s="24">
        <f t="shared" si="44"/>
        <v>58.861111111110489</v>
      </c>
      <c r="AD166" s="24">
        <f t="shared" si="44"/>
        <v>63.388888888889511</v>
      </c>
      <c r="AE166" s="24">
        <f t="shared" si="44"/>
        <v>67.916666666666472</v>
      </c>
      <c r="AF166" s="25">
        <f t="shared" si="44"/>
        <v>54.33333333333406</v>
      </c>
      <c r="AG166" s="25">
        <f t="shared" si="44"/>
        <v>58.861111111110489</v>
      </c>
      <c r="AH166" s="25">
        <f t="shared" si="44"/>
        <v>63.388888888889511</v>
      </c>
      <c r="AI166" s="26">
        <f t="shared" si="44"/>
        <v>49.805555555555244</v>
      </c>
      <c r="AJ166" s="26">
        <f t="shared" si="44"/>
        <v>54.33333333333406</v>
      </c>
      <c r="AK166" s="26">
        <f t="shared" si="43"/>
        <v>58.861111111110489</v>
      </c>
    </row>
    <row r="167" spans="4:37" ht="20.100000000000001" customHeight="1">
      <c r="D167" s="27">
        <f t="shared" si="38"/>
        <v>0.45555555555555444</v>
      </c>
      <c r="E167" s="16">
        <f t="shared" si="42"/>
        <v>121.17777777777937</v>
      </c>
      <c r="F167" s="16">
        <f t="shared" si="42"/>
        <v>125.73333333333152</v>
      </c>
      <c r="G167" s="16">
        <f t="shared" si="42"/>
        <v>130.28888888888858</v>
      </c>
      <c r="H167" s="17">
        <f t="shared" si="42"/>
        <v>112.06666666666592</v>
      </c>
      <c r="I167" s="17">
        <f t="shared" si="42"/>
        <v>116.62222222222272</v>
      </c>
      <c r="J167" s="17">
        <f t="shared" si="42"/>
        <v>121.17777777777937</v>
      </c>
      <c r="K167" s="18">
        <f t="shared" si="42"/>
        <v>102.95555555555734</v>
      </c>
      <c r="L167" s="18">
        <f t="shared" si="42"/>
        <v>107.51111111110959</v>
      </c>
      <c r="M167" s="18">
        <f t="shared" si="42"/>
        <v>112.06666666666592</v>
      </c>
      <c r="N167" s="19">
        <f t="shared" si="42"/>
        <v>82</v>
      </c>
      <c r="O167" s="19">
        <f t="shared" si="42"/>
        <v>86.555555555556793</v>
      </c>
      <c r="P167" s="19">
        <f t="shared" si="42"/>
        <v>91.111111111112635</v>
      </c>
      <c r="Q167" s="20">
        <f t="shared" si="42"/>
        <v>77.444444444443207</v>
      </c>
      <c r="R167" s="20">
        <f t="shared" si="42"/>
        <v>82</v>
      </c>
      <c r="S167" s="20">
        <f t="shared" si="42"/>
        <v>86.555555555556793</v>
      </c>
      <c r="T167" s="21">
        <f t="shared" si="42"/>
        <v>72.888888888888189</v>
      </c>
      <c r="U167" s="21">
        <f t="shared" si="44"/>
        <v>77.444444444443207</v>
      </c>
      <c r="V167" s="21">
        <f t="shared" si="44"/>
        <v>82</v>
      </c>
      <c r="W167" s="22">
        <f t="shared" si="44"/>
        <v>68.333333333333144</v>
      </c>
      <c r="X167" s="22">
        <f t="shared" si="44"/>
        <v>72.888888888888189</v>
      </c>
      <c r="Y167" s="22">
        <f t="shared" si="44"/>
        <v>77.444444444443207</v>
      </c>
      <c r="Z167" s="23">
        <f t="shared" si="44"/>
        <v>63.777777777778397</v>
      </c>
      <c r="AA167" s="23">
        <f t="shared" si="44"/>
        <v>68.333333333333144</v>
      </c>
      <c r="AB167" s="23">
        <f t="shared" si="44"/>
        <v>72.888888888888189</v>
      </c>
      <c r="AC167" s="24">
        <f t="shared" si="44"/>
        <v>59.222222222221603</v>
      </c>
      <c r="AD167" s="24">
        <f t="shared" si="44"/>
        <v>63.777777777778397</v>
      </c>
      <c r="AE167" s="24">
        <f t="shared" si="44"/>
        <v>68.333333333333144</v>
      </c>
      <c r="AF167" s="25">
        <f t="shared" si="44"/>
        <v>54.666666666667396</v>
      </c>
      <c r="AG167" s="25">
        <f t="shared" si="44"/>
        <v>59.222222222221603</v>
      </c>
      <c r="AH167" s="25">
        <f t="shared" si="44"/>
        <v>63.777777777778397</v>
      </c>
      <c r="AI167" s="26">
        <f t="shared" si="44"/>
        <v>50.111111111110802</v>
      </c>
      <c r="AJ167" s="26">
        <f t="shared" si="44"/>
        <v>54.666666666667396</v>
      </c>
      <c r="AK167" s="26">
        <f t="shared" si="43"/>
        <v>59.222222222221603</v>
      </c>
    </row>
    <row r="168" spans="4:37" ht="20.100000000000001" customHeight="1">
      <c r="D168" s="27">
        <f t="shared" si="38"/>
        <v>0.4583333333333322</v>
      </c>
      <c r="E168" s="16">
        <f t="shared" si="42"/>
        <v>121.91666666666826</v>
      </c>
      <c r="F168" s="16">
        <f t="shared" si="42"/>
        <v>126.49999999999818</v>
      </c>
      <c r="G168" s="16">
        <f t="shared" si="42"/>
        <v>131.08333333333303</v>
      </c>
      <c r="H168" s="17">
        <f t="shared" si="42"/>
        <v>112.74999999999926</v>
      </c>
      <c r="I168" s="17">
        <f t="shared" si="42"/>
        <v>117.33333333333383</v>
      </c>
      <c r="J168" s="17">
        <f t="shared" si="42"/>
        <v>121.91666666666826</v>
      </c>
      <c r="K168" s="18">
        <f t="shared" si="42"/>
        <v>103.58333333333512</v>
      </c>
      <c r="L168" s="18">
        <f t="shared" si="42"/>
        <v>108.16666666666514</v>
      </c>
      <c r="M168" s="18">
        <f t="shared" si="42"/>
        <v>112.74999999999926</v>
      </c>
      <c r="N168" s="19">
        <f t="shared" si="42"/>
        <v>82.5</v>
      </c>
      <c r="O168" s="19">
        <f t="shared" si="42"/>
        <v>87.083333333334565</v>
      </c>
      <c r="P168" s="19">
        <f t="shared" si="42"/>
        <v>91.666666666668192</v>
      </c>
      <c r="Q168" s="20">
        <f t="shared" si="42"/>
        <v>77.916666666665435</v>
      </c>
      <c r="R168" s="20">
        <f t="shared" si="42"/>
        <v>82.5</v>
      </c>
      <c r="S168" s="20">
        <f t="shared" si="42"/>
        <v>87.083333333334565</v>
      </c>
      <c r="T168" s="21">
        <f t="shared" si="42"/>
        <v>73.333333333332632</v>
      </c>
      <c r="U168" s="21">
        <f t="shared" si="44"/>
        <v>77.916666666665435</v>
      </c>
      <c r="V168" s="21">
        <f t="shared" si="44"/>
        <v>82.5</v>
      </c>
      <c r="W168" s="22">
        <f t="shared" si="44"/>
        <v>68.749999999999815</v>
      </c>
      <c r="X168" s="22">
        <f t="shared" si="44"/>
        <v>73.333333333332632</v>
      </c>
      <c r="Y168" s="22">
        <f t="shared" si="44"/>
        <v>77.916666666665435</v>
      </c>
      <c r="Z168" s="23">
        <f>Z169-(Z$363/360)</f>
        <v>64.166666666667282</v>
      </c>
      <c r="AA168" s="23">
        <f t="shared" si="44"/>
        <v>68.749999999999815</v>
      </c>
      <c r="AB168" s="23">
        <f t="shared" si="44"/>
        <v>73.333333333332632</v>
      </c>
      <c r="AC168" s="24">
        <f t="shared" si="44"/>
        <v>59.583333333332718</v>
      </c>
      <c r="AD168" s="24">
        <f t="shared" si="44"/>
        <v>64.166666666667282</v>
      </c>
      <c r="AE168" s="24">
        <f t="shared" si="44"/>
        <v>68.749999999999815</v>
      </c>
      <c r="AF168" s="25">
        <f t="shared" si="44"/>
        <v>55.000000000000732</v>
      </c>
      <c r="AG168" s="25">
        <f t="shared" si="44"/>
        <v>59.583333333332718</v>
      </c>
      <c r="AH168" s="25">
        <f t="shared" si="44"/>
        <v>64.166666666667282</v>
      </c>
      <c r="AI168" s="26">
        <f t="shared" si="44"/>
        <v>50.416666666666359</v>
      </c>
      <c r="AJ168" s="26">
        <f t="shared" si="44"/>
        <v>55.000000000000732</v>
      </c>
      <c r="AK168" s="26">
        <f t="shared" si="43"/>
        <v>59.583333333332718</v>
      </c>
    </row>
    <row r="169" spans="4:37" ht="20.100000000000001" customHeight="1">
      <c r="D169" s="27">
        <f t="shared" si="38"/>
        <v>0.46111111111110997</v>
      </c>
      <c r="E169" s="16">
        <f t="shared" si="42"/>
        <v>122.65555555555716</v>
      </c>
      <c r="F169" s="16">
        <f t="shared" si="42"/>
        <v>127.26666666666485</v>
      </c>
      <c r="G169" s="16">
        <f t="shared" si="42"/>
        <v>131.87777777777748</v>
      </c>
      <c r="H169" s="17">
        <f t="shared" si="42"/>
        <v>113.4333333333326</v>
      </c>
      <c r="I169" s="17">
        <f t="shared" si="42"/>
        <v>118.04444444444493</v>
      </c>
      <c r="J169" s="17">
        <f t="shared" si="42"/>
        <v>122.65555555555716</v>
      </c>
      <c r="K169" s="18">
        <f t="shared" si="42"/>
        <v>104.2111111111129</v>
      </c>
      <c r="L169" s="18">
        <f t="shared" si="42"/>
        <v>108.82222222222069</v>
      </c>
      <c r="M169" s="18">
        <f t="shared" si="42"/>
        <v>113.4333333333326</v>
      </c>
      <c r="N169" s="19">
        <f t="shared" si="42"/>
        <v>83</v>
      </c>
      <c r="O169" s="19">
        <f t="shared" si="42"/>
        <v>87.611111111112336</v>
      </c>
      <c r="P169" s="19">
        <f t="shared" si="42"/>
        <v>92.222222222223749</v>
      </c>
      <c r="Q169" s="20">
        <f t="shared" si="42"/>
        <v>78.388888888887664</v>
      </c>
      <c r="R169" s="20">
        <f t="shared" si="42"/>
        <v>83</v>
      </c>
      <c r="S169" s="20">
        <f t="shared" si="42"/>
        <v>87.611111111112336</v>
      </c>
      <c r="T169" s="21">
        <f t="shared" si="42"/>
        <v>73.777777777777075</v>
      </c>
      <c r="U169" s="21">
        <f t="shared" si="44"/>
        <v>78.388888888887664</v>
      </c>
      <c r="V169" s="21">
        <f t="shared" si="44"/>
        <v>83</v>
      </c>
      <c r="W169" s="22">
        <f t="shared" si="44"/>
        <v>69.166666666666487</v>
      </c>
      <c r="X169" s="22">
        <f t="shared" si="44"/>
        <v>73.777777777777075</v>
      </c>
      <c r="Y169" s="22">
        <f t="shared" si="44"/>
        <v>78.388888888887664</v>
      </c>
      <c r="Z169" s="23">
        <f t="shared" si="44"/>
        <v>64.555555555556168</v>
      </c>
      <c r="AA169" s="23">
        <f t="shared" si="44"/>
        <v>69.166666666666487</v>
      </c>
      <c r="AB169" s="23">
        <f t="shared" si="44"/>
        <v>73.777777777777075</v>
      </c>
      <c r="AC169" s="24">
        <f t="shared" si="44"/>
        <v>59.944444444443832</v>
      </c>
      <c r="AD169" s="24">
        <f t="shared" si="44"/>
        <v>64.555555555556168</v>
      </c>
      <c r="AE169" s="24">
        <f t="shared" si="44"/>
        <v>69.166666666666487</v>
      </c>
      <c r="AF169" s="25">
        <f t="shared" si="44"/>
        <v>55.333333333334068</v>
      </c>
      <c r="AG169" s="25">
        <f t="shared" si="44"/>
        <v>59.944444444443832</v>
      </c>
      <c r="AH169" s="25">
        <f t="shared" si="44"/>
        <v>64.555555555556168</v>
      </c>
      <c r="AI169" s="26">
        <f t="shared" si="44"/>
        <v>50.722222222221916</v>
      </c>
      <c r="AJ169" s="26">
        <f t="shared" si="44"/>
        <v>55.333333333334068</v>
      </c>
      <c r="AK169" s="26">
        <f t="shared" si="43"/>
        <v>59.944444444443832</v>
      </c>
    </row>
    <row r="170" spans="4:37" ht="20.100000000000001" customHeight="1">
      <c r="D170" s="27">
        <f t="shared" si="38"/>
        <v>0.46388888888888774</v>
      </c>
      <c r="E170" s="16">
        <f t="shared" si="42"/>
        <v>123.39444444444605</v>
      </c>
      <c r="F170" s="16">
        <f t="shared" si="42"/>
        <v>128.03333333333151</v>
      </c>
      <c r="G170" s="16">
        <f t="shared" si="42"/>
        <v>132.67222222222193</v>
      </c>
      <c r="H170" s="17">
        <f t="shared" si="42"/>
        <v>114.11666666666594</v>
      </c>
      <c r="I170" s="17">
        <f t="shared" si="42"/>
        <v>118.75555555555604</v>
      </c>
      <c r="J170" s="17">
        <f t="shared" si="42"/>
        <v>123.39444444444605</v>
      </c>
      <c r="K170" s="18">
        <f t="shared" si="42"/>
        <v>104.83888888889068</v>
      </c>
      <c r="L170" s="18">
        <f t="shared" si="42"/>
        <v>109.47777777777624</v>
      </c>
      <c r="M170" s="18">
        <f t="shared" si="42"/>
        <v>114.11666666666594</v>
      </c>
      <c r="N170" s="19">
        <f t="shared" si="42"/>
        <v>83.5</v>
      </c>
      <c r="O170" s="19">
        <f t="shared" si="42"/>
        <v>88.138888888890108</v>
      </c>
      <c r="P170" s="19">
        <f t="shared" si="42"/>
        <v>92.777777777779306</v>
      </c>
      <c r="Q170" s="20">
        <f t="shared" si="42"/>
        <v>78.861111111109892</v>
      </c>
      <c r="R170" s="20">
        <f t="shared" si="42"/>
        <v>83.5</v>
      </c>
      <c r="S170" s="20">
        <f t="shared" si="42"/>
        <v>88.138888888890108</v>
      </c>
      <c r="T170" s="21">
        <f t="shared" si="42"/>
        <v>74.222222222221518</v>
      </c>
      <c r="U170" s="21">
        <f t="shared" si="44"/>
        <v>78.861111111109892</v>
      </c>
      <c r="V170" s="21">
        <f t="shared" si="44"/>
        <v>83.5</v>
      </c>
      <c r="W170" s="22">
        <f t="shared" si="44"/>
        <v>69.583333333333158</v>
      </c>
      <c r="X170" s="22">
        <f t="shared" si="44"/>
        <v>74.222222222221518</v>
      </c>
      <c r="Y170" s="22">
        <f t="shared" si="44"/>
        <v>78.861111111109892</v>
      </c>
      <c r="Z170" s="23">
        <f t="shared" si="44"/>
        <v>64.944444444445054</v>
      </c>
      <c r="AA170" s="23">
        <f t="shared" si="44"/>
        <v>69.583333333333158</v>
      </c>
      <c r="AB170" s="23">
        <f t="shared" si="44"/>
        <v>74.222222222221518</v>
      </c>
      <c r="AC170" s="24">
        <f t="shared" si="44"/>
        <v>60.305555555554946</v>
      </c>
      <c r="AD170" s="24">
        <f t="shared" si="44"/>
        <v>64.944444444445054</v>
      </c>
      <c r="AE170" s="24">
        <f t="shared" si="44"/>
        <v>69.583333333333158</v>
      </c>
      <c r="AF170" s="25">
        <f t="shared" si="44"/>
        <v>55.666666666667403</v>
      </c>
      <c r="AG170" s="25">
        <f t="shared" si="44"/>
        <v>60.305555555554946</v>
      </c>
      <c r="AH170" s="25">
        <f t="shared" si="44"/>
        <v>64.944444444445054</v>
      </c>
      <c r="AI170" s="26">
        <f t="shared" si="44"/>
        <v>51.027777777777473</v>
      </c>
      <c r="AJ170" s="26">
        <f t="shared" si="44"/>
        <v>55.666666666667403</v>
      </c>
      <c r="AK170" s="26">
        <f t="shared" si="43"/>
        <v>60.305555555554946</v>
      </c>
    </row>
    <row r="171" spans="4:37" ht="20.100000000000001" customHeight="1">
      <c r="D171" s="27">
        <f t="shared" si="38"/>
        <v>0.46666666666666551</v>
      </c>
      <c r="E171" s="16">
        <f t="shared" si="42"/>
        <v>124.13333333333495</v>
      </c>
      <c r="F171" s="16">
        <f t="shared" si="42"/>
        <v>128.79999999999819</v>
      </c>
      <c r="G171" s="16">
        <f t="shared" si="42"/>
        <v>133.46666666666638</v>
      </c>
      <c r="H171" s="17">
        <f t="shared" si="42"/>
        <v>114.79999999999927</v>
      </c>
      <c r="I171" s="17">
        <f t="shared" si="42"/>
        <v>119.46666666666715</v>
      </c>
      <c r="J171" s="17">
        <f t="shared" si="42"/>
        <v>124.13333333333495</v>
      </c>
      <c r="K171" s="18">
        <f t="shared" si="42"/>
        <v>105.46666666666846</v>
      </c>
      <c r="L171" s="18">
        <f t="shared" si="42"/>
        <v>110.13333333333179</v>
      </c>
      <c r="M171" s="18">
        <f t="shared" si="42"/>
        <v>114.79999999999927</v>
      </c>
      <c r="N171" s="19">
        <f t="shared" si="42"/>
        <v>84</v>
      </c>
      <c r="O171" s="19">
        <f t="shared" si="42"/>
        <v>88.666666666667879</v>
      </c>
      <c r="P171" s="19">
        <f t="shared" si="42"/>
        <v>93.333333333334863</v>
      </c>
      <c r="Q171" s="20">
        <f t="shared" si="42"/>
        <v>79.333333333332121</v>
      </c>
      <c r="R171" s="20">
        <f t="shared" si="42"/>
        <v>84</v>
      </c>
      <c r="S171" s="20">
        <f t="shared" si="42"/>
        <v>88.666666666667879</v>
      </c>
      <c r="T171" s="21">
        <f t="shared" si="42"/>
        <v>74.666666666665961</v>
      </c>
      <c r="U171" s="21">
        <f t="shared" si="44"/>
        <v>79.333333333332121</v>
      </c>
      <c r="V171" s="21">
        <f t="shared" si="44"/>
        <v>84</v>
      </c>
      <c r="W171" s="22">
        <f t="shared" si="44"/>
        <v>69.999999999999829</v>
      </c>
      <c r="X171" s="22">
        <f t="shared" si="44"/>
        <v>74.666666666665961</v>
      </c>
      <c r="Y171" s="22">
        <f t="shared" si="44"/>
        <v>79.333333333332121</v>
      </c>
      <c r="Z171" s="23">
        <f t="shared" si="44"/>
        <v>65.33333333333394</v>
      </c>
      <c r="AA171" s="23">
        <f t="shared" si="44"/>
        <v>69.999999999999829</v>
      </c>
      <c r="AB171" s="23">
        <f t="shared" si="44"/>
        <v>74.666666666665961</v>
      </c>
      <c r="AC171" s="24">
        <f t="shared" si="44"/>
        <v>60.66666666666606</v>
      </c>
      <c r="AD171" s="24">
        <f t="shared" si="44"/>
        <v>65.33333333333394</v>
      </c>
      <c r="AE171" s="24">
        <f t="shared" si="44"/>
        <v>69.999999999999829</v>
      </c>
      <c r="AF171" s="25">
        <f t="shared" si="44"/>
        <v>56.000000000000739</v>
      </c>
      <c r="AG171" s="25">
        <f t="shared" si="44"/>
        <v>60.66666666666606</v>
      </c>
      <c r="AH171" s="25">
        <f t="shared" si="44"/>
        <v>65.33333333333394</v>
      </c>
      <c r="AI171" s="26">
        <f t="shared" si="44"/>
        <v>51.33333333333303</v>
      </c>
      <c r="AJ171" s="26">
        <f t="shared" si="44"/>
        <v>56.000000000000739</v>
      </c>
      <c r="AK171" s="26">
        <f t="shared" si="43"/>
        <v>60.66666666666606</v>
      </c>
    </row>
    <row r="172" spans="4:37" ht="20.100000000000001" customHeight="1">
      <c r="D172" s="27">
        <f t="shared" si="38"/>
        <v>0.46944444444444328</v>
      </c>
      <c r="E172" s="16">
        <f t="shared" si="42"/>
        <v>124.87222222222384</v>
      </c>
      <c r="F172" s="16">
        <f t="shared" si="42"/>
        <v>129.56666666666487</v>
      </c>
      <c r="G172" s="16">
        <f t="shared" si="42"/>
        <v>134.26111111111084</v>
      </c>
      <c r="H172" s="17">
        <f t="shared" si="42"/>
        <v>115.48333333333261</v>
      </c>
      <c r="I172" s="17">
        <f t="shared" si="42"/>
        <v>120.17777777777826</v>
      </c>
      <c r="J172" s="17">
        <f t="shared" si="42"/>
        <v>124.87222222222384</v>
      </c>
      <c r="K172" s="18">
        <f t="shared" si="42"/>
        <v>106.09444444444624</v>
      </c>
      <c r="L172" s="18">
        <f t="shared" si="42"/>
        <v>110.78888888888734</v>
      </c>
      <c r="M172" s="18">
        <f t="shared" si="42"/>
        <v>115.48333333333261</v>
      </c>
      <c r="N172" s="19">
        <f t="shared" si="42"/>
        <v>84.5</v>
      </c>
      <c r="O172" s="19">
        <f t="shared" si="42"/>
        <v>89.194444444445651</v>
      </c>
      <c r="P172" s="19">
        <f t="shared" si="42"/>
        <v>93.888888888890421</v>
      </c>
      <c r="Q172" s="20">
        <f t="shared" si="42"/>
        <v>79.805555555554349</v>
      </c>
      <c r="R172" s="20">
        <f t="shared" si="42"/>
        <v>84.5</v>
      </c>
      <c r="S172" s="20">
        <f t="shared" si="42"/>
        <v>89.194444444445651</v>
      </c>
      <c r="T172" s="21">
        <f t="shared" si="42"/>
        <v>75.111111111110404</v>
      </c>
      <c r="U172" s="21">
        <f t="shared" si="44"/>
        <v>79.805555555554349</v>
      </c>
      <c r="V172" s="21">
        <f t="shared" si="44"/>
        <v>84.5</v>
      </c>
      <c r="W172" s="22">
        <f t="shared" si="44"/>
        <v>70.416666666666501</v>
      </c>
      <c r="X172" s="22">
        <f t="shared" si="44"/>
        <v>75.111111111110404</v>
      </c>
      <c r="Y172" s="22">
        <f t="shared" si="44"/>
        <v>79.805555555554349</v>
      </c>
      <c r="Z172" s="23">
        <f t="shared" si="44"/>
        <v>65.722222222222825</v>
      </c>
      <c r="AA172" s="23">
        <f t="shared" si="44"/>
        <v>70.416666666666501</v>
      </c>
      <c r="AB172" s="23">
        <f t="shared" si="44"/>
        <v>75.111111111110404</v>
      </c>
      <c r="AC172" s="24">
        <f t="shared" si="44"/>
        <v>61.027777777777175</v>
      </c>
      <c r="AD172" s="24">
        <f t="shared" si="44"/>
        <v>65.722222222222825</v>
      </c>
      <c r="AE172" s="24">
        <f t="shared" si="44"/>
        <v>70.416666666666501</v>
      </c>
      <c r="AF172" s="25">
        <f t="shared" si="44"/>
        <v>56.333333333334075</v>
      </c>
      <c r="AG172" s="25">
        <f t="shared" si="44"/>
        <v>61.027777777777175</v>
      </c>
      <c r="AH172" s="25">
        <f t="shared" si="44"/>
        <v>65.722222222222825</v>
      </c>
      <c r="AI172" s="26">
        <f t="shared" si="44"/>
        <v>51.638888888888587</v>
      </c>
      <c r="AJ172" s="26">
        <f t="shared" si="44"/>
        <v>56.333333333334075</v>
      </c>
      <c r="AK172" s="26">
        <f t="shared" si="43"/>
        <v>61.027777777777175</v>
      </c>
    </row>
    <row r="173" spans="4:37" ht="20.100000000000001" customHeight="1">
      <c r="D173" s="27">
        <f t="shared" si="38"/>
        <v>0.47222222222222104</v>
      </c>
      <c r="E173" s="16">
        <f t="shared" si="42"/>
        <v>125.61111111111273</v>
      </c>
      <c r="F173" s="16">
        <f t="shared" si="42"/>
        <v>130.33333333333155</v>
      </c>
      <c r="G173" s="16">
        <f t="shared" si="42"/>
        <v>135.05555555555529</v>
      </c>
      <c r="H173" s="17">
        <f t="shared" si="42"/>
        <v>116.16666666666595</v>
      </c>
      <c r="I173" s="17">
        <f t="shared" si="42"/>
        <v>120.88888888888937</v>
      </c>
      <c r="J173" s="17">
        <f t="shared" si="42"/>
        <v>125.61111111111273</v>
      </c>
      <c r="K173" s="18">
        <f t="shared" si="42"/>
        <v>106.72222222222402</v>
      </c>
      <c r="L173" s="18">
        <f t="shared" si="42"/>
        <v>111.44444444444289</v>
      </c>
      <c r="M173" s="18">
        <f t="shared" si="42"/>
        <v>116.16666666666595</v>
      </c>
      <c r="N173" s="19">
        <f t="shared" si="42"/>
        <v>85</v>
      </c>
      <c r="O173" s="19">
        <f t="shared" si="42"/>
        <v>89.722222222223422</v>
      </c>
      <c r="P173" s="19">
        <f t="shared" si="42"/>
        <v>94.444444444445978</v>
      </c>
      <c r="Q173" s="20">
        <f t="shared" si="42"/>
        <v>80.277777777776578</v>
      </c>
      <c r="R173" s="20">
        <f t="shared" si="42"/>
        <v>85</v>
      </c>
      <c r="S173" s="20">
        <f t="shared" si="42"/>
        <v>89.722222222223422</v>
      </c>
      <c r="T173" s="21">
        <f t="shared" si="42"/>
        <v>75.555555555554847</v>
      </c>
      <c r="U173" s="21">
        <f t="shared" si="44"/>
        <v>80.277777777776578</v>
      </c>
      <c r="V173" s="21">
        <f t="shared" si="44"/>
        <v>85</v>
      </c>
      <c r="W173" s="22">
        <f t="shared" si="44"/>
        <v>70.833333333333172</v>
      </c>
      <c r="X173" s="22">
        <f t="shared" si="44"/>
        <v>75.555555555554847</v>
      </c>
      <c r="Y173" s="22">
        <f t="shared" si="44"/>
        <v>80.277777777776578</v>
      </c>
      <c r="Z173" s="23">
        <f t="shared" si="44"/>
        <v>66.111111111111711</v>
      </c>
      <c r="AA173" s="23">
        <f t="shared" si="44"/>
        <v>70.833333333333172</v>
      </c>
      <c r="AB173" s="23">
        <f t="shared" si="44"/>
        <v>75.555555555554847</v>
      </c>
      <c r="AC173" s="24">
        <f t="shared" si="44"/>
        <v>61.388888888888289</v>
      </c>
      <c r="AD173" s="24">
        <f t="shared" si="44"/>
        <v>66.111111111111711</v>
      </c>
      <c r="AE173" s="24">
        <f t="shared" si="44"/>
        <v>70.833333333333172</v>
      </c>
      <c r="AF173" s="25">
        <f t="shared" si="44"/>
        <v>56.66666666666741</v>
      </c>
      <c r="AG173" s="25">
        <f t="shared" si="44"/>
        <v>61.388888888888289</v>
      </c>
      <c r="AH173" s="25">
        <f t="shared" si="44"/>
        <v>66.111111111111711</v>
      </c>
      <c r="AI173" s="26">
        <f t="shared" si="44"/>
        <v>51.944444444444144</v>
      </c>
      <c r="AJ173" s="26">
        <f t="shared" si="44"/>
        <v>56.66666666666741</v>
      </c>
      <c r="AK173" s="26">
        <f t="shared" si="43"/>
        <v>61.388888888888289</v>
      </c>
    </row>
    <row r="174" spans="4:37" ht="20.100000000000001" customHeight="1">
      <c r="D174" s="27">
        <f t="shared" si="38"/>
        <v>0.47499999999999881</v>
      </c>
      <c r="E174" s="16">
        <f t="shared" si="42"/>
        <v>126.35000000000163</v>
      </c>
      <c r="F174" s="16">
        <f t="shared" si="42"/>
        <v>131.09999999999823</v>
      </c>
      <c r="G174" s="16">
        <f t="shared" si="42"/>
        <v>135.84999999999974</v>
      </c>
      <c r="H174" s="17">
        <f t="shared" si="42"/>
        <v>116.84999999999928</v>
      </c>
      <c r="I174" s="17">
        <f t="shared" si="42"/>
        <v>121.60000000000048</v>
      </c>
      <c r="J174" s="17">
        <f t="shared" si="42"/>
        <v>126.35000000000163</v>
      </c>
      <c r="K174" s="18">
        <f t="shared" si="42"/>
        <v>107.3500000000018</v>
      </c>
      <c r="L174" s="18">
        <f t="shared" si="42"/>
        <v>112.09999999999845</v>
      </c>
      <c r="M174" s="18">
        <f t="shared" si="42"/>
        <v>116.84999999999928</v>
      </c>
      <c r="N174" s="19">
        <f t="shared" si="42"/>
        <v>85.5</v>
      </c>
      <c r="O174" s="19">
        <f t="shared" si="42"/>
        <v>90.250000000001194</v>
      </c>
      <c r="P174" s="19">
        <f t="shared" si="42"/>
        <v>95.000000000001535</v>
      </c>
      <c r="Q174" s="20">
        <f t="shared" si="42"/>
        <v>80.749999999998806</v>
      </c>
      <c r="R174" s="20">
        <f t="shared" si="42"/>
        <v>85.5</v>
      </c>
      <c r="S174" s="20">
        <f t="shared" si="42"/>
        <v>90.250000000001194</v>
      </c>
      <c r="T174" s="21">
        <f t="shared" si="42"/>
        <v>75.999999999999289</v>
      </c>
      <c r="U174" s="21">
        <f t="shared" si="44"/>
        <v>80.749999999998806</v>
      </c>
      <c r="V174" s="21">
        <f t="shared" si="44"/>
        <v>85.5</v>
      </c>
      <c r="W174" s="22">
        <f t="shared" si="44"/>
        <v>71.249999999999844</v>
      </c>
      <c r="X174" s="22">
        <f t="shared" si="44"/>
        <v>75.999999999999289</v>
      </c>
      <c r="Y174" s="22">
        <f t="shared" si="44"/>
        <v>80.749999999998806</v>
      </c>
      <c r="Z174" s="23">
        <f t="shared" si="44"/>
        <v>66.500000000000597</v>
      </c>
      <c r="AA174" s="23">
        <f t="shared" si="44"/>
        <v>71.249999999999844</v>
      </c>
      <c r="AB174" s="23">
        <f t="shared" si="44"/>
        <v>75.999999999999289</v>
      </c>
      <c r="AC174" s="24">
        <f t="shared" si="44"/>
        <v>61.749999999999403</v>
      </c>
      <c r="AD174" s="24">
        <f t="shared" si="44"/>
        <v>66.500000000000597</v>
      </c>
      <c r="AE174" s="24">
        <f t="shared" si="44"/>
        <v>71.249999999999844</v>
      </c>
      <c r="AF174" s="25">
        <f t="shared" si="44"/>
        <v>57.000000000000746</v>
      </c>
      <c r="AG174" s="25">
        <f t="shared" si="44"/>
        <v>61.749999999999403</v>
      </c>
      <c r="AH174" s="25">
        <f t="shared" si="44"/>
        <v>66.500000000000597</v>
      </c>
      <c r="AI174" s="26">
        <f t="shared" si="44"/>
        <v>52.249999999999702</v>
      </c>
      <c r="AJ174" s="26">
        <f t="shared" si="44"/>
        <v>57.000000000000746</v>
      </c>
      <c r="AK174" s="26">
        <f t="shared" si="43"/>
        <v>61.749999999999403</v>
      </c>
    </row>
    <row r="175" spans="4:37" ht="20.100000000000001" customHeight="1">
      <c r="D175" s="27">
        <f t="shared" si="38"/>
        <v>0.47777777777777658</v>
      </c>
      <c r="E175" s="16">
        <f t="shared" si="42"/>
        <v>127.08888888889052</v>
      </c>
      <c r="F175" s="16">
        <f t="shared" si="42"/>
        <v>131.86666666666491</v>
      </c>
      <c r="G175" s="16">
        <f t="shared" si="42"/>
        <v>136.64444444444419</v>
      </c>
      <c r="H175" s="17">
        <f t="shared" si="42"/>
        <v>117.53333333333262</v>
      </c>
      <c r="I175" s="17">
        <f t="shared" si="42"/>
        <v>122.31111111111159</v>
      </c>
      <c r="J175" s="17">
        <f t="shared" si="42"/>
        <v>127.08888888889052</v>
      </c>
      <c r="K175" s="18">
        <f t="shared" si="42"/>
        <v>107.97777777777958</v>
      </c>
      <c r="L175" s="18">
        <f t="shared" si="42"/>
        <v>112.755555555554</v>
      </c>
      <c r="M175" s="18">
        <f t="shared" si="42"/>
        <v>117.53333333333262</v>
      </c>
      <c r="N175" s="19">
        <f t="shared" si="42"/>
        <v>86</v>
      </c>
      <c r="O175" s="19">
        <f t="shared" si="42"/>
        <v>90.777777777778965</v>
      </c>
      <c r="P175" s="19">
        <f t="shared" si="42"/>
        <v>95.555555555557092</v>
      </c>
      <c r="Q175" s="20">
        <f t="shared" si="42"/>
        <v>81.222222222221035</v>
      </c>
      <c r="R175" s="20">
        <f t="shared" si="42"/>
        <v>86</v>
      </c>
      <c r="S175" s="20">
        <f t="shared" si="42"/>
        <v>90.777777777778965</v>
      </c>
      <c r="T175" s="21">
        <f t="shared" si="42"/>
        <v>76.444444444443732</v>
      </c>
      <c r="U175" s="21">
        <f t="shared" si="44"/>
        <v>81.222222222221035</v>
      </c>
      <c r="V175" s="21">
        <f t="shared" si="44"/>
        <v>86</v>
      </c>
      <c r="W175" s="22">
        <f t="shared" si="44"/>
        <v>71.666666666666515</v>
      </c>
      <c r="X175" s="22">
        <f t="shared" si="44"/>
        <v>76.444444444443732</v>
      </c>
      <c r="Y175" s="22">
        <f t="shared" si="44"/>
        <v>81.222222222221035</v>
      </c>
      <c r="Z175" s="23">
        <f t="shared" si="44"/>
        <v>66.888888888889483</v>
      </c>
      <c r="AA175" s="23">
        <f t="shared" si="44"/>
        <v>71.666666666666515</v>
      </c>
      <c r="AB175" s="23">
        <f t="shared" si="44"/>
        <v>76.444444444443732</v>
      </c>
      <c r="AC175" s="24">
        <f t="shared" si="44"/>
        <v>62.111111111110517</v>
      </c>
      <c r="AD175" s="24">
        <f t="shared" si="44"/>
        <v>66.888888888889483</v>
      </c>
      <c r="AE175" s="24">
        <f t="shared" si="44"/>
        <v>71.666666666666515</v>
      </c>
      <c r="AF175" s="25">
        <f t="shared" si="43"/>
        <v>57.333333333334082</v>
      </c>
      <c r="AG175" s="25">
        <f t="shared" si="43"/>
        <v>62.111111111110517</v>
      </c>
      <c r="AH175" s="25">
        <f t="shared" si="43"/>
        <v>66.888888888889483</v>
      </c>
      <c r="AI175" s="26">
        <f t="shared" si="43"/>
        <v>52.555555555555259</v>
      </c>
      <c r="AJ175" s="26">
        <f t="shared" si="43"/>
        <v>57.333333333334082</v>
      </c>
      <c r="AK175" s="26">
        <f t="shared" si="43"/>
        <v>62.111111111110517</v>
      </c>
    </row>
    <row r="176" spans="4:37" ht="20.100000000000001" customHeight="1">
      <c r="D176" s="27">
        <f t="shared" si="38"/>
        <v>0.48055555555555435</v>
      </c>
      <c r="E176" s="16">
        <f t="shared" si="42"/>
        <v>127.82777777777942</v>
      </c>
      <c r="F176" s="16">
        <f t="shared" si="42"/>
        <v>132.63333333333159</v>
      </c>
      <c r="G176" s="16">
        <f t="shared" si="42"/>
        <v>137.43888888888864</v>
      </c>
      <c r="H176" s="17">
        <f t="shared" si="42"/>
        <v>118.21666666666596</v>
      </c>
      <c r="I176" s="17">
        <f t="shared" si="42"/>
        <v>123.02222222222269</v>
      </c>
      <c r="J176" s="17">
        <f t="shared" si="42"/>
        <v>127.82777777777942</v>
      </c>
      <c r="K176" s="18">
        <f t="shared" si="42"/>
        <v>108.60555555555736</v>
      </c>
      <c r="L176" s="18">
        <f t="shared" si="42"/>
        <v>113.41111111110955</v>
      </c>
      <c r="M176" s="18">
        <f t="shared" si="42"/>
        <v>118.21666666666596</v>
      </c>
      <c r="N176" s="19">
        <f t="shared" si="42"/>
        <v>86.5</v>
      </c>
      <c r="O176" s="19">
        <f t="shared" si="42"/>
        <v>91.305555555556737</v>
      </c>
      <c r="P176" s="19">
        <f t="shared" si="42"/>
        <v>96.111111111112649</v>
      </c>
      <c r="Q176" s="20">
        <f t="shared" si="42"/>
        <v>81.694444444443263</v>
      </c>
      <c r="R176" s="20">
        <f t="shared" si="42"/>
        <v>86.5</v>
      </c>
      <c r="S176" s="20">
        <f t="shared" si="42"/>
        <v>91.305555555556737</v>
      </c>
      <c r="T176" s="21">
        <f t="shared" si="42"/>
        <v>76.888888888888175</v>
      </c>
      <c r="U176" s="21">
        <f t="shared" si="44"/>
        <v>81.694444444443263</v>
      </c>
      <c r="V176" s="21">
        <f t="shared" si="44"/>
        <v>86.5</v>
      </c>
      <c r="W176" s="22">
        <f t="shared" si="44"/>
        <v>72.083333333333186</v>
      </c>
      <c r="X176" s="22">
        <f t="shared" si="44"/>
        <v>76.888888888888175</v>
      </c>
      <c r="Y176" s="22">
        <f t="shared" si="44"/>
        <v>81.694444444443263</v>
      </c>
      <c r="Z176" s="23">
        <f t="shared" si="44"/>
        <v>67.277777777778368</v>
      </c>
      <c r="AA176" s="23">
        <f t="shared" si="44"/>
        <v>72.083333333333186</v>
      </c>
      <c r="AB176" s="23">
        <f t="shared" si="44"/>
        <v>76.888888888888175</v>
      </c>
      <c r="AC176" s="24">
        <f t="shared" si="44"/>
        <v>62.472222222221632</v>
      </c>
      <c r="AD176" s="24">
        <f t="shared" si="44"/>
        <v>67.277777777778368</v>
      </c>
      <c r="AE176" s="24">
        <f t="shared" si="44"/>
        <v>72.083333333333186</v>
      </c>
      <c r="AF176" s="25">
        <f t="shared" si="43"/>
        <v>57.666666666667417</v>
      </c>
      <c r="AG176" s="25">
        <f t="shared" si="43"/>
        <v>62.472222222221632</v>
      </c>
      <c r="AH176" s="25">
        <f t="shared" si="43"/>
        <v>67.277777777778368</v>
      </c>
      <c r="AI176" s="26">
        <f t="shared" si="43"/>
        <v>52.861111111110816</v>
      </c>
      <c r="AJ176" s="26">
        <f t="shared" si="43"/>
        <v>57.666666666667417</v>
      </c>
      <c r="AK176" s="26">
        <f t="shared" si="43"/>
        <v>62.472222222221632</v>
      </c>
    </row>
    <row r="177" spans="4:37" ht="20.100000000000001" customHeight="1">
      <c r="D177" s="27">
        <f t="shared" si="38"/>
        <v>0.48333333333333212</v>
      </c>
      <c r="E177" s="16">
        <f t="shared" si="42"/>
        <v>128.56666666666831</v>
      </c>
      <c r="F177" s="16">
        <f t="shared" si="42"/>
        <v>133.39999999999827</v>
      </c>
      <c r="G177" s="16">
        <f t="shared" si="42"/>
        <v>138.23333333333309</v>
      </c>
      <c r="H177" s="17">
        <f t="shared" si="42"/>
        <v>118.8999999999993</v>
      </c>
      <c r="I177" s="17">
        <f t="shared" si="42"/>
        <v>123.7333333333338</v>
      </c>
      <c r="J177" s="17">
        <f t="shared" si="42"/>
        <v>128.56666666666831</v>
      </c>
      <c r="K177" s="18">
        <f t="shared" si="42"/>
        <v>109.23333333333514</v>
      </c>
      <c r="L177" s="18">
        <f t="shared" si="42"/>
        <v>114.0666666666651</v>
      </c>
      <c r="M177" s="18">
        <f t="shared" si="42"/>
        <v>118.8999999999993</v>
      </c>
      <c r="N177" s="19">
        <f t="shared" si="42"/>
        <v>87</v>
      </c>
      <c r="O177" s="19">
        <f t="shared" si="42"/>
        <v>91.833333333334508</v>
      </c>
      <c r="P177" s="19">
        <f t="shared" si="42"/>
        <v>96.666666666668206</v>
      </c>
      <c r="Q177" s="20">
        <f t="shared" si="42"/>
        <v>82.166666666665492</v>
      </c>
      <c r="R177" s="20">
        <f t="shared" si="42"/>
        <v>87</v>
      </c>
      <c r="S177" s="20">
        <f t="shared" si="42"/>
        <v>91.833333333334508</v>
      </c>
      <c r="T177" s="21">
        <f>T178-(T$363/360)</f>
        <v>77.333333333332618</v>
      </c>
      <c r="U177" s="21">
        <f t="shared" si="44"/>
        <v>82.166666666665492</v>
      </c>
      <c r="V177" s="21">
        <f t="shared" si="44"/>
        <v>87</v>
      </c>
      <c r="W177" s="22">
        <f t="shared" si="44"/>
        <v>72.499999999999858</v>
      </c>
      <c r="X177" s="22">
        <f t="shared" si="44"/>
        <v>77.333333333332618</v>
      </c>
      <c r="Y177" s="22">
        <f t="shared" si="44"/>
        <v>82.166666666665492</v>
      </c>
      <c r="Z177" s="23">
        <f t="shared" si="44"/>
        <v>67.666666666667254</v>
      </c>
      <c r="AA177" s="23">
        <f t="shared" si="44"/>
        <v>72.499999999999858</v>
      </c>
      <c r="AB177" s="23">
        <f t="shared" si="44"/>
        <v>77.333333333332618</v>
      </c>
      <c r="AC177" s="24">
        <f t="shared" si="44"/>
        <v>62.833333333332746</v>
      </c>
      <c r="AD177" s="24">
        <f t="shared" si="44"/>
        <v>67.666666666667254</v>
      </c>
      <c r="AE177" s="24">
        <f t="shared" si="44"/>
        <v>72.499999999999858</v>
      </c>
      <c r="AF177" s="25">
        <f t="shared" si="43"/>
        <v>58.000000000000753</v>
      </c>
      <c r="AG177" s="25">
        <f t="shared" si="43"/>
        <v>62.833333333332746</v>
      </c>
      <c r="AH177" s="25">
        <f t="shared" si="43"/>
        <v>67.666666666667254</v>
      </c>
      <c r="AI177" s="26">
        <f t="shared" si="43"/>
        <v>53.166666666666373</v>
      </c>
      <c r="AJ177" s="26">
        <f t="shared" si="43"/>
        <v>58.000000000000753</v>
      </c>
      <c r="AK177" s="26">
        <f t="shared" si="43"/>
        <v>62.833333333332746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129.30555555555719</v>
      </c>
      <c r="F178" s="16">
        <f t="shared" si="45"/>
        <v>134.16666666666495</v>
      </c>
      <c r="G178" s="16">
        <f t="shared" si="45"/>
        <v>139.02777777777754</v>
      </c>
      <c r="H178" s="17">
        <f t="shared" si="45"/>
        <v>119.58333333333263</v>
      </c>
      <c r="I178" s="17">
        <f t="shared" si="45"/>
        <v>124.44444444444491</v>
      </c>
      <c r="J178" s="17">
        <f t="shared" si="45"/>
        <v>129.30555555555719</v>
      </c>
      <c r="K178" s="18">
        <f t="shared" si="45"/>
        <v>109.86111111111292</v>
      </c>
      <c r="L178" s="18">
        <f t="shared" si="45"/>
        <v>114.72222222222065</v>
      </c>
      <c r="M178" s="18">
        <f t="shared" si="45"/>
        <v>119.58333333333263</v>
      </c>
      <c r="N178" s="19">
        <f t="shared" si="45"/>
        <v>87.5</v>
      </c>
      <c r="O178" s="19">
        <f t="shared" si="45"/>
        <v>92.36111111111228</v>
      </c>
      <c r="P178" s="19">
        <f t="shared" si="45"/>
        <v>97.222222222223763</v>
      </c>
      <c r="Q178" s="20">
        <f t="shared" si="45"/>
        <v>82.63888888888772</v>
      </c>
      <c r="R178" s="20">
        <f t="shared" si="45"/>
        <v>87.5</v>
      </c>
      <c r="S178" s="20">
        <f t="shared" si="45"/>
        <v>92.36111111111228</v>
      </c>
      <c r="T178" s="21">
        <f t="shared" si="45"/>
        <v>77.777777777777061</v>
      </c>
      <c r="U178" s="21">
        <f t="shared" si="44"/>
        <v>82.63888888888772</v>
      </c>
      <c r="V178" s="21">
        <f t="shared" si="44"/>
        <v>87.5</v>
      </c>
      <c r="W178" s="22">
        <f t="shared" si="44"/>
        <v>72.916666666666529</v>
      </c>
      <c r="X178" s="22">
        <f t="shared" si="44"/>
        <v>77.777777777777061</v>
      </c>
      <c r="Y178" s="22">
        <f t="shared" si="44"/>
        <v>82.63888888888772</v>
      </c>
      <c r="Z178" s="23">
        <f t="shared" si="44"/>
        <v>68.05555555555614</v>
      </c>
      <c r="AA178" s="23">
        <f t="shared" si="44"/>
        <v>72.916666666666529</v>
      </c>
      <c r="AB178" s="23">
        <f t="shared" si="44"/>
        <v>77.777777777777061</v>
      </c>
      <c r="AC178" s="24">
        <f t="shared" si="44"/>
        <v>63.19444444444386</v>
      </c>
      <c r="AD178" s="24">
        <f t="shared" si="44"/>
        <v>68.05555555555614</v>
      </c>
      <c r="AE178" s="24">
        <f t="shared" si="44"/>
        <v>72.916666666666529</v>
      </c>
      <c r="AF178" s="25">
        <f t="shared" si="43"/>
        <v>58.333333333334089</v>
      </c>
      <c r="AG178" s="25">
        <f t="shared" si="43"/>
        <v>63.19444444444386</v>
      </c>
      <c r="AH178" s="25">
        <f t="shared" si="43"/>
        <v>68.05555555555614</v>
      </c>
      <c r="AI178" s="26">
        <f t="shared" si="43"/>
        <v>53.47222222222193</v>
      </c>
      <c r="AJ178" s="26">
        <f t="shared" si="43"/>
        <v>58.333333333334089</v>
      </c>
      <c r="AK178" s="26">
        <f t="shared" si="43"/>
        <v>63.19444444444386</v>
      </c>
    </row>
    <row r="179" spans="4:37" ht="20.100000000000001" customHeight="1">
      <c r="D179" s="27">
        <f t="shared" si="38"/>
        <v>0.48888888888888765</v>
      </c>
      <c r="E179" s="16">
        <f t="shared" si="45"/>
        <v>130.04444444444607</v>
      </c>
      <c r="F179" s="16">
        <f t="shared" si="45"/>
        <v>134.93333333333163</v>
      </c>
      <c r="G179" s="16">
        <f t="shared" si="45"/>
        <v>139.822222222222</v>
      </c>
      <c r="H179" s="17">
        <f t="shared" si="45"/>
        <v>120.26666666666597</v>
      </c>
      <c r="I179" s="17">
        <f t="shared" si="45"/>
        <v>125.15555555555602</v>
      </c>
      <c r="J179" s="17">
        <f t="shared" si="45"/>
        <v>130.04444444444607</v>
      </c>
      <c r="K179" s="18">
        <f t="shared" si="45"/>
        <v>110.4888888888907</v>
      </c>
      <c r="L179" s="18">
        <f t="shared" si="45"/>
        <v>115.3777777777762</v>
      </c>
      <c r="M179" s="18">
        <f t="shared" si="45"/>
        <v>120.26666666666597</v>
      </c>
      <c r="N179" s="19">
        <f t="shared" si="45"/>
        <v>88</v>
      </c>
      <c r="O179" s="19">
        <f t="shared" si="45"/>
        <v>92.888888888890051</v>
      </c>
      <c r="P179" s="19">
        <f t="shared" si="45"/>
        <v>97.77777777777932</v>
      </c>
      <c r="Q179" s="20">
        <f t="shared" si="45"/>
        <v>83.111111111109949</v>
      </c>
      <c r="R179" s="20">
        <f t="shared" si="45"/>
        <v>88</v>
      </c>
      <c r="S179" s="20">
        <f t="shared" si="45"/>
        <v>92.888888888890051</v>
      </c>
      <c r="T179" s="21">
        <f t="shared" si="45"/>
        <v>78.222222222221504</v>
      </c>
      <c r="U179" s="21">
        <f t="shared" si="44"/>
        <v>83.111111111109949</v>
      </c>
      <c r="V179" s="21">
        <f t="shared" si="44"/>
        <v>88</v>
      </c>
      <c r="W179" s="22">
        <f t="shared" si="44"/>
        <v>73.333333333333201</v>
      </c>
      <c r="X179" s="22">
        <f t="shared" si="44"/>
        <v>78.222222222221504</v>
      </c>
      <c r="Y179" s="22">
        <f t="shared" si="44"/>
        <v>83.111111111109949</v>
      </c>
      <c r="Z179" s="23">
        <f t="shared" si="44"/>
        <v>68.444444444445026</v>
      </c>
      <c r="AA179" s="23">
        <f t="shared" si="44"/>
        <v>73.333333333333201</v>
      </c>
      <c r="AB179" s="23">
        <f t="shared" si="44"/>
        <v>78.222222222221504</v>
      </c>
      <c r="AC179" s="24">
        <f t="shared" si="44"/>
        <v>63.555555555554974</v>
      </c>
      <c r="AD179" s="24">
        <f t="shared" si="44"/>
        <v>68.444444444445026</v>
      </c>
      <c r="AE179" s="24">
        <f t="shared" si="44"/>
        <v>73.333333333333201</v>
      </c>
      <c r="AF179" s="25">
        <f t="shared" si="43"/>
        <v>58.666666666667425</v>
      </c>
      <c r="AG179" s="25">
        <f t="shared" si="43"/>
        <v>63.555555555554974</v>
      </c>
      <c r="AH179" s="25">
        <f t="shared" si="43"/>
        <v>68.444444444445026</v>
      </c>
      <c r="AI179" s="26">
        <f t="shared" si="43"/>
        <v>53.777777777777487</v>
      </c>
      <c r="AJ179" s="26">
        <f t="shared" si="43"/>
        <v>58.666666666667425</v>
      </c>
      <c r="AK179" s="26">
        <f t="shared" si="43"/>
        <v>63.555555555554974</v>
      </c>
    </row>
    <row r="180" spans="4:37" ht="20.100000000000001" customHeight="1">
      <c r="D180" s="27">
        <f t="shared" si="38"/>
        <v>0.49166666666666542</v>
      </c>
      <c r="E180" s="16">
        <f t="shared" si="45"/>
        <v>130.78333333333495</v>
      </c>
      <c r="F180" s="16">
        <f t="shared" si="45"/>
        <v>135.69999999999831</v>
      </c>
      <c r="G180" s="16">
        <f t="shared" si="45"/>
        <v>140.61666666666645</v>
      </c>
      <c r="H180" s="17">
        <f t="shared" si="45"/>
        <v>120.94999999999931</v>
      </c>
      <c r="I180" s="17">
        <f t="shared" si="45"/>
        <v>125.86666666666713</v>
      </c>
      <c r="J180" s="17">
        <f t="shared" si="45"/>
        <v>130.78333333333495</v>
      </c>
      <c r="K180" s="18">
        <f t="shared" si="45"/>
        <v>111.11666666666848</v>
      </c>
      <c r="L180" s="18">
        <f t="shared" si="45"/>
        <v>116.03333333333175</v>
      </c>
      <c r="M180" s="18">
        <f t="shared" si="45"/>
        <v>120.94999999999931</v>
      </c>
      <c r="N180" s="19">
        <f t="shared" si="45"/>
        <v>88.5</v>
      </c>
      <c r="O180" s="19">
        <f t="shared" si="45"/>
        <v>93.416666666667822</v>
      </c>
      <c r="P180" s="19">
        <f t="shared" si="45"/>
        <v>98.333333333334878</v>
      </c>
      <c r="Q180" s="20">
        <f t="shared" si="45"/>
        <v>83.583333333332178</v>
      </c>
      <c r="R180" s="20">
        <f t="shared" si="45"/>
        <v>88.5</v>
      </c>
      <c r="S180" s="20">
        <f t="shared" si="45"/>
        <v>93.416666666667822</v>
      </c>
      <c r="T180" s="21">
        <f t="shared" si="45"/>
        <v>78.666666666665947</v>
      </c>
      <c r="U180" s="21">
        <f t="shared" si="44"/>
        <v>83.583333333332178</v>
      </c>
      <c r="V180" s="21">
        <f t="shared" si="44"/>
        <v>88.5</v>
      </c>
      <c r="W180" s="22">
        <f t="shared" si="44"/>
        <v>73.749999999999872</v>
      </c>
      <c r="X180" s="22">
        <f t="shared" si="44"/>
        <v>78.666666666665947</v>
      </c>
      <c r="Y180" s="22">
        <f t="shared" si="44"/>
        <v>83.583333333332178</v>
      </c>
      <c r="Z180" s="23">
        <f t="shared" si="44"/>
        <v>68.833333333333911</v>
      </c>
      <c r="AA180" s="23">
        <f t="shared" si="44"/>
        <v>73.749999999999872</v>
      </c>
      <c r="AB180" s="23">
        <f t="shared" si="44"/>
        <v>78.666666666665947</v>
      </c>
      <c r="AC180" s="24">
        <f t="shared" si="44"/>
        <v>63.916666666666089</v>
      </c>
      <c r="AD180" s="24">
        <f>AD181-(AD$363/360)</f>
        <v>68.833333333333911</v>
      </c>
      <c r="AE180" s="24">
        <f>AE181-(AE$363/360)</f>
        <v>73.749999999999872</v>
      </c>
      <c r="AF180" s="25">
        <f t="shared" si="43"/>
        <v>59.00000000000076</v>
      </c>
      <c r="AG180" s="25">
        <f t="shared" si="43"/>
        <v>63.916666666666089</v>
      </c>
      <c r="AH180" s="25">
        <f t="shared" si="43"/>
        <v>68.833333333333911</v>
      </c>
      <c r="AI180" s="26">
        <f t="shared" si="43"/>
        <v>54.083333333333044</v>
      </c>
      <c r="AJ180" s="26">
        <f t="shared" si="43"/>
        <v>59.00000000000076</v>
      </c>
      <c r="AK180" s="26">
        <f t="shared" si="43"/>
        <v>63.916666666666089</v>
      </c>
    </row>
    <row r="181" spans="4:37" ht="20.100000000000001" customHeight="1">
      <c r="D181" s="27">
        <f t="shared" si="38"/>
        <v>0.49444444444444319</v>
      </c>
      <c r="E181" s="16">
        <f t="shared" si="45"/>
        <v>131.52222222222383</v>
      </c>
      <c r="F181" s="16">
        <f t="shared" si="45"/>
        <v>136.46666666666499</v>
      </c>
      <c r="G181" s="16">
        <f t="shared" si="45"/>
        <v>141.4111111111109</v>
      </c>
      <c r="H181" s="17">
        <f t="shared" si="45"/>
        <v>121.63333333333264</v>
      </c>
      <c r="I181" s="17">
        <f t="shared" si="45"/>
        <v>126.57777777777824</v>
      </c>
      <c r="J181" s="17">
        <f t="shared" si="45"/>
        <v>131.52222222222383</v>
      </c>
      <c r="K181" s="18">
        <f t="shared" si="45"/>
        <v>111.74444444444626</v>
      </c>
      <c r="L181" s="18">
        <f t="shared" si="45"/>
        <v>116.68888888888731</v>
      </c>
      <c r="M181" s="18">
        <f t="shared" si="45"/>
        <v>121.63333333333264</v>
      </c>
      <c r="N181" s="19">
        <f t="shared" si="45"/>
        <v>89</v>
      </c>
      <c r="O181" s="19">
        <f t="shared" si="45"/>
        <v>93.944444444445594</v>
      </c>
      <c r="P181" s="19">
        <f t="shared" si="45"/>
        <v>98.888888888890435</v>
      </c>
      <c r="Q181" s="20">
        <f t="shared" si="45"/>
        <v>84.055555555554406</v>
      </c>
      <c r="R181" s="20">
        <f t="shared" si="45"/>
        <v>89</v>
      </c>
      <c r="S181" s="20">
        <f t="shared" si="45"/>
        <v>93.944444444445594</v>
      </c>
      <c r="T181" s="21">
        <f t="shared" si="45"/>
        <v>79.11111111111039</v>
      </c>
      <c r="U181" s="21">
        <f t="shared" ref="U181:AJ202" si="46">U182-(U$363/360)</f>
        <v>84.055555555554406</v>
      </c>
      <c r="V181" s="21">
        <f t="shared" si="46"/>
        <v>89</v>
      </c>
      <c r="W181" s="22">
        <f t="shared" si="46"/>
        <v>74.166666666666544</v>
      </c>
      <c r="X181" s="22">
        <f t="shared" si="46"/>
        <v>79.11111111111039</v>
      </c>
      <c r="Y181" s="22">
        <f t="shared" si="46"/>
        <v>84.055555555554406</v>
      </c>
      <c r="Z181" s="23">
        <f t="shared" si="46"/>
        <v>69.222222222222797</v>
      </c>
      <c r="AA181" s="23">
        <f t="shared" si="46"/>
        <v>74.166666666666544</v>
      </c>
      <c r="AB181" s="23">
        <f t="shared" si="46"/>
        <v>79.11111111111039</v>
      </c>
      <c r="AC181" s="24">
        <f t="shared" si="46"/>
        <v>64.277777777777203</v>
      </c>
      <c r="AD181" s="24">
        <f t="shared" si="46"/>
        <v>69.222222222222797</v>
      </c>
      <c r="AE181" s="24">
        <f t="shared" si="46"/>
        <v>74.166666666666544</v>
      </c>
      <c r="AF181" s="25">
        <f t="shared" si="43"/>
        <v>59.333333333334096</v>
      </c>
      <c r="AG181" s="25">
        <f t="shared" si="43"/>
        <v>64.277777777777203</v>
      </c>
      <c r="AH181" s="25">
        <f t="shared" si="43"/>
        <v>69.222222222222797</v>
      </c>
      <c r="AI181" s="26">
        <f t="shared" si="43"/>
        <v>54.388888888888602</v>
      </c>
      <c r="AJ181" s="26">
        <f t="shared" si="43"/>
        <v>59.333333333334096</v>
      </c>
      <c r="AK181" s="26">
        <f t="shared" si="43"/>
        <v>64.277777777777203</v>
      </c>
    </row>
    <row r="182" spans="4:37" ht="20.100000000000001" customHeight="1">
      <c r="D182" s="27">
        <f t="shared" si="38"/>
        <v>0.49722222222222096</v>
      </c>
      <c r="E182" s="16">
        <f t="shared" si="45"/>
        <v>132.26111111111271</v>
      </c>
      <c r="F182" s="16">
        <f t="shared" si="45"/>
        <v>137.23333333333167</v>
      </c>
      <c r="G182" s="16">
        <f t="shared" si="45"/>
        <v>142.20555555555535</v>
      </c>
      <c r="H182" s="17">
        <f t="shared" si="45"/>
        <v>122.31666666666598</v>
      </c>
      <c r="I182" s="17">
        <f t="shared" si="45"/>
        <v>127.28888888888935</v>
      </c>
      <c r="J182" s="17">
        <f t="shared" si="45"/>
        <v>132.26111111111271</v>
      </c>
      <c r="K182" s="18">
        <f t="shared" si="45"/>
        <v>112.37222222222404</v>
      </c>
      <c r="L182" s="18">
        <f t="shared" si="45"/>
        <v>117.34444444444286</v>
      </c>
      <c r="M182" s="18">
        <f t="shared" si="45"/>
        <v>122.31666666666598</v>
      </c>
      <c r="N182" s="19">
        <f t="shared" si="45"/>
        <v>89.5</v>
      </c>
      <c r="O182" s="19">
        <f t="shared" si="45"/>
        <v>94.472222222223365</v>
      </c>
      <c r="P182" s="19">
        <f t="shared" si="45"/>
        <v>99.444444444445992</v>
      </c>
      <c r="Q182" s="20">
        <f t="shared" si="45"/>
        <v>84.527777777776635</v>
      </c>
      <c r="R182" s="20">
        <f t="shared" si="45"/>
        <v>89.5</v>
      </c>
      <c r="S182" s="20">
        <f t="shared" si="45"/>
        <v>94.472222222223365</v>
      </c>
      <c r="T182" s="21">
        <f t="shared" si="45"/>
        <v>79.555555555554832</v>
      </c>
      <c r="U182" s="21">
        <f t="shared" si="46"/>
        <v>84.527777777776635</v>
      </c>
      <c r="V182" s="21">
        <f t="shared" si="46"/>
        <v>89.5</v>
      </c>
      <c r="W182" s="22">
        <f t="shared" si="46"/>
        <v>74.583333333333215</v>
      </c>
      <c r="X182" s="22">
        <f t="shared" si="46"/>
        <v>79.555555555554832</v>
      </c>
      <c r="Y182" s="22">
        <f t="shared" si="46"/>
        <v>84.527777777776635</v>
      </c>
      <c r="Z182" s="23">
        <f t="shared" si="46"/>
        <v>69.611111111111683</v>
      </c>
      <c r="AA182" s="23">
        <f t="shared" si="46"/>
        <v>74.583333333333215</v>
      </c>
      <c r="AB182" s="23">
        <f t="shared" si="46"/>
        <v>79.555555555554832</v>
      </c>
      <c r="AC182" s="24">
        <f t="shared" si="46"/>
        <v>64.638888888888317</v>
      </c>
      <c r="AD182" s="24">
        <f t="shared" si="46"/>
        <v>69.611111111111683</v>
      </c>
      <c r="AE182" s="24">
        <f t="shared" si="46"/>
        <v>74.583333333333215</v>
      </c>
      <c r="AF182" s="25">
        <f t="shared" si="43"/>
        <v>59.666666666667432</v>
      </c>
      <c r="AG182" s="25">
        <f t="shared" si="43"/>
        <v>64.638888888888317</v>
      </c>
      <c r="AH182" s="25">
        <f t="shared" si="43"/>
        <v>69.611111111111683</v>
      </c>
      <c r="AI182" s="26">
        <f t="shared" si="43"/>
        <v>54.694444444444159</v>
      </c>
      <c r="AJ182" s="26">
        <f t="shared" si="43"/>
        <v>59.666666666667432</v>
      </c>
      <c r="AK182" s="26">
        <f t="shared" si="43"/>
        <v>64.638888888888317</v>
      </c>
    </row>
    <row r="183" spans="4:37" ht="20.100000000000001" customHeight="1">
      <c r="D183" s="27">
        <f t="shared" si="38"/>
        <v>0.49999999999999872</v>
      </c>
      <c r="E183" s="16">
        <f t="shared" si="45"/>
        <v>133.00000000000159</v>
      </c>
      <c r="F183" s="16">
        <f t="shared" si="45"/>
        <v>137.99999999999835</v>
      </c>
      <c r="G183" s="16">
        <f t="shared" si="45"/>
        <v>142.9999999999998</v>
      </c>
      <c r="H183" s="17">
        <f t="shared" si="45"/>
        <v>122.99999999999932</v>
      </c>
      <c r="I183" s="17">
        <f t="shared" si="45"/>
        <v>128.00000000000045</v>
      </c>
      <c r="J183" s="17">
        <f t="shared" si="45"/>
        <v>133.00000000000159</v>
      </c>
      <c r="K183" s="18">
        <f t="shared" si="45"/>
        <v>113.00000000000182</v>
      </c>
      <c r="L183" s="18">
        <f t="shared" si="45"/>
        <v>117.99999999999841</v>
      </c>
      <c r="M183" s="18">
        <f t="shared" si="45"/>
        <v>122.99999999999932</v>
      </c>
      <c r="N183" s="19">
        <f t="shared" si="45"/>
        <v>90</v>
      </c>
      <c r="O183" s="19">
        <f t="shared" si="45"/>
        <v>95.000000000001137</v>
      </c>
      <c r="P183" s="19">
        <f t="shared" si="45"/>
        <v>100.00000000000155</v>
      </c>
      <c r="Q183" s="20">
        <f t="shared" si="45"/>
        <v>84.999999999998863</v>
      </c>
      <c r="R183" s="20">
        <f t="shared" si="45"/>
        <v>90</v>
      </c>
      <c r="S183" s="20">
        <f t="shared" si="45"/>
        <v>95.000000000001137</v>
      </c>
      <c r="T183" s="21">
        <f t="shared" si="45"/>
        <v>79.999999999999275</v>
      </c>
      <c r="U183" s="21">
        <f t="shared" si="46"/>
        <v>84.999999999998863</v>
      </c>
      <c r="V183" s="21">
        <f t="shared" si="46"/>
        <v>90</v>
      </c>
      <c r="W183" s="22">
        <f t="shared" si="46"/>
        <v>74.999999999999886</v>
      </c>
      <c r="X183" s="22">
        <f t="shared" si="46"/>
        <v>79.999999999999275</v>
      </c>
      <c r="Y183" s="22">
        <f t="shared" si="46"/>
        <v>84.999999999998863</v>
      </c>
      <c r="Z183" s="23">
        <f t="shared" si="46"/>
        <v>70.000000000000568</v>
      </c>
      <c r="AA183" s="23">
        <f t="shared" si="46"/>
        <v>74.999999999999886</v>
      </c>
      <c r="AB183" s="23">
        <f t="shared" si="46"/>
        <v>79.999999999999275</v>
      </c>
      <c r="AC183" s="24">
        <f t="shared" si="46"/>
        <v>64.999999999999432</v>
      </c>
      <c r="AD183" s="24">
        <f t="shared" si="46"/>
        <v>70.000000000000568</v>
      </c>
      <c r="AE183" s="24">
        <f t="shared" si="46"/>
        <v>74.999999999999886</v>
      </c>
      <c r="AF183" s="25">
        <f t="shared" si="43"/>
        <v>60.000000000000767</v>
      </c>
      <c r="AG183" s="25">
        <f t="shared" si="43"/>
        <v>64.999999999999432</v>
      </c>
      <c r="AH183" s="25">
        <f t="shared" si="43"/>
        <v>70.000000000000568</v>
      </c>
      <c r="AI183" s="26">
        <f t="shared" si="43"/>
        <v>54.999999999999716</v>
      </c>
      <c r="AJ183" s="26">
        <f t="shared" si="43"/>
        <v>60.000000000000767</v>
      </c>
      <c r="AK183" s="26">
        <f t="shared" si="43"/>
        <v>64.999999999999432</v>
      </c>
    </row>
    <row r="184" spans="4:37" ht="20.100000000000001" customHeight="1">
      <c r="D184" s="27">
        <f t="shared" si="38"/>
        <v>0.50277777777777655</v>
      </c>
      <c r="E184" s="16">
        <f t="shared" si="45"/>
        <v>133.73888888889047</v>
      </c>
      <c r="F184" s="16">
        <f t="shared" si="45"/>
        <v>138.76666666666503</v>
      </c>
      <c r="G184" s="16">
        <f t="shared" si="45"/>
        <v>143.79444444444425</v>
      </c>
      <c r="H184" s="17">
        <f t="shared" si="45"/>
        <v>123.68333333333266</v>
      </c>
      <c r="I184" s="17">
        <f t="shared" si="45"/>
        <v>128.71111111111156</v>
      </c>
      <c r="J184" s="17">
        <f t="shared" si="45"/>
        <v>133.73888888889047</v>
      </c>
      <c r="K184" s="18">
        <f t="shared" si="45"/>
        <v>113.6277777777796</v>
      </c>
      <c r="L184" s="18">
        <f t="shared" si="45"/>
        <v>118.65555555555396</v>
      </c>
      <c r="M184" s="18">
        <f t="shared" si="45"/>
        <v>123.68333333333266</v>
      </c>
      <c r="N184" s="19">
        <f t="shared" si="45"/>
        <v>90.5</v>
      </c>
      <c r="O184" s="19">
        <f t="shared" si="45"/>
        <v>95.527777777778908</v>
      </c>
      <c r="P184" s="19">
        <f t="shared" si="45"/>
        <v>100.55555555555711</v>
      </c>
      <c r="Q184" s="20">
        <f t="shared" si="45"/>
        <v>85.472222222221092</v>
      </c>
      <c r="R184" s="20">
        <f t="shared" si="45"/>
        <v>90.5</v>
      </c>
      <c r="S184" s="20">
        <f t="shared" si="45"/>
        <v>95.527777777778908</v>
      </c>
      <c r="T184" s="21">
        <f t="shared" si="45"/>
        <v>80.444444444443718</v>
      </c>
      <c r="U184" s="21">
        <f t="shared" si="46"/>
        <v>85.472222222221092</v>
      </c>
      <c r="V184" s="21">
        <f t="shared" si="46"/>
        <v>90.5</v>
      </c>
      <c r="W184" s="22">
        <f t="shared" si="46"/>
        <v>75.416666666666558</v>
      </c>
      <c r="X184" s="22">
        <f t="shared" si="46"/>
        <v>80.444444444443718</v>
      </c>
      <c r="Y184" s="22">
        <f t="shared" si="46"/>
        <v>85.472222222221092</v>
      </c>
      <c r="Z184" s="23">
        <f t="shared" si="46"/>
        <v>70.388888888889454</v>
      </c>
      <c r="AA184" s="23">
        <f t="shared" si="46"/>
        <v>75.416666666666558</v>
      </c>
      <c r="AB184" s="23">
        <f t="shared" si="46"/>
        <v>80.444444444443718</v>
      </c>
      <c r="AC184" s="24">
        <f t="shared" si="46"/>
        <v>65.361111111110546</v>
      </c>
      <c r="AD184" s="24">
        <f t="shared" si="46"/>
        <v>70.388888888889454</v>
      </c>
      <c r="AE184" s="24">
        <f t="shared" si="46"/>
        <v>75.416666666666558</v>
      </c>
      <c r="AF184" s="25">
        <f t="shared" si="43"/>
        <v>60.333333333334103</v>
      </c>
      <c r="AG184" s="25">
        <f t="shared" si="43"/>
        <v>65.361111111110546</v>
      </c>
      <c r="AH184" s="25">
        <f t="shared" si="43"/>
        <v>70.388888888889454</v>
      </c>
      <c r="AI184" s="26">
        <f t="shared" si="43"/>
        <v>55.305555555555273</v>
      </c>
      <c r="AJ184" s="26">
        <f t="shared" si="43"/>
        <v>60.333333333334103</v>
      </c>
      <c r="AK184" s="26">
        <f t="shared" si="43"/>
        <v>65.361111111110546</v>
      </c>
    </row>
    <row r="185" spans="4:37" ht="20.100000000000001" customHeight="1">
      <c r="D185" s="27">
        <f t="shared" si="38"/>
        <v>0.50555555555555431</v>
      </c>
      <c r="E185" s="16">
        <f t="shared" si="45"/>
        <v>134.47777777777935</v>
      </c>
      <c r="F185" s="16">
        <f t="shared" si="45"/>
        <v>139.53333333333171</v>
      </c>
      <c r="G185" s="16">
        <f t="shared" si="45"/>
        <v>144.5888888888887</v>
      </c>
      <c r="H185" s="17">
        <f t="shared" si="45"/>
        <v>124.36666666666599</v>
      </c>
      <c r="I185" s="17">
        <f t="shared" si="45"/>
        <v>129.42222222222267</v>
      </c>
      <c r="J185" s="17">
        <f t="shared" si="45"/>
        <v>134.47777777777935</v>
      </c>
      <c r="K185" s="18">
        <f t="shared" si="45"/>
        <v>114.25555555555738</v>
      </c>
      <c r="L185" s="18">
        <f t="shared" si="45"/>
        <v>119.31111111110951</v>
      </c>
      <c r="M185" s="18">
        <f t="shared" si="45"/>
        <v>124.36666666666599</v>
      </c>
      <c r="N185" s="19">
        <f t="shared" si="45"/>
        <v>91</v>
      </c>
      <c r="O185" s="19">
        <f t="shared" si="45"/>
        <v>96.05555555555668</v>
      </c>
      <c r="P185" s="19">
        <f t="shared" si="45"/>
        <v>101.11111111111266</v>
      </c>
      <c r="Q185" s="20">
        <f t="shared" si="45"/>
        <v>85.94444444444332</v>
      </c>
      <c r="R185" s="20">
        <f t="shared" si="45"/>
        <v>91</v>
      </c>
      <c r="S185" s="20">
        <f t="shared" si="45"/>
        <v>96.05555555555668</v>
      </c>
      <c r="T185" s="21">
        <f t="shared" si="45"/>
        <v>80.888888888888161</v>
      </c>
      <c r="U185" s="21">
        <f t="shared" si="46"/>
        <v>85.94444444444332</v>
      </c>
      <c r="V185" s="21">
        <f t="shared" si="46"/>
        <v>91</v>
      </c>
      <c r="W185" s="22">
        <f t="shared" si="46"/>
        <v>75.833333333333229</v>
      </c>
      <c r="X185" s="22">
        <f t="shared" si="46"/>
        <v>80.888888888888161</v>
      </c>
      <c r="Y185" s="22">
        <f t="shared" si="46"/>
        <v>85.94444444444332</v>
      </c>
      <c r="Z185" s="23">
        <f t="shared" si="46"/>
        <v>70.77777777777834</v>
      </c>
      <c r="AA185" s="23">
        <f t="shared" si="46"/>
        <v>75.833333333333229</v>
      </c>
      <c r="AB185" s="23">
        <f t="shared" si="46"/>
        <v>80.888888888888161</v>
      </c>
      <c r="AC185" s="24">
        <f t="shared" si="46"/>
        <v>65.72222222222166</v>
      </c>
      <c r="AD185" s="24">
        <f t="shared" si="46"/>
        <v>70.77777777777834</v>
      </c>
      <c r="AE185" s="24">
        <f t="shared" si="46"/>
        <v>75.833333333333229</v>
      </c>
      <c r="AF185" s="25">
        <f t="shared" si="43"/>
        <v>60.666666666667439</v>
      </c>
      <c r="AG185" s="25">
        <f t="shared" si="43"/>
        <v>65.72222222222166</v>
      </c>
      <c r="AH185" s="25">
        <f t="shared" si="43"/>
        <v>70.77777777777834</v>
      </c>
      <c r="AI185" s="26">
        <f t="shared" si="43"/>
        <v>55.61111111111083</v>
      </c>
      <c r="AJ185" s="26">
        <f t="shared" si="43"/>
        <v>60.666666666667439</v>
      </c>
      <c r="AK185" s="26">
        <f t="shared" si="43"/>
        <v>65.72222222222166</v>
      </c>
    </row>
    <row r="186" spans="4:37" ht="20.100000000000001" customHeight="1">
      <c r="D186" s="27">
        <f t="shared" si="38"/>
        <v>0.50833333333333208</v>
      </c>
      <c r="E186" s="16">
        <f t="shared" si="45"/>
        <v>135.21666666666823</v>
      </c>
      <c r="F186" s="16">
        <f t="shared" si="45"/>
        <v>140.29999999999839</v>
      </c>
      <c r="G186" s="16">
        <f t="shared" si="45"/>
        <v>145.38333333333316</v>
      </c>
      <c r="H186" s="17">
        <f t="shared" si="45"/>
        <v>125.04999999999933</v>
      </c>
      <c r="I186" s="17">
        <f t="shared" si="45"/>
        <v>130.13333333333378</v>
      </c>
      <c r="J186" s="17">
        <f t="shared" si="45"/>
        <v>135.21666666666823</v>
      </c>
      <c r="K186" s="18">
        <f t="shared" si="45"/>
        <v>114.88333333333516</v>
      </c>
      <c r="L186" s="18">
        <f t="shared" si="45"/>
        <v>119.96666666666506</v>
      </c>
      <c r="M186" s="18">
        <f t="shared" si="45"/>
        <v>125.04999999999933</v>
      </c>
      <c r="N186" s="19">
        <f t="shared" si="45"/>
        <v>91.5</v>
      </c>
      <c r="O186" s="19">
        <f t="shared" si="45"/>
        <v>96.583333333334451</v>
      </c>
      <c r="P186" s="19">
        <f t="shared" si="45"/>
        <v>101.66666666666822</v>
      </c>
      <c r="Q186" s="20">
        <f t="shared" si="45"/>
        <v>86.416666666665549</v>
      </c>
      <c r="R186" s="20">
        <f t="shared" si="45"/>
        <v>91.5</v>
      </c>
      <c r="S186" s="20">
        <f t="shared" si="45"/>
        <v>96.583333333334451</v>
      </c>
      <c r="T186" s="21">
        <f t="shared" si="45"/>
        <v>81.333333333332604</v>
      </c>
      <c r="U186" s="21">
        <f t="shared" si="46"/>
        <v>86.416666666665549</v>
      </c>
      <c r="V186" s="21">
        <f t="shared" si="46"/>
        <v>91.5</v>
      </c>
      <c r="W186" s="22">
        <f t="shared" si="46"/>
        <v>76.249999999999901</v>
      </c>
      <c r="X186" s="22">
        <f t="shared" si="46"/>
        <v>81.333333333332604</v>
      </c>
      <c r="Y186" s="22">
        <f t="shared" si="46"/>
        <v>86.416666666665549</v>
      </c>
      <c r="Z186" s="23">
        <f t="shared" si="46"/>
        <v>71.166666666667226</v>
      </c>
      <c r="AA186" s="23">
        <f t="shared" si="46"/>
        <v>76.249999999999901</v>
      </c>
      <c r="AB186" s="23">
        <f t="shared" si="46"/>
        <v>81.333333333332604</v>
      </c>
      <c r="AC186" s="24">
        <f t="shared" si="46"/>
        <v>66.083333333332774</v>
      </c>
      <c r="AD186" s="24">
        <f t="shared" si="46"/>
        <v>71.166666666667226</v>
      </c>
      <c r="AE186" s="24">
        <f t="shared" si="46"/>
        <v>76.249999999999901</v>
      </c>
      <c r="AF186" s="25">
        <f t="shared" si="43"/>
        <v>61.000000000000774</v>
      </c>
      <c r="AG186" s="25">
        <f t="shared" si="43"/>
        <v>66.083333333332774</v>
      </c>
      <c r="AH186" s="25">
        <f t="shared" si="43"/>
        <v>71.166666666667226</v>
      </c>
      <c r="AI186" s="26">
        <f t="shared" si="43"/>
        <v>55.916666666666387</v>
      </c>
      <c r="AJ186" s="26">
        <f t="shared" si="43"/>
        <v>61.000000000000774</v>
      </c>
      <c r="AK186" s="26">
        <f t="shared" si="43"/>
        <v>66.083333333332774</v>
      </c>
    </row>
    <row r="187" spans="4:37" ht="20.100000000000001" customHeight="1">
      <c r="D187" s="27">
        <f t="shared" si="38"/>
        <v>0.51111111111110985</v>
      </c>
      <c r="E187" s="16">
        <f t="shared" si="45"/>
        <v>135.95555555555711</v>
      </c>
      <c r="F187" s="16">
        <f t="shared" si="45"/>
        <v>141.06666666666507</v>
      </c>
      <c r="G187" s="16">
        <f t="shared" si="45"/>
        <v>146.17777777777761</v>
      </c>
      <c r="H187" s="17">
        <f t="shared" si="45"/>
        <v>125.73333333333267</v>
      </c>
      <c r="I187" s="17">
        <f t="shared" si="45"/>
        <v>130.84444444444489</v>
      </c>
      <c r="J187" s="17">
        <f t="shared" si="45"/>
        <v>135.95555555555711</v>
      </c>
      <c r="K187" s="18">
        <f t="shared" si="45"/>
        <v>115.51111111111294</v>
      </c>
      <c r="L187" s="18">
        <f t="shared" si="45"/>
        <v>120.62222222222061</v>
      </c>
      <c r="M187" s="18">
        <f t="shared" si="45"/>
        <v>125.73333333333267</v>
      </c>
      <c r="N187" s="19">
        <f t="shared" si="45"/>
        <v>92</v>
      </c>
      <c r="O187" s="19">
        <f t="shared" si="45"/>
        <v>97.111111111112223</v>
      </c>
      <c r="P187" s="19">
        <f t="shared" si="45"/>
        <v>102.22222222222378</v>
      </c>
      <c r="Q187" s="20">
        <f t="shared" si="45"/>
        <v>86.888888888887777</v>
      </c>
      <c r="R187" s="20">
        <f t="shared" si="45"/>
        <v>92</v>
      </c>
      <c r="S187" s="20">
        <f t="shared" si="45"/>
        <v>97.111111111112223</v>
      </c>
      <c r="T187" s="21">
        <f t="shared" si="45"/>
        <v>81.777777777777047</v>
      </c>
      <c r="U187" s="21">
        <f t="shared" si="46"/>
        <v>86.888888888887777</v>
      </c>
      <c r="V187" s="21">
        <f t="shared" si="46"/>
        <v>92</v>
      </c>
      <c r="W187" s="22">
        <f t="shared" si="46"/>
        <v>76.666666666666572</v>
      </c>
      <c r="X187" s="22">
        <f t="shared" si="46"/>
        <v>81.777777777777047</v>
      </c>
      <c r="Y187" s="22">
        <f t="shared" si="46"/>
        <v>86.888888888887777</v>
      </c>
      <c r="Z187" s="23">
        <f t="shared" si="46"/>
        <v>71.555555555556111</v>
      </c>
      <c r="AA187" s="23">
        <f t="shared" si="46"/>
        <v>76.666666666666572</v>
      </c>
      <c r="AB187" s="23">
        <f t="shared" si="46"/>
        <v>81.777777777777047</v>
      </c>
      <c r="AC187" s="24">
        <f t="shared" si="46"/>
        <v>66.444444444443889</v>
      </c>
      <c r="AD187" s="24">
        <f t="shared" si="46"/>
        <v>71.555555555556111</v>
      </c>
      <c r="AE187" s="24">
        <f t="shared" si="46"/>
        <v>76.666666666666572</v>
      </c>
      <c r="AF187" s="25">
        <f t="shared" si="43"/>
        <v>61.33333333333411</v>
      </c>
      <c r="AG187" s="25">
        <f t="shared" si="43"/>
        <v>66.444444444443889</v>
      </c>
      <c r="AH187" s="25">
        <f t="shared" si="43"/>
        <v>71.555555555556111</v>
      </c>
      <c r="AI187" s="26">
        <f t="shared" si="43"/>
        <v>56.222222222221944</v>
      </c>
      <c r="AJ187" s="26">
        <f t="shared" si="43"/>
        <v>61.33333333333411</v>
      </c>
      <c r="AK187" s="26">
        <f t="shared" si="43"/>
        <v>66.444444444443889</v>
      </c>
    </row>
    <row r="188" spans="4:37" ht="20.100000000000001" customHeight="1">
      <c r="D188" s="27">
        <f t="shared" si="38"/>
        <v>0.51388888888888762</v>
      </c>
      <c r="E188" s="16">
        <f t="shared" si="45"/>
        <v>136.69444444444599</v>
      </c>
      <c r="F188" s="16">
        <f t="shared" si="45"/>
        <v>141.83333333333175</v>
      </c>
      <c r="G188" s="16">
        <f t="shared" si="45"/>
        <v>146.97222222222206</v>
      </c>
      <c r="H188" s="17">
        <f t="shared" si="45"/>
        <v>126.416666666666</v>
      </c>
      <c r="I188" s="17">
        <f t="shared" si="45"/>
        <v>131.555555555556</v>
      </c>
      <c r="J188" s="17">
        <f t="shared" si="45"/>
        <v>136.69444444444599</v>
      </c>
      <c r="K188" s="18">
        <f t="shared" si="45"/>
        <v>116.13888888889072</v>
      </c>
      <c r="L188" s="18">
        <f t="shared" si="45"/>
        <v>121.27777777777617</v>
      </c>
      <c r="M188" s="18">
        <f t="shared" si="45"/>
        <v>126.416666666666</v>
      </c>
      <c r="N188" s="19">
        <f t="shared" si="45"/>
        <v>92.5</v>
      </c>
      <c r="O188" s="19">
        <f t="shared" si="45"/>
        <v>97.638888888889994</v>
      </c>
      <c r="P188" s="19">
        <f t="shared" si="45"/>
        <v>102.77777777777933</v>
      </c>
      <c r="Q188" s="20">
        <f t="shared" si="45"/>
        <v>87.361111111110006</v>
      </c>
      <c r="R188" s="20">
        <f t="shared" si="45"/>
        <v>92.5</v>
      </c>
      <c r="S188" s="20">
        <f t="shared" si="45"/>
        <v>97.638888888889994</v>
      </c>
      <c r="T188" s="21">
        <f t="shared" si="45"/>
        <v>82.22222222222149</v>
      </c>
      <c r="U188" s="21">
        <f t="shared" si="46"/>
        <v>87.361111111110006</v>
      </c>
      <c r="V188" s="21">
        <f t="shared" si="46"/>
        <v>92.5</v>
      </c>
      <c r="W188" s="22">
        <f t="shared" si="46"/>
        <v>77.083333333333243</v>
      </c>
      <c r="X188" s="22">
        <f t="shared" si="46"/>
        <v>82.22222222222149</v>
      </c>
      <c r="Y188" s="22">
        <f t="shared" si="46"/>
        <v>87.361111111110006</v>
      </c>
      <c r="Z188" s="23">
        <f t="shared" si="46"/>
        <v>71.944444444444997</v>
      </c>
      <c r="AA188" s="23">
        <f t="shared" si="46"/>
        <v>77.083333333333243</v>
      </c>
      <c r="AB188" s="23">
        <f t="shared" si="46"/>
        <v>82.22222222222149</v>
      </c>
      <c r="AC188" s="24">
        <f t="shared" si="46"/>
        <v>66.805555555555003</v>
      </c>
      <c r="AD188" s="24">
        <f t="shared" si="46"/>
        <v>71.944444444444997</v>
      </c>
      <c r="AE188" s="24">
        <f t="shared" si="46"/>
        <v>77.083333333333243</v>
      </c>
      <c r="AF188" s="25">
        <f t="shared" si="43"/>
        <v>61.666666666667446</v>
      </c>
      <c r="AG188" s="25">
        <f t="shared" si="43"/>
        <v>66.805555555555003</v>
      </c>
      <c r="AH188" s="25">
        <f t="shared" si="43"/>
        <v>71.944444444444997</v>
      </c>
      <c r="AI188" s="26">
        <f t="shared" si="43"/>
        <v>56.527777777777501</v>
      </c>
      <c r="AJ188" s="26">
        <f t="shared" si="43"/>
        <v>61.666666666667446</v>
      </c>
      <c r="AK188" s="26">
        <f t="shared" si="43"/>
        <v>66.805555555555003</v>
      </c>
    </row>
    <row r="189" spans="4:37" ht="20.100000000000001" customHeight="1">
      <c r="D189" s="27">
        <f t="shared" si="38"/>
        <v>0.51666666666666539</v>
      </c>
      <c r="E189" s="16">
        <f t="shared" si="45"/>
        <v>137.43333333333487</v>
      </c>
      <c r="F189" s="16">
        <f t="shared" si="45"/>
        <v>142.59999999999843</v>
      </c>
      <c r="G189" s="16">
        <f t="shared" si="45"/>
        <v>147.76666666666651</v>
      </c>
      <c r="H189" s="17">
        <f t="shared" si="45"/>
        <v>127.09999999999934</v>
      </c>
      <c r="I189" s="17">
        <f t="shared" si="45"/>
        <v>132.26666666666711</v>
      </c>
      <c r="J189" s="17">
        <f t="shared" si="45"/>
        <v>137.43333333333487</v>
      </c>
      <c r="K189" s="18">
        <f t="shared" si="45"/>
        <v>116.7666666666685</v>
      </c>
      <c r="L189" s="18">
        <f t="shared" si="45"/>
        <v>121.93333333333172</v>
      </c>
      <c r="M189" s="18">
        <f t="shared" si="45"/>
        <v>127.09999999999934</v>
      </c>
      <c r="N189" s="19">
        <f t="shared" si="45"/>
        <v>93</v>
      </c>
      <c r="O189" s="19">
        <f t="shared" si="45"/>
        <v>98.166666666667766</v>
      </c>
      <c r="P189" s="19">
        <f t="shared" si="45"/>
        <v>103.33333333333489</v>
      </c>
      <c r="Q189" s="20">
        <f t="shared" si="45"/>
        <v>87.833333333332234</v>
      </c>
      <c r="R189" s="20">
        <f t="shared" si="45"/>
        <v>93</v>
      </c>
      <c r="S189" s="20">
        <f t="shared" si="45"/>
        <v>98.166666666667766</v>
      </c>
      <c r="T189" s="21">
        <f t="shared" si="45"/>
        <v>82.666666666665932</v>
      </c>
      <c r="U189" s="21">
        <f t="shared" si="46"/>
        <v>87.833333333332234</v>
      </c>
      <c r="V189" s="21">
        <f t="shared" si="46"/>
        <v>93</v>
      </c>
      <c r="W189" s="22">
        <f t="shared" si="46"/>
        <v>77.499999999999915</v>
      </c>
      <c r="X189" s="22">
        <f t="shared" si="46"/>
        <v>82.666666666665932</v>
      </c>
      <c r="Y189" s="22">
        <f t="shared" si="46"/>
        <v>87.833333333332234</v>
      </c>
      <c r="Z189" s="23">
        <f t="shared" si="46"/>
        <v>72.333333333333883</v>
      </c>
      <c r="AA189" s="23">
        <f t="shared" si="46"/>
        <v>77.499999999999915</v>
      </c>
      <c r="AB189" s="23">
        <f t="shared" si="46"/>
        <v>82.666666666665932</v>
      </c>
      <c r="AC189" s="24">
        <f t="shared" si="46"/>
        <v>67.166666666666117</v>
      </c>
      <c r="AD189" s="24">
        <f t="shared" si="46"/>
        <v>72.333333333333883</v>
      </c>
      <c r="AE189" s="24">
        <f t="shared" si="46"/>
        <v>77.499999999999915</v>
      </c>
      <c r="AF189" s="25">
        <f t="shared" si="43"/>
        <v>62.000000000000782</v>
      </c>
      <c r="AG189" s="25">
        <f t="shared" si="43"/>
        <v>67.166666666666117</v>
      </c>
      <c r="AH189" s="25">
        <f t="shared" si="43"/>
        <v>72.333333333333883</v>
      </c>
      <c r="AI189" s="26">
        <f t="shared" si="43"/>
        <v>56.833333333333059</v>
      </c>
      <c r="AJ189" s="26">
        <f t="shared" si="43"/>
        <v>62.000000000000782</v>
      </c>
      <c r="AK189" s="26">
        <f t="shared" si="43"/>
        <v>67.166666666666117</v>
      </c>
    </row>
    <row r="190" spans="4:37" ht="20.100000000000001" customHeight="1">
      <c r="D190" s="27">
        <f t="shared" si="38"/>
        <v>0.51944444444444315</v>
      </c>
      <c r="E190" s="16">
        <f t="shared" si="45"/>
        <v>138.17222222222375</v>
      </c>
      <c r="F190" s="16">
        <f t="shared" si="45"/>
        <v>143.36666666666511</v>
      </c>
      <c r="G190" s="16">
        <f t="shared" si="45"/>
        <v>148.56111111111096</v>
      </c>
      <c r="H190" s="17">
        <f t="shared" si="45"/>
        <v>127.78333333333268</v>
      </c>
      <c r="I190" s="17">
        <f t="shared" si="45"/>
        <v>132.97777777777821</v>
      </c>
      <c r="J190" s="17">
        <f t="shared" si="45"/>
        <v>138.17222222222375</v>
      </c>
      <c r="K190" s="18">
        <f t="shared" si="45"/>
        <v>117.39444444444628</v>
      </c>
      <c r="L190" s="18">
        <f t="shared" si="45"/>
        <v>122.58888888888727</v>
      </c>
      <c r="M190" s="18">
        <f t="shared" si="45"/>
        <v>127.78333333333268</v>
      </c>
      <c r="N190" s="19">
        <f t="shared" si="45"/>
        <v>93.5</v>
      </c>
      <c r="O190" s="19">
        <f t="shared" si="45"/>
        <v>98.694444444445537</v>
      </c>
      <c r="P190" s="19">
        <f t="shared" si="45"/>
        <v>103.88888888889045</v>
      </c>
      <c r="Q190" s="20">
        <f t="shared" si="45"/>
        <v>88.305555555554463</v>
      </c>
      <c r="R190" s="20">
        <f t="shared" si="45"/>
        <v>93.5</v>
      </c>
      <c r="S190" s="20">
        <f t="shared" si="45"/>
        <v>98.694444444445537</v>
      </c>
      <c r="T190" s="21">
        <f t="shared" si="45"/>
        <v>83.111111111110375</v>
      </c>
      <c r="U190" s="21">
        <f t="shared" si="46"/>
        <v>88.305555555554463</v>
      </c>
      <c r="V190" s="21">
        <f t="shared" si="46"/>
        <v>93.5</v>
      </c>
      <c r="W190" s="22">
        <f t="shared" si="46"/>
        <v>77.916666666666586</v>
      </c>
      <c r="X190" s="22">
        <f t="shared" si="46"/>
        <v>83.111111111110375</v>
      </c>
      <c r="Y190" s="22">
        <f t="shared" si="46"/>
        <v>88.305555555554463</v>
      </c>
      <c r="Z190" s="23">
        <f t="shared" si="46"/>
        <v>72.722222222222769</v>
      </c>
      <c r="AA190" s="23">
        <f t="shared" si="46"/>
        <v>77.916666666666586</v>
      </c>
      <c r="AB190" s="23">
        <f t="shared" si="46"/>
        <v>83.111111111110375</v>
      </c>
      <c r="AC190" s="24">
        <f t="shared" si="46"/>
        <v>67.527777777777231</v>
      </c>
      <c r="AD190" s="24">
        <f t="shared" si="46"/>
        <v>72.722222222222769</v>
      </c>
      <c r="AE190" s="24">
        <f t="shared" si="46"/>
        <v>77.916666666666586</v>
      </c>
      <c r="AF190" s="25">
        <f t="shared" si="43"/>
        <v>62.333333333334117</v>
      </c>
      <c r="AG190" s="25">
        <f t="shared" si="43"/>
        <v>67.527777777777231</v>
      </c>
      <c r="AH190" s="25">
        <f t="shared" si="43"/>
        <v>72.722222222222769</v>
      </c>
      <c r="AI190" s="26">
        <f t="shared" si="43"/>
        <v>57.138888888888616</v>
      </c>
      <c r="AJ190" s="26">
        <f t="shared" si="43"/>
        <v>62.333333333334117</v>
      </c>
      <c r="AK190" s="26">
        <f t="shared" si="43"/>
        <v>67.527777777777231</v>
      </c>
    </row>
    <row r="191" spans="4:37" ht="20.100000000000001" customHeight="1">
      <c r="D191" s="27">
        <f t="shared" si="38"/>
        <v>0.52222222222222092</v>
      </c>
      <c r="E191" s="16">
        <f t="shared" si="45"/>
        <v>138.91111111111263</v>
      </c>
      <c r="F191" s="16">
        <f t="shared" si="45"/>
        <v>144.13333333333179</v>
      </c>
      <c r="G191" s="16">
        <f t="shared" si="45"/>
        <v>149.35555555555541</v>
      </c>
      <c r="H191" s="17">
        <f t="shared" si="45"/>
        <v>128.46666666666601</v>
      </c>
      <c r="I191" s="17">
        <f t="shared" si="45"/>
        <v>133.68888888888932</v>
      </c>
      <c r="J191" s="17">
        <f t="shared" si="45"/>
        <v>138.91111111111263</v>
      </c>
      <c r="K191" s="18">
        <f t="shared" si="45"/>
        <v>118.02222222222406</v>
      </c>
      <c r="L191" s="18">
        <f t="shared" si="45"/>
        <v>123.24444444444282</v>
      </c>
      <c r="M191" s="18">
        <f t="shared" si="45"/>
        <v>128.46666666666601</v>
      </c>
      <c r="N191" s="19">
        <f t="shared" si="45"/>
        <v>94</v>
      </c>
      <c r="O191" s="19">
        <f t="shared" si="45"/>
        <v>99.222222222223309</v>
      </c>
      <c r="P191" s="19">
        <f t="shared" si="45"/>
        <v>104.44444444444601</v>
      </c>
      <c r="Q191" s="20">
        <f t="shared" si="45"/>
        <v>88.777777777776691</v>
      </c>
      <c r="R191" s="20">
        <f t="shared" si="45"/>
        <v>94</v>
      </c>
      <c r="S191" s="20">
        <f t="shared" si="45"/>
        <v>99.222222222223309</v>
      </c>
      <c r="T191" s="21">
        <f t="shared" si="45"/>
        <v>83.555555555554818</v>
      </c>
      <c r="U191" s="21">
        <f t="shared" si="46"/>
        <v>88.777777777776691</v>
      </c>
      <c r="V191" s="21">
        <f t="shared" si="46"/>
        <v>94</v>
      </c>
      <c r="W191" s="22">
        <f t="shared" si="46"/>
        <v>78.333333333333258</v>
      </c>
      <c r="X191" s="22">
        <f t="shared" si="46"/>
        <v>83.555555555554818</v>
      </c>
      <c r="Y191" s="22">
        <f t="shared" si="46"/>
        <v>88.777777777776691</v>
      </c>
      <c r="Z191" s="23">
        <f t="shared" si="46"/>
        <v>73.111111111111654</v>
      </c>
      <c r="AA191" s="23">
        <f t="shared" si="46"/>
        <v>78.333333333333258</v>
      </c>
      <c r="AB191" s="23">
        <f t="shared" si="46"/>
        <v>83.555555555554818</v>
      </c>
      <c r="AC191" s="24">
        <f t="shared" si="46"/>
        <v>67.888888888888346</v>
      </c>
      <c r="AD191" s="24">
        <f t="shared" si="46"/>
        <v>73.111111111111654</v>
      </c>
      <c r="AE191" s="24">
        <f t="shared" si="46"/>
        <v>78.333333333333258</v>
      </c>
      <c r="AF191" s="25">
        <f t="shared" si="43"/>
        <v>62.666666666667453</v>
      </c>
      <c r="AG191" s="25">
        <f t="shared" si="43"/>
        <v>67.888888888888346</v>
      </c>
      <c r="AH191" s="25">
        <f t="shared" si="43"/>
        <v>73.111111111111654</v>
      </c>
      <c r="AI191" s="26">
        <f t="shared" si="43"/>
        <v>57.444444444444173</v>
      </c>
      <c r="AJ191" s="26">
        <f t="shared" si="43"/>
        <v>62.666666666667453</v>
      </c>
      <c r="AK191" s="26">
        <f t="shared" si="43"/>
        <v>67.888888888888346</v>
      </c>
    </row>
    <row r="192" spans="4:37" ht="20.100000000000001" customHeight="1">
      <c r="D192" s="27">
        <f t="shared" si="38"/>
        <v>0.52499999999999869</v>
      </c>
      <c r="E192" s="16">
        <f t="shared" si="45"/>
        <v>139.65000000000151</v>
      </c>
      <c r="F192" s="16">
        <f t="shared" si="45"/>
        <v>144.89999999999847</v>
      </c>
      <c r="G192" s="16">
        <f t="shared" si="45"/>
        <v>150.14999999999986</v>
      </c>
      <c r="H192" s="17">
        <f t="shared" si="45"/>
        <v>129.14999999999935</v>
      </c>
      <c r="I192" s="17">
        <f t="shared" si="45"/>
        <v>134.40000000000043</v>
      </c>
      <c r="J192" s="17">
        <f t="shared" si="45"/>
        <v>139.65000000000151</v>
      </c>
      <c r="K192" s="18">
        <f t="shared" si="45"/>
        <v>118.65000000000184</v>
      </c>
      <c r="L192" s="18">
        <f t="shared" si="45"/>
        <v>123.89999999999837</v>
      </c>
      <c r="M192" s="18">
        <f t="shared" si="45"/>
        <v>129.14999999999935</v>
      </c>
      <c r="N192" s="19">
        <f t="shared" si="45"/>
        <v>94.5</v>
      </c>
      <c r="O192" s="19">
        <f t="shared" si="45"/>
        <v>99.75000000000108</v>
      </c>
      <c r="P192" s="19">
        <f t="shared" si="45"/>
        <v>105.00000000000156</v>
      </c>
      <c r="Q192" s="20">
        <f t="shared" si="45"/>
        <v>89.24999999999892</v>
      </c>
      <c r="R192" s="20">
        <f t="shared" si="45"/>
        <v>94.5</v>
      </c>
      <c r="S192" s="20">
        <f t="shared" si="45"/>
        <v>99.75000000000108</v>
      </c>
      <c r="T192" s="21">
        <f t="shared" si="45"/>
        <v>83.999999999999261</v>
      </c>
      <c r="U192" s="21">
        <f t="shared" si="46"/>
        <v>89.24999999999892</v>
      </c>
      <c r="V192" s="21">
        <f t="shared" si="46"/>
        <v>94.5</v>
      </c>
      <c r="W192" s="22">
        <f t="shared" si="46"/>
        <v>78.749999999999929</v>
      </c>
      <c r="X192" s="22">
        <f t="shared" si="46"/>
        <v>83.999999999999261</v>
      </c>
      <c r="Y192" s="22">
        <f t="shared" si="46"/>
        <v>89.24999999999892</v>
      </c>
      <c r="Z192" s="23">
        <f t="shared" si="46"/>
        <v>73.50000000000054</v>
      </c>
      <c r="AA192" s="23">
        <f t="shared" si="46"/>
        <v>78.749999999999929</v>
      </c>
      <c r="AB192" s="23">
        <f t="shared" si="46"/>
        <v>83.999999999999261</v>
      </c>
      <c r="AC192" s="24">
        <f t="shared" si="46"/>
        <v>68.24999999999946</v>
      </c>
      <c r="AD192" s="24">
        <f t="shared" si="46"/>
        <v>73.50000000000054</v>
      </c>
      <c r="AE192" s="24">
        <f t="shared" si="46"/>
        <v>78.749999999999929</v>
      </c>
      <c r="AF192" s="25">
        <f t="shared" si="43"/>
        <v>63.000000000000789</v>
      </c>
      <c r="AG192" s="25">
        <f t="shared" si="43"/>
        <v>68.24999999999946</v>
      </c>
      <c r="AH192" s="25">
        <f t="shared" si="43"/>
        <v>73.50000000000054</v>
      </c>
      <c r="AI192" s="26">
        <f t="shared" si="43"/>
        <v>57.74999999999973</v>
      </c>
      <c r="AJ192" s="26">
        <f t="shared" si="43"/>
        <v>63.000000000000789</v>
      </c>
      <c r="AK192" s="26">
        <f t="shared" si="43"/>
        <v>68.24999999999946</v>
      </c>
    </row>
    <row r="193" spans="4:37" ht="20.100000000000001" customHeight="1">
      <c r="D193" s="27">
        <f t="shared" si="38"/>
        <v>0.52777777777777646</v>
      </c>
      <c r="E193" s="16">
        <f t="shared" si="45"/>
        <v>140.38888888889039</v>
      </c>
      <c r="F193" s="16">
        <f t="shared" si="45"/>
        <v>145.66666666666515</v>
      </c>
      <c r="G193" s="16">
        <f t="shared" si="45"/>
        <v>150.94444444444431</v>
      </c>
      <c r="H193" s="17">
        <f t="shared" si="45"/>
        <v>129.83333333333269</v>
      </c>
      <c r="I193" s="17">
        <f t="shared" si="45"/>
        <v>135.11111111111154</v>
      </c>
      <c r="J193" s="17">
        <f t="shared" si="45"/>
        <v>140.38888888889039</v>
      </c>
      <c r="K193" s="18">
        <f t="shared" si="45"/>
        <v>119.27777777777962</v>
      </c>
      <c r="L193" s="18">
        <f t="shared" si="45"/>
        <v>124.55555555555392</v>
      </c>
      <c r="M193" s="18">
        <f t="shared" si="45"/>
        <v>129.83333333333269</v>
      </c>
      <c r="N193" s="19">
        <f t="shared" si="45"/>
        <v>95</v>
      </c>
      <c r="O193" s="19">
        <f t="shared" si="45"/>
        <v>100.27777777777885</v>
      </c>
      <c r="P193" s="19">
        <f t="shared" si="45"/>
        <v>105.55555555555712</v>
      </c>
      <c r="Q193" s="20">
        <f t="shared" si="45"/>
        <v>89.722222222221149</v>
      </c>
      <c r="R193" s="20">
        <f t="shared" si="45"/>
        <v>95</v>
      </c>
      <c r="S193" s="20">
        <f t="shared" si="45"/>
        <v>100.27777777777885</v>
      </c>
      <c r="T193" s="21">
        <f>T194-(T$363/360)</f>
        <v>84.444444444443704</v>
      </c>
      <c r="U193" s="21">
        <f t="shared" si="46"/>
        <v>89.722222222221149</v>
      </c>
      <c r="V193" s="21">
        <f t="shared" si="46"/>
        <v>95</v>
      </c>
      <c r="W193" s="22">
        <f t="shared" si="46"/>
        <v>79.1666666666666</v>
      </c>
      <c r="X193" s="22">
        <f t="shared" si="46"/>
        <v>84.444444444443704</v>
      </c>
      <c r="Y193" s="22">
        <f t="shared" si="46"/>
        <v>89.722222222221149</v>
      </c>
      <c r="Z193" s="23">
        <f t="shared" si="46"/>
        <v>73.888888888889426</v>
      </c>
      <c r="AA193" s="23">
        <f t="shared" si="46"/>
        <v>79.1666666666666</v>
      </c>
      <c r="AB193" s="23">
        <f t="shared" si="46"/>
        <v>84.444444444443704</v>
      </c>
      <c r="AC193" s="24">
        <f t="shared" si="46"/>
        <v>68.611111111110574</v>
      </c>
      <c r="AD193" s="24">
        <f t="shared" si="46"/>
        <v>73.888888888889426</v>
      </c>
      <c r="AE193" s="24">
        <f t="shared" si="46"/>
        <v>79.1666666666666</v>
      </c>
      <c r="AF193" s="25">
        <f t="shared" si="43"/>
        <v>63.333333333334124</v>
      </c>
      <c r="AG193" s="25">
        <f t="shared" si="43"/>
        <v>68.611111111110574</v>
      </c>
      <c r="AH193" s="25">
        <f t="shared" si="43"/>
        <v>73.888888888889426</v>
      </c>
      <c r="AI193" s="26">
        <f t="shared" si="43"/>
        <v>58.055555555555287</v>
      </c>
      <c r="AJ193" s="26">
        <f t="shared" si="43"/>
        <v>63.333333333334124</v>
      </c>
      <c r="AK193" s="26">
        <f t="shared" si="43"/>
        <v>68.611111111110574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141.12777777777927</v>
      </c>
      <c r="F194" s="16">
        <f t="shared" si="47"/>
        <v>146.43333333333183</v>
      </c>
      <c r="G194" s="16">
        <f t="shared" si="47"/>
        <v>151.73888888888877</v>
      </c>
      <c r="H194" s="17">
        <f t="shared" si="47"/>
        <v>130.51666666666603</v>
      </c>
      <c r="I194" s="17">
        <f t="shared" si="47"/>
        <v>135.82222222222265</v>
      </c>
      <c r="J194" s="17">
        <f t="shared" si="47"/>
        <v>141.12777777777927</v>
      </c>
      <c r="K194" s="18">
        <f t="shared" si="47"/>
        <v>119.9055555555574</v>
      </c>
      <c r="L194" s="18">
        <f t="shared" si="47"/>
        <v>125.21111111110947</v>
      </c>
      <c r="M194" s="18">
        <f t="shared" si="47"/>
        <v>130.51666666666603</v>
      </c>
      <c r="N194" s="19">
        <f t="shared" si="47"/>
        <v>95.5</v>
      </c>
      <c r="O194" s="19">
        <f t="shared" si="47"/>
        <v>100.80555555555662</v>
      </c>
      <c r="P194" s="19">
        <f t="shared" si="47"/>
        <v>106.11111111111268</v>
      </c>
      <c r="Q194" s="20">
        <f t="shared" si="47"/>
        <v>90.194444444443377</v>
      </c>
      <c r="R194" s="20">
        <f t="shared" si="47"/>
        <v>95.5</v>
      </c>
      <c r="S194" s="20">
        <f t="shared" si="47"/>
        <v>100.80555555555662</v>
      </c>
      <c r="T194" s="21">
        <f t="shared" si="47"/>
        <v>84.888888888888147</v>
      </c>
      <c r="U194" s="21">
        <f t="shared" si="46"/>
        <v>90.194444444443377</v>
      </c>
      <c r="V194" s="21">
        <f t="shared" si="46"/>
        <v>95.5</v>
      </c>
      <c r="W194" s="22">
        <f t="shared" si="46"/>
        <v>79.583333333333272</v>
      </c>
      <c r="X194" s="22">
        <f t="shared" si="46"/>
        <v>84.888888888888147</v>
      </c>
      <c r="Y194" s="22">
        <f t="shared" si="46"/>
        <v>90.194444444443377</v>
      </c>
      <c r="Z194" s="23">
        <f t="shared" si="46"/>
        <v>74.277777777778311</v>
      </c>
      <c r="AA194" s="23">
        <f t="shared" si="46"/>
        <v>79.583333333333272</v>
      </c>
      <c r="AB194" s="23">
        <f t="shared" si="46"/>
        <v>84.888888888888147</v>
      </c>
      <c r="AC194" s="24">
        <f t="shared" si="46"/>
        <v>68.972222222221689</v>
      </c>
      <c r="AD194" s="24">
        <f t="shared" si="46"/>
        <v>74.277777777778311</v>
      </c>
      <c r="AE194" s="24">
        <f t="shared" si="46"/>
        <v>79.583333333333272</v>
      </c>
      <c r="AF194" s="25">
        <f t="shared" si="46"/>
        <v>63.66666666666746</v>
      </c>
      <c r="AG194" s="25">
        <f t="shared" si="46"/>
        <v>68.972222222221689</v>
      </c>
      <c r="AH194" s="25">
        <f t="shared" si="46"/>
        <v>74.277777777778311</v>
      </c>
      <c r="AI194" s="26">
        <f t="shared" si="46"/>
        <v>58.361111111110844</v>
      </c>
      <c r="AJ194" s="26">
        <f t="shared" si="46"/>
        <v>63.66666666666746</v>
      </c>
      <c r="AK194" s="26">
        <f t="shared" si="43"/>
        <v>68.972222222221689</v>
      </c>
    </row>
    <row r="195" spans="4:37" ht="20.100000000000001" customHeight="1">
      <c r="D195" s="27">
        <f t="shared" si="38"/>
        <v>0.53333333333333199</v>
      </c>
      <c r="E195" s="16">
        <f t="shared" si="47"/>
        <v>141.86666666666815</v>
      </c>
      <c r="F195" s="16">
        <f t="shared" si="47"/>
        <v>147.19999999999851</v>
      </c>
      <c r="G195" s="16">
        <f t="shared" si="47"/>
        <v>152.53333333333322</v>
      </c>
      <c r="H195" s="17">
        <f t="shared" si="47"/>
        <v>131.19999999999936</v>
      </c>
      <c r="I195" s="17">
        <f t="shared" si="47"/>
        <v>136.53333333333376</v>
      </c>
      <c r="J195" s="17">
        <f t="shared" si="47"/>
        <v>141.86666666666815</v>
      </c>
      <c r="K195" s="18">
        <f t="shared" si="47"/>
        <v>120.53333333333518</v>
      </c>
      <c r="L195" s="18">
        <f t="shared" si="47"/>
        <v>125.86666666666503</v>
      </c>
      <c r="M195" s="18">
        <f t="shared" si="47"/>
        <v>131.19999999999936</v>
      </c>
      <c r="N195" s="19">
        <f t="shared" si="47"/>
        <v>96</v>
      </c>
      <c r="O195" s="19">
        <f t="shared" si="47"/>
        <v>101.33333333333439</v>
      </c>
      <c r="P195" s="19">
        <f t="shared" si="47"/>
        <v>106.66666666666823</v>
      </c>
      <c r="Q195" s="20">
        <f t="shared" si="47"/>
        <v>90.666666666665606</v>
      </c>
      <c r="R195" s="20">
        <f t="shared" si="47"/>
        <v>96</v>
      </c>
      <c r="S195" s="20">
        <f t="shared" si="47"/>
        <v>101.33333333333439</v>
      </c>
      <c r="T195" s="21">
        <f t="shared" si="47"/>
        <v>85.33333333333259</v>
      </c>
      <c r="U195" s="21">
        <f t="shared" si="46"/>
        <v>90.666666666665606</v>
      </c>
      <c r="V195" s="21">
        <f t="shared" si="46"/>
        <v>96</v>
      </c>
      <c r="W195" s="22">
        <f t="shared" si="46"/>
        <v>79.999999999999943</v>
      </c>
      <c r="X195" s="22">
        <f t="shared" si="46"/>
        <v>85.33333333333259</v>
      </c>
      <c r="Y195" s="22">
        <f t="shared" si="46"/>
        <v>90.666666666665606</v>
      </c>
      <c r="Z195" s="23">
        <f t="shared" si="46"/>
        <v>74.666666666667197</v>
      </c>
      <c r="AA195" s="23">
        <f t="shared" si="46"/>
        <v>79.999999999999943</v>
      </c>
      <c r="AB195" s="23">
        <f t="shared" si="46"/>
        <v>85.33333333333259</v>
      </c>
      <c r="AC195" s="24">
        <f t="shared" si="46"/>
        <v>69.333333333332803</v>
      </c>
      <c r="AD195" s="24">
        <f t="shared" si="46"/>
        <v>74.666666666667197</v>
      </c>
      <c r="AE195" s="24">
        <f t="shared" si="46"/>
        <v>79.999999999999943</v>
      </c>
      <c r="AF195" s="25">
        <f t="shared" si="43"/>
        <v>64.000000000000796</v>
      </c>
      <c r="AG195" s="25">
        <f t="shared" si="43"/>
        <v>69.333333333332803</v>
      </c>
      <c r="AH195" s="25">
        <f t="shared" si="43"/>
        <v>74.666666666667197</v>
      </c>
      <c r="AI195" s="26">
        <f t="shared" si="43"/>
        <v>58.666666666666401</v>
      </c>
      <c r="AJ195" s="26">
        <f t="shared" si="43"/>
        <v>64.000000000000796</v>
      </c>
      <c r="AK195" s="26">
        <f t="shared" si="43"/>
        <v>69.333333333332803</v>
      </c>
    </row>
    <row r="196" spans="4:37" ht="20.100000000000001" customHeight="1">
      <c r="D196" s="27">
        <f t="shared" si="38"/>
        <v>0.53611111111110976</v>
      </c>
      <c r="E196" s="16">
        <f t="shared" si="47"/>
        <v>142.60555555555703</v>
      </c>
      <c r="F196" s="16">
        <f t="shared" si="47"/>
        <v>147.96666666666519</v>
      </c>
      <c r="G196" s="16">
        <f t="shared" si="47"/>
        <v>153.32777777777767</v>
      </c>
      <c r="H196" s="17">
        <f t="shared" si="47"/>
        <v>131.8833333333327</v>
      </c>
      <c r="I196" s="17">
        <f t="shared" si="47"/>
        <v>137.24444444444487</v>
      </c>
      <c r="J196" s="17">
        <f t="shared" si="47"/>
        <v>142.60555555555703</v>
      </c>
      <c r="K196" s="18">
        <f t="shared" si="47"/>
        <v>121.16111111111296</v>
      </c>
      <c r="L196" s="18">
        <f t="shared" si="47"/>
        <v>126.52222222222058</v>
      </c>
      <c r="M196" s="18">
        <f t="shared" si="47"/>
        <v>131.8833333333327</v>
      </c>
      <c r="N196" s="19">
        <f t="shared" si="47"/>
        <v>96.5</v>
      </c>
      <c r="O196" s="19">
        <f t="shared" si="47"/>
        <v>101.86111111111217</v>
      </c>
      <c r="P196" s="19">
        <f t="shared" si="47"/>
        <v>107.22222222222379</v>
      </c>
      <c r="Q196" s="20">
        <f t="shared" si="47"/>
        <v>91.138888888887834</v>
      </c>
      <c r="R196" s="20">
        <f t="shared" si="47"/>
        <v>96.5</v>
      </c>
      <c r="S196" s="20">
        <f t="shared" si="47"/>
        <v>101.86111111111217</v>
      </c>
      <c r="T196" s="21">
        <f t="shared" si="47"/>
        <v>85.777777777777032</v>
      </c>
      <c r="U196" s="21">
        <f t="shared" si="46"/>
        <v>91.138888888887834</v>
      </c>
      <c r="V196" s="21">
        <f t="shared" si="46"/>
        <v>96.5</v>
      </c>
      <c r="W196" s="22">
        <f t="shared" si="46"/>
        <v>80.416666666666615</v>
      </c>
      <c r="X196" s="22">
        <f t="shared" si="46"/>
        <v>85.777777777777032</v>
      </c>
      <c r="Y196" s="22">
        <f t="shared" si="46"/>
        <v>91.138888888887834</v>
      </c>
      <c r="Z196" s="23">
        <f t="shared" si="46"/>
        <v>75.055555555556083</v>
      </c>
      <c r="AA196" s="23">
        <f t="shared" si="46"/>
        <v>80.416666666666615</v>
      </c>
      <c r="AB196" s="23">
        <f t="shared" si="46"/>
        <v>85.777777777777032</v>
      </c>
      <c r="AC196" s="24">
        <f t="shared" si="46"/>
        <v>69.694444444443917</v>
      </c>
      <c r="AD196" s="24">
        <f t="shared" si="46"/>
        <v>75.055555555556083</v>
      </c>
      <c r="AE196" s="24">
        <f t="shared" si="46"/>
        <v>80.416666666666615</v>
      </c>
      <c r="AF196" s="25">
        <f t="shared" si="43"/>
        <v>64.333333333334124</v>
      </c>
      <c r="AG196" s="25">
        <f t="shared" si="43"/>
        <v>69.694444444443917</v>
      </c>
      <c r="AH196" s="25">
        <f t="shared" si="43"/>
        <v>75.055555555556083</v>
      </c>
      <c r="AI196" s="26">
        <f t="shared" si="43"/>
        <v>58.972222222221959</v>
      </c>
      <c r="AJ196" s="26">
        <f t="shared" si="43"/>
        <v>64.333333333334124</v>
      </c>
      <c r="AK196" s="26">
        <f t="shared" si="43"/>
        <v>69.694444444443917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143.34444444444591</v>
      </c>
      <c r="F197" s="16">
        <f t="shared" si="47"/>
        <v>148.73333333333187</v>
      </c>
      <c r="G197" s="16">
        <f t="shared" si="47"/>
        <v>154.12222222222212</v>
      </c>
      <c r="H197" s="17">
        <f t="shared" si="47"/>
        <v>132.56666666666604</v>
      </c>
      <c r="I197" s="17">
        <f t="shared" si="47"/>
        <v>137.95555555555597</v>
      </c>
      <c r="J197" s="17">
        <f t="shared" si="47"/>
        <v>143.34444444444591</v>
      </c>
      <c r="K197" s="18">
        <f t="shared" si="47"/>
        <v>121.78888888889074</v>
      </c>
      <c r="L197" s="18">
        <f t="shared" si="47"/>
        <v>127.17777777777613</v>
      </c>
      <c r="M197" s="18">
        <f t="shared" si="47"/>
        <v>132.56666666666604</v>
      </c>
      <c r="N197" s="19">
        <f t="shared" si="47"/>
        <v>97</v>
      </c>
      <c r="O197" s="19">
        <f t="shared" si="47"/>
        <v>102.38888888888994</v>
      </c>
      <c r="P197" s="19">
        <f t="shared" si="47"/>
        <v>107.77777777777935</v>
      </c>
      <c r="Q197" s="20">
        <f t="shared" si="47"/>
        <v>91.611111111110063</v>
      </c>
      <c r="R197" s="20">
        <f t="shared" si="47"/>
        <v>97</v>
      </c>
      <c r="S197" s="20">
        <f t="shared" si="47"/>
        <v>102.38888888888994</v>
      </c>
      <c r="T197" s="21">
        <f t="shared" si="47"/>
        <v>86.222222222221475</v>
      </c>
      <c r="U197" s="21">
        <f t="shared" si="46"/>
        <v>91.611111111110063</v>
      </c>
      <c r="V197" s="21">
        <f t="shared" si="46"/>
        <v>97</v>
      </c>
      <c r="W197" s="22">
        <f t="shared" si="46"/>
        <v>80.833333333333286</v>
      </c>
      <c r="X197" s="22">
        <f t="shared" si="46"/>
        <v>86.222222222221475</v>
      </c>
      <c r="Y197" s="22">
        <f t="shared" si="46"/>
        <v>91.611111111110063</v>
      </c>
      <c r="Z197" s="23">
        <f t="shared" si="46"/>
        <v>75.444444444444969</v>
      </c>
      <c r="AA197" s="23">
        <f t="shared" si="46"/>
        <v>80.833333333333286</v>
      </c>
      <c r="AB197" s="23">
        <f t="shared" si="46"/>
        <v>86.222222222221475</v>
      </c>
      <c r="AC197" s="24">
        <f t="shared" si="46"/>
        <v>70.055555555555031</v>
      </c>
      <c r="AD197" s="24">
        <f t="shared" si="46"/>
        <v>75.444444444444969</v>
      </c>
      <c r="AE197" s="24">
        <f t="shared" si="46"/>
        <v>80.833333333333286</v>
      </c>
      <c r="AF197" s="25">
        <f t="shared" si="43"/>
        <v>64.666666666667453</v>
      </c>
      <c r="AG197" s="25">
        <f t="shared" si="43"/>
        <v>70.055555555555031</v>
      </c>
      <c r="AH197" s="25">
        <f t="shared" si="43"/>
        <v>75.444444444444969</v>
      </c>
      <c r="AI197" s="26">
        <f t="shared" si="43"/>
        <v>59.277777777777516</v>
      </c>
      <c r="AJ197" s="26">
        <f t="shared" si="43"/>
        <v>64.666666666667453</v>
      </c>
      <c r="AK197" s="26">
        <f t="shared" si="43"/>
        <v>70.055555555555031</v>
      </c>
    </row>
    <row r="198" spans="4:37" ht="20.100000000000001" customHeight="1">
      <c r="D198" s="27">
        <f t="shared" si="48"/>
        <v>0.5416666666666653</v>
      </c>
      <c r="E198" s="16">
        <f t="shared" si="47"/>
        <v>144.08333333333479</v>
      </c>
      <c r="F198" s="16">
        <f t="shared" si="47"/>
        <v>149.49999999999855</v>
      </c>
      <c r="G198" s="16">
        <f t="shared" si="47"/>
        <v>154.91666666666657</v>
      </c>
      <c r="H198" s="17">
        <f t="shared" si="47"/>
        <v>133.24999999999937</v>
      </c>
      <c r="I198" s="17">
        <f t="shared" si="47"/>
        <v>138.66666666666708</v>
      </c>
      <c r="J198" s="17">
        <f t="shared" si="47"/>
        <v>144.08333333333479</v>
      </c>
      <c r="K198" s="18">
        <f t="shared" si="47"/>
        <v>122.41666666666852</v>
      </c>
      <c r="L198" s="18">
        <f t="shared" si="47"/>
        <v>127.83333333333168</v>
      </c>
      <c r="M198" s="18">
        <f t="shared" si="47"/>
        <v>133.24999999999937</v>
      </c>
      <c r="N198" s="19">
        <f t="shared" si="47"/>
        <v>97.5</v>
      </c>
      <c r="O198" s="19">
        <f t="shared" si="47"/>
        <v>102.91666666666771</v>
      </c>
      <c r="P198" s="19">
        <f t="shared" si="47"/>
        <v>108.33333333333491</v>
      </c>
      <c r="Q198" s="20">
        <f t="shared" si="47"/>
        <v>92.083333333332291</v>
      </c>
      <c r="R198" s="20">
        <f t="shared" si="47"/>
        <v>97.5</v>
      </c>
      <c r="S198" s="20">
        <f t="shared" si="47"/>
        <v>102.91666666666771</v>
      </c>
      <c r="T198" s="21">
        <f t="shared" si="47"/>
        <v>86.666666666665918</v>
      </c>
      <c r="U198" s="21">
        <f t="shared" si="46"/>
        <v>92.083333333332291</v>
      </c>
      <c r="V198" s="21">
        <f t="shared" si="46"/>
        <v>97.5</v>
      </c>
      <c r="W198" s="22">
        <f t="shared" si="46"/>
        <v>81.249999999999957</v>
      </c>
      <c r="X198" s="22">
        <f t="shared" si="46"/>
        <v>86.666666666665918</v>
      </c>
      <c r="Y198" s="22">
        <f t="shared" si="46"/>
        <v>92.083333333332291</v>
      </c>
      <c r="Z198" s="23">
        <f t="shared" si="46"/>
        <v>75.833333333333854</v>
      </c>
      <c r="AA198" s="23">
        <f t="shared" si="46"/>
        <v>81.249999999999957</v>
      </c>
      <c r="AB198" s="23">
        <f t="shared" si="46"/>
        <v>86.666666666665918</v>
      </c>
      <c r="AC198" s="24">
        <f t="shared" si="46"/>
        <v>70.416666666666146</v>
      </c>
      <c r="AD198" s="24">
        <f t="shared" si="46"/>
        <v>75.833333333333854</v>
      </c>
      <c r="AE198" s="24">
        <f t="shared" si="46"/>
        <v>81.249999999999957</v>
      </c>
      <c r="AF198" s="25">
        <f t="shared" si="43"/>
        <v>65.000000000000782</v>
      </c>
      <c r="AG198" s="25">
        <f t="shared" si="43"/>
        <v>70.416666666666146</v>
      </c>
      <c r="AH198" s="25">
        <f t="shared" si="43"/>
        <v>75.833333333333854</v>
      </c>
      <c r="AI198" s="26">
        <f t="shared" si="43"/>
        <v>59.583333333333073</v>
      </c>
      <c r="AJ198" s="26">
        <f t="shared" si="43"/>
        <v>65.000000000000782</v>
      </c>
      <c r="AK198" s="26">
        <f t="shared" si="43"/>
        <v>70.416666666666146</v>
      </c>
    </row>
    <row r="199" spans="4:37" ht="20.100000000000001" customHeight="1">
      <c r="D199" s="27">
        <f t="shared" si="48"/>
        <v>0.54444444444444307</v>
      </c>
      <c r="E199" s="16">
        <f t="shared" si="47"/>
        <v>144.82222222222367</v>
      </c>
      <c r="F199" s="16">
        <f t="shared" si="47"/>
        <v>150.26666666666523</v>
      </c>
      <c r="G199" s="16">
        <f t="shared" si="47"/>
        <v>155.71111111111102</v>
      </c>
      <c r="H199" s="17">
        <f t="shared" si="47"/>
        <v>133.93333333333271</v>
      </c>
      <c r="I199" s="17">
        <f t="shared" si="47"/>
        <v>139.37777777777819</v>
      </c>
      <c r="J199" s="17">
        <f t="shared" si="47"/>
        <v>144.82222222222367</v>
      </c>
      <c r="K199" s="18">
        <f t="shared" si="47"/>
        <v>123.0444444444463</v>
      </c>
      <c r="L199" s="18">
        <f t="shared" si="47"/>
        <v>128.48888888888723</v>
      </c>
      <c r="M199" s="18">
        <f t="shared" si="47"/>
        <v>133.93333333333271</v>
      </c>
      <c r="N199" s="19">
        <f t="shared" si="47"/>
        <v>98</v>
      </c>
      <c r="O199" s="19">
        <f t="shared" si="47"/>
        <v>103.44444444444548</v>
      </c>
      <c r="P199" s="19">
        <f t="shared" si="47"/>
        <v>108.88888888889046</v>
      </c>
      <c r="Q199" s="20">
        <f t="shared" si="47"/>
        <v>92.55555555555452</v>
      </c>
      <c r="R199" s="20">
        <f t="shared" si="47"/>
        <v>98</v>
      </c>
      <c r="S199" s="20">
        <f t="shared" si="47"/>
        <v>103.44444444444548</v>
      </c>
      <c r="T199" s="21">
        <f t="shared" si="47"/>
        <v>87.111111111110361</v>
      </c>
      <c r="U199" s="21">
        <f t="shared" si="46"/>
        <v>92.55555555555452</v>
      </c>
      <c r="V199" s="21">
        <f t="shared" si="46"/>
        <v>98</v>
      </c>
      <c r="W199" s="22">
        <f t="shared" si="46"/>
        <v>81.666666666666629</v>
      </c>
      <c r="X199" s="22">
        <f t="shared" si="46"/>
        <v>87.111111111110361</v>
      </c>
      <c r="Y199" s="22">
        <f t="shared" si="46"/>
        <v>92.55555555555452</v>
      </c>
      <c r="Z199" s="23">
        <f t="shared" si="46"/>
        <v>76.22222222222274</v>
      </c>
      <c r="AA199" s="23">
        <f t="shared" si="46"/>
        <v>81.666666666666629</v>
      </c>
      <c r="AB199" s="23">
        <f t="shared" si="46"/>
        <v>87.111111111110361</v>
      </c>
      <c r="AC199" s="24">
        <f t="shared" si="46"/>
        <v>70.77777777777726</v>
      </c>
      <c r="AD199" s="24">
        <f t="shared" si="46"/>
        <v>76.22222222222274</v>
      </c>
      <c r="AE199" s="24">
        <f t="shared" si="46"/>
        <v>81.666666666666629</v>
      </c>
      <c r="AF199" s="25">
        <f t="shared" si="46"/>
        <v>65.33333333333411</v>
      </c>
      <c r="AG199" s="25">
        <f t="shared" si="46"/>
        <v>70.77777777777726</v>
      </c>
      <c r="AH199" s="25">
        <f t="shared" si="46"/>
        <v>76.22222222222274</v>
      </c>
      <c r="AI199" s="26">
        <f t="shared" si="46"/>
        <v>59.88888888888863</v>
      </c>
      <c r="AJ199" s="26">
        <f t="shared" si="46"/>
        <v>65.33333333333411</v>
      </c>
      <c r="AK199" s="26">
        <f t="shared" ref="AK199:AK233" si="49">AK200-(AK$363/360)</f>
        <v>70.77777777777726</v>
      </c>
    </row>
    <row r="200" spans="4:37" ht="20.100000000000001" customHeight="1">
      <c r="D200" s="27">
        <f t="shared" si="48"/>
        <v>0.54722222222222083</v>
      </c>
      <c r="E200" s="16">
        <f t="shared" si="47"/>
        <v>145.56111111111255</v>
      </c>
      <c r="F200" s="16">
        <f t="shared" si="47"/>
        <v>151.03333333333191</v>
      </c>
      <c r="G200" s="16">
        <f t="shared" si="47"/>
        <v>156.50555555555547</v>
      </c>
      <c r="H200" s="17">
        <f t="shared" si="47"/>
        <v>134.61666666666605</v>
      </c>
      <c r="I200" s="17">
        <f t="shared" si="47"/>
        <v>140.0888888888893</v>
      </c>
      <c r="J200" s="17">
        <f t="shared" si="47"/>
        <v>145.56111111111255</v>
      </c>
      <c r="K200" s="18">
        <f t="shared" si="47"/>
        <v>123.67222222222408</v>
      </c>
      <c r="L200" s="18">
        <f t="shared" si="47"/>
        <v>129.1444444444428</v>
      </c>
      <c r="M200" s="18">
        <f t="shared" si="47"/>
        <v>134.61666666666605</v>
      </c>
      <c r="N200" s="19">
        <f t="shared" si="47"/>
        <v>98.5</v>
      </c>
      <c r="O200" s="19">
        <f t="shared" si="47"/>
        <v>103.97222222222325</v>
      </c>
      <c r="P200" s="19">
        <f t="shared" si="47"/>
        <v>109.44444444444602</v>
      </c>
      <c r="Q200" s="20">
        <f t="shared" si="47"/>
        <v>93.027777777776748</v>
      </c>
      <c r="R200" s="20">
        <f t="shared" si="47"/>
        <v>98.5</v>
      </c>
      <c r="S200" s="20">
        <f t="shared" si="47"/>
        <v>103.97222222222325</v>
      </c>
      <c r="T200" s="21">
        <f t="shared" si="47"/>
        <v>87.555555555554804</v>
      </c>
      <c r="U200" s="21">
        <f t="shared" si="46"/>
        <v>93.027777777776748</v>
      </c>
      <c r="V200" s="21">
        <f t="shared" si="46"/>
        <v>98.5</v>
      </c>
      <c r="W200" s="22">
        <f t="shared" si="46"/>
        <v>82.0833333333333</v>
      </c>
      <c r="X200" s="22">
        <f t="shared" si="46"/>
        <v>87.555555555554804</v>
      </c>
      <c r="Y200" s="22">
        <f t="shared" si="46"/>
        <v>93.027777777776748</v>
      </c>
      <c r="Z200" s="23">
        <f t="shared" si="46"/>
        <v>76.611111111111626</v>
      </c>
      <c r="AA200" s="23">
        <f t="shared" si="46"/>
        <v>82.0833333333333</v>
      </c>
      <c r="AB200" s="23">
        <f t="shared" si="46"/>
        <v>87.555555555554804</v>
      </c>
      <c r="AC200" s="24">
        <f t="shared" si="46"/>
        <v>71.138888888888374</v>
      </c>
      <c r="AD200" s="24">
        <f t="shared" si="46"/>
        <v>76.611111111111626</v>
      </c>
      <c r="AE200" s="24">
        <f t="shared" si="46"/>
        <v>82.0833333333333</v>
      </c>
      <c r="AF200" s="25">
        <f t="shared" si="46"/>
        <v>65.666666666667439</v>
      </c>
      <c r="AG200" s="25">
        <f t="shared" si="46"/>
        <v>71.138888888888374</v>
      </c>
      <c r="AH200" s="25">
        <f t="shared" si="46"/>
        <v>76.611111111111626</v>
      </c>
      <c r="AI200" s="26">
        <f t="shared" si="46"/>
        <v>60.194444444444187</v>
      </c>
      <c r="AJ200" s="26">
        <f t="shared" si="46"/>
        <v>65.666666666667439</v>
      </c>
      <c r="AK200" s="26">
        <f t="shared" si="49"/>
        <v>71.138888888888374</v>
      </c>
    </row>
    <row r="201" spans="4:37" ht="20.100000000000001" customHeight="1">
      <c r="D201" s="27">
        <f t="shared" si="48"/>
        <v>0.5499999999999986</v>
      </c>
      <c r="E201" s="16">
        <f t="shared" si="47"/>
        <v>146.30000000000143</v>
      </c>
      <c r="F201" s="16">
        <f t="shared" si="47"/>
        <v>151.79999999999859</v>
      </c>
      <c r="G201" s="16">
        <f t="shared" si="47"/>
        <v>157.29999999999993</v>
      </c>
      <c r="H201" s="17">
        <f t="shared" si="47"/>
        <v>135.29999999999939</v>
      </c>
      <c r="I201" s="17">
        <f t="shared" si="47"/>
        <v>140.80000000000041</v>
      </c>
      <c r="J201" s="17">
        <f t="shared" si="47"/>
        <v>146.30000000000143</v>
      </c>
      <c r="K201" s="18">
        <f t="shared" si="47"/>
        <v>124.30000000000186</v>
      </c>
      <c r="L201" s="18">
        <f t="shared" si="47"/>
        <v>129.79999999999836</v>
      </c>
      <c r="M201" s="18">
        <f t="shared" si="47"/>
        <v>135.29999999999939</v>
      </c>
      <c r="N201" s="19">
        <f t="shared" si="47"/>
        <v>99</v>
      </c>
      <c r="O201" s="19">
        <f t="shared" si="47"/>
        <v>104.50000000000102</v>
      </c>
      <c r="P201" s="19">
        <f t="shared" si="47"/>
        <v>110.00000000000158</v>
      </c>
      <c r="Q201" s="20">
        <f t="shared" si="47"/>
        <v>93.499999999998977</v>
      </c>
      <c r="R201" s="20">
        <f t="shared" si="47"/>
        <v>99</v>
      </c>
      <c r="S201" s="20">
        <f t="shared" si="47"/>
        <v>104.50000000000102</v>
      </c>
      <c r="T201" s="21">
        <f t="shared" si="47"/>
        <v>87.999999999999247</v>
      </c>
      <c r="U201" s="21">
        <f t="shared" si="46"/>
        <v>93.499999999998977</v>
      </c>
      <c r="V201" s="21">
        <f t="shared" si="46"/>
        <v>99</v>
      </c>
      <c r="W201" s="22">
        <f t="shared" si="46"/>
        <v>82.499999999999972</v>
      </c>
      <c r="X201" s="22">
        <f t="shared" si="46"/>
        <v>87.999999999999247</v>
      </c>
      <c r="Y201" s="22">
        <f t="shared" si="46"/>
        <v>93.499999999998977</v>
      </c>
      <c r="Z201" s="23">
        <f t="shared" si="46"/>
        <v>77.000000000000512</v>
      </c>
      <c r="AA201" s="23">
        <f t="shared" si="46"/>
        <v>82.499999999999972</v>
      </c>
      <c r="AB201" s="23">
        <f t="shared" si="46"/>
        <v>87.999999999999247</v>
      </c>
      <c r="AC201" s="24">
        <f t="shared" si="46"/>
        <v>71.499999999999488</v>
      </c>
      <c r="AD201" s="24">
        <f t="shared" si="46"/>
        <v>77.000000000000512</v>
      </c>
      <c r="AE201" s="24">
        <f t="shared" si="46"/>
        <v>82.499999999999972</v>
      </c>
      <c r="AF201" s="25">
        <f t="shared" si="46"/>
        <v>66.000000000000767</v>
      </c>
      <c r="AG201" s="25">
        <f t="shared" si="46"/>
        <v>71.499999999999488</v>
      </c>
      <c r="AH201" s="25">
        <f t="shared" si="46"/>
        <v>77.000000000000512</v>
      </c>
      <c r="AI201" s="26">
        <f t="shared" si="46"/>
        <v>60.499999999999744</v>
      </c>
      <c r="AJ201" s="26">
        <f t="shared" si="46"/>
        <v>66.000000000000767</v>
      </c>
      <c r="AK201" s="26">
        <f t="shared" si="49"/>
        <v>71.499999999999488</v>
      </c>
    </row>
    <row r="202" spans="4:37" ht="20.100000000000001" customHeight="1">
      <c r="D202" s="27">
        <f t="shared" si="48"/>
        <v>0.55277777777777637</v>
      </c>
      <c r="E202" s="16">
        <f t="shared" si="47"/>
        <v>147.03888888889031</v>
      </c>
      <c r="F202" s="16">
        <f t="shared" si="47"/>
        <v>152.56666666666527</v>
      </c>
      <c r="G202" s="16">
        <f t="shared" si="47"/>
        <v>158.09444444444438</v>
      </c>
      <c r="H202" s="17">
        <f t="shared" si="47"/>
        <v>135.98333333333272</v>
      </c>
      <c r="I202" s="17">
        <f t="shared" si="47"/>
        <v>141.51111111111152</v>
      </c>
      <c r="J202" s="17">
        <f t="shared" si="47"/>
        <v>147.03888888889031</v>
      </c>
      <c r="K202" s="18">
        <f t="shared" si="47"/>
        <v>124.92777777777964</v>
      </c>
      <c r="L202" s="18">
        <f t="shared" si="47"/>
        <v>130.45555555555393</v>
      </c>
      <c r="M202" s="18">
        <f t="shared" si="47"/>
        <v>135.98333333333272</v>
      </c>
      <c r="N202" s="19">
        <f t="shared" si="47"/>
        <v>99.5</v>
      </c>
      <c r="O202" s="19">
        <f t="shared" si="47"/>
        <v>105.02777777777879</v>
      </c>
      <c r="P202" s="19">
        <f t="shared" si="47"/>
        <v>110.55555555555713</v>
      </c>
      <c r="Q202" s="20">
        <f t="shared" si="47"/>
        <v>93.972222222221205</v>
      </c>
      <c r="R202" s="20">
        <f t="shared" si="47"/>
        <v>99.5</v>
      </c>
      <c r="S202" s="20">
        <f t="shared" si="47"/>
        <v>105.02777777777879</v>
      </c>
      <c r="T202" s="21">
        <f t="shared" si="47"/>
        <v>88.44444444444369</v>
      </c>
      <c r="U202" s="21">
        <f t="shared" si="46"/>
        <v>93.972222222221205</v>
      </c>
      <c r="V202" s="21">
        <f t="shared" si="46"/>
        <v>99.5</v>
      </c>
      <c r="W202" s="22">
        <f t="shared" si="46"/>
        <v>82.916666666666643</v>
      </c>
      <c r="X202" s="22">
        <f t="shared" si="46"/>
        <v>88.44444444444369</v>
      </c>
      <c r="Y202" s="22">
        <f t="shared" ref="Y202:AJ202" si="50">Y203-(Y$363/360)</f>
        <v>93.972222222221205</v>
      </c>
      <c r="Z202" s="23">
        <f t="shared" si="50"/>
        <v>77.388888888889397</v>
      </c>
      <c r="AA202" s="23">
        <f t="shared" si="50"/>
        <v>82.916666666666643</v>
      </c>
      <c r="AB202" s="23">
        <f t="shared" si="50"/>
        <v>88.44444444444369</v>
      </c>
      <c r="AC202" s="24">
        <f t="shared" si="50"/>
        <v>71.861111111110603</v>
      </c>
      <c r="AD202" s="24">
        <f t="shared" si="50"/>
        <v>77.388888888889397</v>
      </c>
      <c r="AE202" s="24">
        <f t="shared" si="50"/>
        <v>82.916666666666643</v>
      </c>
      <c r="AF202" s="25">
        <f t="shared" si="50"/>
        <v>66.333333333334096</v>
      </c>
      <c r="AG202" s="25">
        <f t="shared" si="50"/>
        <v>71.861111111110603</v>
      </c>
      <c r="AH202" s="25">
        <f t="shared" si="50"/>
        <v>77.388888888889397</v>
      </c>
      <c r="AI202" s="26">
        <f t="shared" si="50"/>
        <v>60.805555555555301</v>
      </c>
      <c r="AJ202" s="26">
        <f t="shared" si="50"/>
        <v>66.333333333334096</v>
      </c>
      <c r="AK202" s="26">
        <f t="shared" si="49"/>
        <v>71.861111111110603</v>
      </c>
    </row>
    <row r="203" spans="4:37" ht="20.100000000000001" customHeight="1">
      <c r="D203" s="27">
        <f t="shared" si="48"/>
        <v>0.55555555555555414</v>
      </c>
      <c r="E203" s="16">
        <f t="shared" si="47"/>
        <v>147.77777777777919</v>
      </c>
      <c r="F203" s="16">
        <f t="shared" si="47"/>
        <v>153.33333333333195</v>
      </c>
      <c r="G203" s="16">
        <f t="shared" si="47"/>
        <v>158.88888888888883</v>
      </c>
      <c r="H203" s="17">
        <f t="shared" si="47"/>
        <v>136.66666666666606</v>
      </c>
      <c r="I203" s="17">
        <f t="shared" si="47"/>
        <v>142.22222222222263</v>
      </c>
      <c r="J203" s="17">
        <f t="shared" si="47"/>
        <v>147.77777777777919</v>
      </c>
      <c r="K203" s="18">
        <f t="shared" si="47"/>
        <v>125.55555555555742</v>
      </c>
      <c r="L203" s="18">
        <f t="shared" si="47"/>
        <v>131.11111111110949</v>
      </c>
      <c r="M203" s="18">
        <f t="shared" si="47"/>
        <v>136.66666666666606</v>
      </c>
      <c r="N203" s="19">
        <f t="shared" si="47"/>
        <v>100</v>
      </c>
      <c r="O203" s="19">
        <f t="shared" si="47"/>
        <v>105.55555555555657</v>
      </c>
      <c r="P203" s="19">
        <f t="shared" si="47"/>
        <v>111.11111111111269</v>
      </c>
      <c r="Q203" s="20">
        <f t="shared" si="47"/>
        <v>94.444444444443434</v>
      </c>
      <c r="R203" s="20">
        <f t="shared" si="47"/>
        <v>100</v>
      </c>
      <c r="S203" s="20">
        <f t="shared" si="47"/>
        <v>105.55555555555657</v>
      </c>
      <c r="T203" s="21">
        <f t="shared" si="47"/>
        <v>88.888888888888133</v>
      </c>
      <c r="U203" s="21">
        <f t="shared" ref="U203:AI223" si="51">U204-(U$363/360)</f>
        <v>94.444444444443434</v>
      </c>
      <c r="V203" s="21">
        <f t="shared" si="51"/>
        <v>100</v>
      </c>
      <c r="W203" s="22">
        <f t="shared" si="51"/>
        <v>83.333333333333314</v>
      </c>
      <c r="X203" s="22">
        <f t="shared" si="51"/>
        <v>88.888888888888133</v>
      </c>
      <c r="Y203" s="22">
        <f t="shared" si="51"/>
        <v>94.444444444443434</v>
      </c>
      <c r="Z203" s="23">
        <f t="shared" si="51"/>
        <v>77.777777777778283</v>
      </c>
      <c r="AA203" s="23">
        <f t="shared" si="51"/>
        <v>83.333333333333314</v>
      </c>
      <c r="AB203" s="23">
        <f t="shared" si="51"/>
        <v>88.888888888888133</v>
      </c>
      <c r="AC203" s="24">
        <f t="shared" si="51"/>
        <v>72.222222222221717</v>
      </c>
      <c r="AD203" s="24">
        <f t="shared" si="51"/>
        <v>77.777777777778283</v>
      </c>
      <c r="AE203" s="24">
        <f t="shared" si="51"/>
        <v>83.333333333333314</v>
      </c>
      <c r="AF203" s="25">
        <f t="shared" ref="AF203:AF214" si="52">AF204-(AF$363/360)</f>
        <v>66.666666666667425</v>
      </c>
      <c r="AG203" s="25">
        <f t="shared" ref="AG203:AG214" si="53">AG204-(AG$363/360)</f>
        <v>72.222222222221717</v>
      </c>
      <c r="AH203" s="25">
        <f t="shared" ref="AH203:AH214" si="54">AH204-(AH$363/360)</f>
        <v>77.777777777778283</v>
      </c>
      <c r="AI203" s="26">
        <f t="shared" ref="AI203:AI214" si="55">AI204-(AI$363/360)</f>
        <v>61.111111111110858</v>
      </c>
      <c r="AJ203" s="26">
        <f t="shared" ref="AJ203:AJ214" si="56">AJ204-(AJ$363/360)</f>
        <v>66.666666666667425</v>
      </c>
      <c r="AK203" s="26">
        <f t="shared" si="49"/>
        <v>72.222222222221717</v>
      </c>
    </row>
    <row r="204" spans="4:37" ht="20.100000000000001" customHeight="1">
      <c r="D204" s="27">
        <f t="shared" si="48"/>
        <v>0.5583333333333319</v>
      </c>
      <c r="E204" s="16">
        <f t="shared" si="47"/>
        <v>148.51666666666807</v>
      </c>
      <c r="F204" s="16">
        <f t="shared" si="47"/>
        <v>154.09999999999863</v>
      </c>
      <c r="G204" s="16">
        <f t="shared" si="47"/>
        <v>159.68333333333328</v>
      </c>
      <c r="H204" s="17">
        <f t="shared" si="47"/>
        <v>137.3499999999994</v>
      </c>
      <c r="I204" s="17">
        <f t="shared" si="47"/>
        <v>142.93333333333374</v>
      </c>
      <c r="J204" s="17">
        <f t="shared" si="47"/>
        <v>148.51666666666807</v>
      </c>
      <c r="K204" s="18">
        <f t="shared" si="47"/>
        <v>126.1833333333352</v>
      </c>
      <c r="L204" s="18">
        <f t="shared" si="47"/>
        <v>131.76666666666506</v>
      </c>
      <c r="M204" s="18">
        <f t="shared" si="47"/>
        <v>137.3499999999994</v>
      </c>
      <c r="N204" s="19">
        <f t="shared" si="47"/>
        <v>100.5</v>
      </c>
      <c r="O204" s="19">
        <f t="shared" si="47"/>
        <v>106.08333333333434</v>
      </c>
      <c r="P204" s="19">
        <f t="shared" si="47"/>
        <v>111.66666666666825</v>
      </c>
      <c r="Q204" s="20">
        <f t="shared" si="47"/>
        <v>94.916666666665662</v>
      </c>
      <c r="R204" s="20">
        <f t="shared" si="47"/>
        <v>100.5</v>
      </c>
      <c r="S204" s="20">
        <f t="shared" si="47"/>
        <v>106.08333333333434</v>
      </c>
      <c r="T204" s="21">
        <f t="shared" si="47"/>
        <v>89.333333333332575</v>
      </c>
      <c r="U204" s="21">
        <f t="shared" si="51"/>
        <v>94.916666666665662</v>
      </c>
      <c r="V204" s="21">
        <f t="shared" si="51"/>
        <v>100.5</v>
      </c>
      <c r="W204" s="22">
        <f t="shared" si="51"/>
        <v>83.749999999999986</v>
      </c>
      <c r="X204" s="22">
        <f t="shared" si="51"/>
        <v>89.333333333332575</v>
      </c>
      <c r="Y204" s="22">
        <f t="shared" si="51"/>
        <v>94.916666666665662</v>
      </c>
      <c r="Z204" s="23">
        <f t="shared" si="51"/>
        <v>78.166666666667169</v>
      </c>
      <c r="AA204" s="23">
        <f t="shared" si="51"/>
        <v>83.749999999999986</v>
      </c>
      <c r="AB204" s="23">
        <f t="shared" si="51"/>
        <v>89.333333333332575</v>
      </c>
      <c r="AC204" s="24">
        <f t="shared" si="51"/>
        <v>72.583333333332831</v>
      </c>
      <c r="AD204" s="24">
        <f t="shared" si="51"/>
        <v>78.166666666667169</v>
      </c>
      <c r="AE204" s="24">
        <f t="shared" si="51"/>
        <v>83.749999999999986</v>
      </c>
      <c r="AF204" s="25">
        <f t="shared" si="52"/>
        <v>67.000000000000753</v>
      </c>
      <c r="AG204" s="25">
        <f t="shared" si="53"/>
        <v>72.583333333332831</v>
      </c>
      <c r="AH204" s="25">
        <f t="shared" si="54"/>
        <v>78.166666666667169</v>
      </c>
      <c r="AI204" s="26">
        <f t="shared" si="55"/>
        <v>61.416666666666416</v>
      </c>
      <c r="AJ204" s="26">
        <f t="shared" si="56"/>
        <v>67.000000000000753</v>
      </c>
      <c r="AK204" s="26">
        <f t="shared" si="49"/>
        <v>72.583333333332831</v>
      </c>
    </row>
    <row r="205" spans="4:37" ht="20.100000000000001" customHeight="1">
      <c r="D205" s="27">
        <f t="shared" si="48"/>
        <v>0.56111111111110967</v>
      </c>
      <c r="E205" s="16">
        <f t="shared" si="47"/>
        <v>149.25555555555695</v>
      </c>
      <c r="F205" s="16">
        <f t="shared" si="47"/>
        <v>154.86666666666531</v>
      </c>
      <c r="G205" s="16">
        <f t="shared" si="47"/>
        <v>160.47777777777773</v>
      </c>
      <c r="H205" s="17">
        <f t="shared" si="47"/>
        <v>138.03333333333273</v>
      </c>
      <c r="I205" s="17">
        <f t="shared" si="47"/>
        <v>143.64444444444484</v>
      </c>
      <c r="J205" s="17">
        <f t="shared" si="47"/>
        <v>149.25555555555695</v>
      </c>
      <c r="K205" s="18">
        <f t="shared" si="47"/>
        <v>126.81111111111298</v>
      </c>
      <c r="L205" s="18">
        <f t="shared" si="47"/>
        <v>132.42222222222063</v>
      </c>
      <c r="M205" s="18">
        <f t="shared" si="47"/>
        <v>138.03333333333273</v>
      </c>
      <c r="N205" s="19">
        <f t="shared" si="47"/>
        <v>101</v>
      </c>
      <c r="O205" s="19">
        <f t="shared" si="47"/>
        <v>106.61111111111211</v>
      </c>
      <c r="P205" s="19">
        <f t="shared" si="47"/>
        <v>112.22222222222381</v>
      </c>
      <c r="Q205" s="20">
        <f t="shared" si="47"/>
        <v>95.388888888887891</v>
      </c>
      <c r="R205" s="20">
        <f t="shared" si="47"/>
        <v>101</v>
      </c>
      <c r="S205" s="20">
        <f t="shared" si="47"/>
        <v>106.61111111111211</v>
      </c>
      <c r="T205" s="21">
        <f t="shared" si="47"/>
        <v>89.777777777777018</v>
      </c>
      <c r="U205" s="21">
        <f t="shared" si="51"/>
        <v>95.388888888887891</v>
      </c>
      <c r="V205" s="21">
        <f t="shared" si="51"/>
        <v>101</v>
      </c>
      <c r="W205" s="22">
        <f t="shared" si="51"/>
        <v>84.166666666666657</v>
      </c>
      <c r="X205" s="22">
        <f t="shared" si="51"/>
        <v>89.777777777777018</v>
      </c>
      <c r="Y205" s="22">
        <f t="shared" si="51"/>
        <v>95.388888888887891</v>
      </c>
      <c r="Z205" s="23">
        <f t="shared" si="51"/>
        <v>78.555555555556055</v>
      </c>
      <c r="AA205" s="23">
        <f t="shared" si="51"/>
        <v>84.166666666666657</v>
      </c>
      <c r="AB205" s="23">
        <f t="shared" si="51"/>
        <v>89.777777777777018</v>
      </c>
      <c r="AC205" s="24">
        <f t="shared" si="51"/>
        <v>72.944444444443945</v>
      </c>
      <c r="AD205" s="24">
        <f t="shared" si="51"/>
        <v>78.555555555556055</v>
      </c>
      <c r="AE205" s="24">
        <f t="shared" si="51"/>
        <v>84.166666666666657</v>
      </c>
      <c r="AF205" s="25">
        <f t="shared" si="52"/>
        <v>67.333333333334082</v>
      </c>
      <c r="AG205" s="25">
        <f t="shared" si="53"/>
        <v>72.944444444443945</v>
      </c>
      <c r="AH205" s="25">
        <f t="shared" si="54"/>
        <v>78.555555555556055</v>
      </c>
      <c r="AI205" s="26">
        <f t="shared" si="55"/>
        <v>61.722222222221973</v>
      </c>
      <c r="AJ205" s="26">
        <f t="shared" si="56"/>
        <v>67.333333333334082</v>
      </c>
      <c r="AK205" s="26">
        <f t="shared" si="49"/>
        <v>72.944444444443945</v>
      </c>
    </row>
    <row r="206" spans="4:37" ht="20.100000000000001" customHeight="1">
      <c r="D206" s="27">
        <f t="shared" si="48"/>
        <v>0.56388888888888744</v>
      </c>
      <c r="E206" s="16">
        <f t="shared" si="47"/>
        <v>149.99444444444583</v>
      </c>
      <c r="F206" s="16">
        <f t="shared" si="47"/>
        <v>155.63333333333199</v>
      </c>
      <c r="G206" s="16">
        <f t="shared" si="47"/>
        <v>161.27222222222218</v>
      </c>
      <c r="H206" s="17">
        <f t="shared" si="47"/>
        <v>138.71666666666607</v>
      </c>
      <c r="I206" s="17">
        <f t="shared" si="47"/>
        <v>144.35555555555595</v>
      </c>
      <c r="J206" s="17">
        <f t="shared" si="47"/>
        <v>149.99444444444583</v>
      </c>
      <c r="K206" s="18">
        <f t="shared" si="47"/>
        <v>127.43888888889076</v>
      </c>
      <c r="L206" s="18">
        <f t="shared" si="47"/>
        <v>133.07777777777619</v>
      </c>
      <c r="M206" s="18">
        <f t="shared" si="47"/>
        <v>138.71666666666607</v>
      </c>
      <c r="N206" s="19">
        <f t="shared" si="47"/>
        <v>101.5</v>
      </c>
      <c r="O206" s="19">
        <f t="shared" si="47"/>
        <v>107.13888888888988</v>
      </c>
      <c r="P206" s="19">
        <f t="shared" si="47"/>
        <v>112.77777777777936</v>
      </c>
      <c r="Q206" s="20">
        <f t="shared" si="47"/>
        <v>95.86111111111012</v>
      </c>
      <c r="R206" s="20">
        <f t="shared" si="47"/>
        <v>101.5</v>
      </c>
      <c r="S206" s="20">
        <f t="shared" si="47"/>
        <v>107.13888888888988</v>
      </c>
      <c r="T206" s="21">
        <f t="shared" si="47"/>
        <v>90.222222222221461</v>
      </c>
      <c r="U206" s="21">
        <f t="shared" si="51"/>
        <v>95.86111111111012</v>
      </c>
      <c r="V206" s="21">
        <f t="shared" si="51"/>
        <v>101.5</v>
      </c>
      <c r="W206" s="22">
        <f t="shared" si="51"/>
        <v>84.583333333333329</v>
      </c>
      <c r="X206" s="22">
        <f t="shared" si="51"/>
        <v>90.222222222221461</v>
      </c>
      <c r="Y206" s="22">
        <f t="shared" si="51"/>
        <v>95.86111111111012</v>
      </c>
      <c r="Z206" s="23">
        <f t="shared" si="51"/>
        <v>78.94444444444494</v>
      </c>
      <c r="AA206" s="23">
        <f t="shared" si="51"/>
        <v>84.583333333333329</v>
      </c>
      <c r="AB206" s="23">
        <f t="shared" si="51"/>
        <v>90.222222222221461</v>
      </c>
      <c r="AC206" s="24">
        <f t="shared" si="51"/>
        <v>73.30555555555506</v>
      </c>
      <c r="AD206" s="24">
        <f t="shared" si="51"/>
        <v>78.94444444444494</v>
      </c>
      <c r="AE206" s="24">
        <f t="shared" si="51"/>
        <v>84.583333333333329</v>
      </c>
      <c r="AF206" s="25">
        <f t="shared" si="52"/>
        <v>67.66666666666741</v>
      </c>
      <c r="AG206" s="25">
        <f t="shared" si="53"/>
        <v>73.30555555555506</v>
      </c>
      <c r="AH206" s="25">
        <f t="shared" si="54"/>
        <v>78.94444444444494</v>
      </c>
      <c r="AI206" s="26">
        <f t="shared" si="55"/>
        <v>62.02777777777753</v>
      </c>
      <c r="AJ206" s="26">
        <f t="shared" si="56"/>
        <v>67.66666666666741</v>
      </c>
      <c r="AK206" s="26">
        <f t="shared" si="49"/>
        <v>73.30555555555506</v>
      </c>
    </row>
    <row r="207" spans="4:37" ht="20.100000000000001" customHeight="1">
      <c r="D207" s="27">
        <f t="shared" si="48"/>
        <v>0.56666666666666521</v>
      </c>
      <c r="E207" s="16">
        <f t="shared" si="47"/>
        <v>150.73333333333471</v>
      </c>
      <c r="F207" s="16">
        <f t="shared" si="47"/>
        <v>156.39999999999867</v>
      </c>
      <c r="G207" s="16">
        <f t="shared" si="47"/>
        <v>162.06666666666663</v>
      </c>
      <c r="H207" s="17">
        <f t="shared" si="47"/>
        <v>139.39999999999941</v>
      </c>
      <c r="I207" s="17">
        <f t="shared" si="47"/>
        <v>145.06666666666706</v>
      </c>
      <c r="J207" s="17">
        <f t="shared" si="47"/>
        <v>150.73333333333471</v>
      </c>
      <c r="K207" s="18">
        <f t="shared" si="47"/>
        <v>128.06666666666854</v>
      </c>
      <c r="L207" s="18">
        <f t="shared" si="47"/>
        <v>133.73333333333176</v>
      </c>
      <c r="M207" s="18">
        <f t="shared" si="47"/>
        <v>139.39999999999941</v>
      </c>
      <c r="N207" s="19">
        <f t="shared" si="47"/>
        <v>102</v>
      </c>
      <c r="O207" s="19">
        <f t="shared" si="47"/>
        <v>107.66666666666765</v>
      </c>
      <c r="P207" s="19">
        <f t="shared" si="47"/>
        <v>113.33333333333492</v>
      </c>
      <c r="Q207" s="20">
        <f t="shared" si="47"/>
        <v>96.333333333332348</v>
      </c>
      <c r="R207" s="20">
        <f t="shared" si="47"/>
        <v>102</v>
      </c>
      <c r="S207" s="20">
        <f t="shared" si="47"/>
        <v>107.66666666666765</v>
      </c>
      <c r="T207" s="21">
        <f t="shared" si="47"/>
        <v>90.666666666665904</v>
      </c>
      <c r="U207" s="21">
        <f t="shared" si="51"/>
        <v>96.333333333332348</v>
      </c>
      <c r="V207" s="21">
        <f t="shared" si="51"/>
        <v>102</v>
      </c>
      <c r="W207" s="22">
        <f t="shared" si="51"/>
        <v>85</v>
      </c>
      <c r="X207" s="22">
        <f t="shared" si="51"/>
        <v>90.666666666665904</v>
      </c>
      <c r="Y207" s="22">
        <f t="shared" si="51"/>
        <v>96.333333333332348</v>
      </c>
      <c r="Z207" s="23">
        <f t="shared" si="51"/>
        <v>79.333333333333826</v>
      </c>
      <c r="AA207" s="23">
        <f t="shared" si="51"/>
        <v>85</v>
      </c>
      <c r="AB207" s="23">
        <f t="shared" si="51"/>
        <v>90.666666666665904</v>
      </c>
      <c r="AC207" s="24">
        <f t="shared" si="51"/>
        <v>73.666666666666174</v>
      </c>
      <c r="AD207" s="24">
        <f t="shared" si="51"/>
        <v>79.333333333333826</v>
      </c>
      <c r="AE207" s="24">
        <f t="shared" si="51"/>
        <v>85</v>
      </c>
      <c r="AF207" s="25">
        <f t="shared" si="52"/>
        <v>68.000000000000739</v>
      </c>
      <c r="AG207" s="25">
        <f t="shared" si="53"/>
        <v>73.666666666666174</v>
      </c>
      <c r="AH207" s="25">
        <f t="shared" si="54"/>
        <v>79.333333333333826</v>
      </c>
      <c r="AI207" s="26">
        <f t="shared" si="55"/>
        <v>62.333333333333087</v>
      </c>
      <c r="AJ207" s="26">
        <f t="shared" si="56"/>
        <v>68.000000000000739</v>
      </c>
      <c r="AK207" s="26">
        <f t="shared" si="49"/>
        <v>73.666666666666174</v>
      </c>
    </row>
    <row r="208" spans="4:37" ht="20.100000000000001" customHeight="1">
      <c r="D208" s="27">
        <f t="shared" si="48"/>
        <v>0.56944444444444298</v>
      </c>
      <c r="E208" s="16">
        <f t="shared" si="47"/>
        <v>151.47222222222359</v>
      </c>
      <c r="F208" s="16">
        <f t="shared" si="47"/>
        <v>157.16666666666535</v>
      </c>
      <c r="G208" s="16">
        <f t="shared" si="47"/>
        <v>162.86111111111109</v>
      </c>
      <c r="H208" s="17">
        <f t="shared" si="47"/>
        <v>140.08333333333275</v>
      </c>
      <c r="I208" s="17">
        <f t="shared" si="47"/>
        <v>145.77777777777817</v>
      </c>
      <c r="J208" s="17">
        <f t="shared" si="47"/>
        <v>151.47222222222359</v>
      </c>
      <c r="K208" s="18">
        <f t="shared" si="47"/>
        <v>128.6944444444463</v>
      </c>
      <c r="L208" s="18">
        <f t="shared" si="47"/>
        <v>134.38888888888732</v>
      </c>
      <c r="M208" s="18">
        <f t="shared" si="47"/>
        <v>140.08333333333275</v>
      </c>
      <c r="N208" s="19">
        <f t="shared" si="47"/>
        <v>102.5</v>
      </c>
      <c r="O208" s="19">
        <f t="shared" si="47"/>
        <v>108.19444444444542</v>
      </c>
      <c r="P208" s="19">
        <f t="shared" si="47"/>
        <v>113.88888888889048</v>
      </c>
      <c r="Q208" s="20">
        <f t="shared" si="47"/>
        <v>96.805555555554577</v>
      </c>
      <c r="R208" s="20">
        <f t="shared" si="47"/>
        <v>102.5</v>
      </c>
      <c r="S208" s="20">
        <f t="shared" si="47"/>
        <v>108.19444444444542</v>
      </c>
      <c r="T208" s="21">
        <f t="shared" si="47"/>
        <v>91.111111111110347</v>
      </c>
      <c r="U208" s="21">
        <f t="shared" si="51"/>
        <v>96.805555555554577</v>
      </c>
      <c r="V208" s="21">
        <f t="shared" si="51"/>
        <v>102.5</v>
      </c>
      <c r="W208" s="22">
        <f t="shared" si="51"/>
        <v>85.416666666666671</v>
      </c>
      <c r="X208" s="22">
        <f t="shared" si="51"/>
        <v>91.111111111110347</v>
      </c>
      <c r="Y208" s="22">
        <f t="shared" si="51"/>
        <v>96.805555555554577</v>
      </c>
      <c r="Z208" s="23">
        <f t="shared" si="51"/>
        <v>79.722222222222712</v>
      </c>
      <c r="AA208" s="23">
        <f t="shared" si="51"/>
        <v>85.416666666666671</v>
      </c>
      <c r="AB208" s="23">
        <f t="shared" si="51"/>
        <v>91.111111111110347</v>
      </c>
      <c r="AC208" s="24">
        <f t="shared" si="51"/>
        <v>74.027777777777288</v>
      </c>
      <c r="AD208" s="24">
        <f t="shared" si="51"/>
        <v>79.722222222222712</v>
      </c>
      <c r="AE208" s="24">
        <f t="shared" si="51"/>
        <v>85.416666666666671</v>
      </c>
      <c r="AF208" s="25">
        <f t="shared" si="52"/>
        <v>68.333333333334068</v>
      </c>
      <c r="AG208" s="25">
        <f t="shared" si="53"/>
        <v>74.027777777777288</v>
      </c>
      <c r="AH208" s="25">
        <f t="shared" si="54"/>
        <v>79.722222222222712</v>
      </c>
      <c r="AI208" s="26">
        <f t="shared" si="55"/>
        <v>62.638888888888644</v>
      </c>
      <c r="AJ208" s="26">
        <f t="shared" si="56"/>
        <v>68.333333333334068</v>
      </c>
      <c r="AK208" s="26">
        <f t="shared" si="49"/>
        <v>74.027777777777288</v>
      </c>
    </row>
    <row r="209" spans="4:37" ht="20.100000000000001" customHeight="1">
      <c r="D209" s="27">
        <f t="shared" si="48"/>
        <v>0.57222222222222074</v>
      </c>
      <c r="E209" s="16">
        <f t="shared" si="47"/>
        <v>152.21111111111247</v>
      </c>
      <c r="F209" s="16">
        <f t="shared" si="47"/>
        <v>157.93333333333203</v>
      </c>
      <c r="G209" s="16">
        <f t="shared" si="47"/>
        <v>163.65555555555554</v>
      </c>
      <c r="H209" s="17">
        <f t="shared" si="47"/>
        <v>140.76666666666608</v>
      </c>
      <c r="I209" s="17">
        <f t="shared" si="47"/>
        <v>146.48888888888928</v>
      </c>
      <c r="J209" s="17">
        <f t="shared" si="47"/>
        <v>152.21111111111247</v>
      </c>
      <c r="K209" s="18">
        <f t="shared" si="47"/>
        <v>129.32222222222407</v>
      </c>
      <c r="L209" s="18">
        <f t="shared" si="47"/>
        <v>135.04444444444289</v>
      </c>
      <c r="M209" s="18">
        <f t="shared" si="47"/>
        <v>140.76666666666608</v>
      </c>
      <c r="N209" s="19">
        <f t="shared" si="47"/>
        <v>103</v>
      </c>
      <c r="O209" s="19">
        <f t="shared" si="47"/>
        <v>108.72222222222319</v>
      </c>
      <c r="P209" s="19">
        <f t="shared" si="47"/>
        <v>114.44444444444603</v>
      </c>
      <c r="Q209" s="20">
        <f t="shared" si="47"/>
        <v>97.277777777776805</v>
      </c>
      <c r="R209" s="20">
        <f t="shared" si="47"/>
        <v>103</v>
      </c>
      <c r="S209" s="20">
        <f t="shared" si="47"/>
        <v>108.72222222222319</v>
      </c>
      <c r="T209" s="21">
        <f>T210-(T$363/360)</f>
        <v>91.55555555555479</v>
      </c>
      <c r="U209" s="21">
        <f t="shared" si="51"/>
        <v>97.277777777776805</v>
      </c>
      <c r="V209" s="21">
        <f t="shared" si="51"/>
        <v>103</v>
      </c>
      <c r="W209" s="22">
        <f t="shared" si="51"/>
        <v>85.833333333333343</v>
      </c>
      <c r="X209" s="22">
        <f t="shared" si="51"/>
        <v>91.55555555555479</v>
      </c>
      <c r="Y209" s="22">
        <f t="shared" si="51"/>
        <v>97.277777777776805</v>
      </c>
      <c r="Z209" s="23">
        <f t="shared" si="51"/>
        <v>80.111111111111597</v>
      </c>
      <c r="AA209" s="23">
        <f t="shared" si="51"/>
        <v>85.833333333333343</v>
      </c>
      <c r="AB209" s="23">
        <f t="shared" si="51"/>
        <v>91.55555555555479</v>
      </c>
      <c r="AC209" s="24">
        <f t="shared" si="51"/>
        <v>74.388888888888403</v>
      </c>
      <c r="AD209" s="24">
        <f t="shared" si="51"/>
        <v>80.111111111111597</v>
      </c>
      <c r="AE209" s="24">
        <f t="shared" si="51"/>
        <v>85.833333333333343</v>
      </c>
      <c r="AF209" s="25">
        <f t="shared" si="52"/>
        <v>68.666666666667396</v>
      </c>
      <c r="AG209" s="25">
        <f t="shared" si="53"/>
        <v>74.388888888888403</v>
      </c>
      <c r="AH209" s="25">
        <f t="shared" si="54"/>
        <v>80.111111111111597</v>
      </c>
      <c r="AI209" s="26">
        <f t="shared" si="55"/>
        <v>62.944444444444201</v>
      </c>
      <c r="AJ209" s="26">
        <f t="shared" si="56"/>
        <v>68.666666666667396</v>
      </c>
      <c r="AK209" s="26">
        <f t="shared" si="49"/>
        <v>74.388888888888403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152.95000000000135</v>
      </c>
      <c r="F210" s="16">
        <f t="shared" si="57"/>
        <v>158.69999999999871</v>
      </c>
      <c r="G210" s="16">
        <f t="shared" si="57"/>
        <v>164.45</v>
      </c>
      <c r="H210" s="17">
        <f t="shared" si="57"/>
        <v>141.44999999999942</v>
      </c>
      <c r="I210" s="17">
        <f t="shared" si="57"/>
        <v>147.20000000000039</v>
      </c>
      <c r="J210" s="17">
        <f t="shared" si="57"/>
        <v>152.95000000000135</v>
      </c>
      <c r="K210" s="18">
        <f t="shared" si="57"/>
        <v>129.95000000000184</v>
      </c>
      <c r="L210" s="18">
        <f t="shared" si="57"/>
        <v>135.69999999999845</v>
      </c>
      <c r="M210" s="18">
        <f t="shared" si="57"/>
        <v>141.44999999999942</v>
      </c>
      <c r="N210" s="19">
        <f t="shared" si="57"/>
        <v>103.5</v>
      </c>
      <c r="O210" s="19">
        <f t="shared" si="57"/>
        <v>109.25000000000097</v>
      </c>
      <c r="P210" s="19">
        <f t="shared" si="57"/>
        <v>115.00000000000159</v>
      </c>
      <c r="Q210" s="20">
        <f t="shared" si="57"/>
        <v>97.749999999999034</v>
      </c>
      <c r="R210" s="20">
        <f t="shared" si="57"/>
        <v>103.5</v>
      </c>
      <c r="S210" s="20">
        <f t="shared" si="57"/>
        <v>109.25000000000097</v>
      </c>
      <c r="T210" s="21">
        <f t="shared" si="57"/>
        <v>91.999999999999233</v>
      </c>
      <c r="U210" s="21">
        <f t="shared" si="51"/>
        <v>97.749999999999034</v>
      </c>
      <c r="V210" s="21">
        <f t="shared" si="51"/>
        <v>103.5</v>
      </c>
      <c r="W210" s="22">
        <f t="shared" si="51"/>
        <v>86.250000000000014</v>
      </c>
      <c r="X210" s="22">
        <f t="shared" si="51"/>
        <v>91.999999999999233</v>
      </c>
      <c r="Y210" s="22">
        <f t="shared" si="51"/>
        <v>97.749999999999034</v>
      </c>
      <c r="Z210" s="23">
        <f t="shared" si="51"/>
        <v>80.500000000000483</v>
      </c>
      <c r="AA210" s="23">
        <f t="shared" si="51"/>
        <v>86.250000000000014</v>
      </c>
      <c r="AB210" s="23">
        <f t="shared" si="51"/>
        <v>91.999999999999233</v>
      </c>
      <c r="AC210" s="24">
        <f t="shared" si="51"/>
        <v>74.749999999999517</v>
      </c>
      <c r="AD210" s="24">
        <f t="shared" si="51"/>
        <v>80.500000000000483</v>
      </c>
      <c r="AE210" s="24">
        <f t="shared" si="51"/>
        <v>86.250000000000014</v>
      </c>
      <c r="AF210" s="25">
        <f t="shared" si="52"/>
        <v>69.000000000000725</v>
      </c>
      <c r="AG210" s="25">
        <f t="shared" si="53"/>
        <v>74.749999999999517</v>
      </c>
      <c r="AH210" s="25">
        <f t="shared" si="54"/>
        <v>80.500000000000483</v>
      </c>
      <c r="AI210" s="26">
        <f t="shared" si="55"/>
        <v>63.249999999999758</v>
      </c>
      <c r="AJ210" s="26">
        <f t="shared" si="56"/>
        <v>69.000000000000725</v>
      </c>
      <c r="AK210" s="26">
        <f t="shared" si="49"/>
        <v>74.749999999999517</v>
      </c>
    </row>
    <row r="211" spans="4:37" ht="20.100000000000001" customHeight="1">
      <c r="D211" s="27">
        <f t="shared" si="48"/>
        <v>0.57777777777777628</v>
      </c>
      <c r="E211" s="16">
        <f t="shared" si="57"/>
        <v>153.68888888889023</v>
      </c>
      <c r="F211" s="16">
        <f t="shared" si="57"/>
        <v>159.46666666666539</v>
      </c>
      <c r="G211" s="16">
        <f t="shared" si="57"/>
        <v>165.24444444444444</v>
      </c>
      <c r="H211" s="17">
        <f t="shared" si="57"/>
        <v>142.13333333333276</v>
      </c>
      <c r="I211" s="17">
        <f t="shared" si="57"/>
        <v>147.9111111111115</v>
      </c>
      <c r="J211" s="17">
        <f t="shared" si="57"/>
        <v>153.68888888889023</v>
      </c>
      <c r="K211" s="18">
        <f t="shared" si="57"/>
        <v>130.5777777777796</v>
      </c>
      <c r="L211" s="18">
        <f t="shared" si="57"/>
        <v>136.35555555555402</v>
      </c>
      <c r="M211" s="18">
        <f t="shared" si="57"/>
        <v>142.13333333333276</v>
      </c>
      <c r="N211" s="19">
        <f t="shared" si="57"/>
        <v>104</v>
      </c>
      <c r="O211" s="19">
        <f t="shared" si="57"/>
        <v>109.77777777777874</v>
      </c>
      <c r="P211" s="19">
        <f t="shared" si="57"/>
        <v>115.55555555555715</v>
      </c>
      <c r="Q211" s="20">
        <f t="shared" si="57"/>
        <v>98.222222222221262</v>
      </c>
      <c r="R211" s="20">
        <f t="shared" si="57"/>
        <v>104</v>
      </c>
      <c r="S211" s="20">
        <f t="shared" si="57"/>
        <v>109.77777777777874</v>
      </c>
      <c r="T211" s="21">
        <f t="shared" si="57"/>
        <v>92.444444444443675</v>
      </c>
      <c r="U211" s="21">
        <f t="shared" si="51"/>
        <v>98.222222222221262</v>
      </c>
      <c r="V211" s="21">
        <f t="shared" si="51"/>
        <v>104</v>
      </c>
      <c r="W211" s="22">
        <f t="shared" si="51"/>
        <v>86.666666666666686</v>
      </c>
      <c r="X211" s="22">
        <f t="shared" si="51"/>
        <v>92.444444444443675</v>
      </c>
      <c r="Y211" s="22">
        <f t="shared" si="51"/>
        <v>98.222222222221262</v>
      </c>
      <c r="Z211" s="23">
        <f t="shared" si="51"/>
        <v>80.888888888889369</v>
      </c>
      <c r="AA211" s="23">
        <f t="shared" si="51"/>
        <v>86.666666666666686</v>
      </c>
      <c r="AB211" s="23">
        <f t="shared" si="51"/>
        <v>92.444444444443675</v>
      </c>
      <c r="AC211" s="24">
        <f t="shared" si="51"/>
        <v>75.111111111110631</v>
      </c>
      <c r="AD211" s="24">
        <f t="shared" si="51"/>
        <v>80.888888888889369</v>
      </c>
      <c r="AE211" s="24">
        <f t="shared" si="51"/>
        <v>86.666666666666686</v>
      </c>
      <c r="AF211" s="25">
        <f t="shared" si="52"/>
        <v>69.333333333334053</v>
      </c>
      <c r="AG211" s="25">
        <f t="shared" si="53"/>
        <v>75.111111111110631</v>
      </c>
      <c r="AH211" s="25">
        <f t="shared" si="54"/>
        <v>80.888888888889369</v>
      </c>
      <c r="AI211" s="26">
        <f t="shared" si="55"/>
        <v>63.555555555555316</v>
      </c>
      <c r="AJ211" s="26">
        <f t="shared" si="56"/>
        <v>69.333333333334053</v>
      </c>
      <c r="AK211" s="26">
        <f t="shared" si="49"/>
        <v>75.111111111110631</v>
      </c>
    </row>
    <row r="212" spans="4:37" ht="20.100000000000001" customHeight="1">
      <c r="D212" s="27">
        <f t="shared" si="48"/>
        <v>0.58055555555555405</v>
      </c>
      <c r="E212" s="16">
        <f t="shared" si="57"/>
        <v>154.42777777777911</v>
      </c>
      <c r="F212" s="16">
        <f t="shared" si="57"/>
        <v>160.23333333333207</v>
      </c>
      <c r="G212" s="16">
        <f t="shared" si="57"/>
        <v>166.03888888888889</v>
      </c>
      <c r="H212" s="17">
        <f t="shared" si="57"/>
        <v>142.81666666666609</v>
      </c>
      <c r="I212" s="17">
        <f t="shared" si="57"/>
        <v>148.6222222222226</v>
      </c>
      <c r="J212" s="17">
        <f t="shared" si="57"/>
        <v>154.42777777777911</v>
      </c>
      <c r="K212" s="18">
        <f t="shared" si="57"/>
        <v>131.20555555555737</v>
      </c>
      <c r="L212" s="18">
        <f t="shared" si="57"/>
        <v>137.01111111110959</v>
      </c>
      <c r="M212" s="18">
        <f t="shared" si="57"/>
        <v>142.81666666666609</v>
      </c>
      <c r="N212" s="19">
        <f t="shared" si="57"/>
        <v>104.5</v>
      </c>
      <c r="O212" s="19">
        <f t="shared" si="57"/>
        <v>110.30555555555651</v>
      </c>
      <c r="P212" s="19">
        <f t="shared" si="57"/>
        <v>116.11111111111271</v>
      </c>
      <c r="Q212" s="20">
        <f t="shared" si="57"/>
        <v>98.694444444443491</v>
      </c>
      <c r="R212" s="20">
        <f t="shared" si="57"/>
        <v>104.5</v>
      </c>
      <c r="S212" s="20">
        <f t="shared" si="57"/>
        <v>110.30555555555651</v>
      </c>
      <c r="T212" s="21">
        <f t="shared" si="57"/>
        <v>92.888888888888118</v>
      </c>
      <c r="U212" s="21">
        <f t="shared" si="51"/>
        <v>98.694444444443491</v>
      </c>
      <c r="V212" s="21">
        <f t="shared" si="51"/>
        <v>104.5</v>
      </c>
      <c r="W212" s="22">
        <f t="shared" si="51"/>
        <v>87.083333333333357</v>
      </c>
      <c r="X212" s="22">
        <f t="shared" si="51"/>
        <v>92.888888888888118</v>
      </c>
      <c r="Y212" s="22">
        <f t="shared" si="51"/>
        <v>98.694444444443491</v>
      </c>
      <c r="Z212" s="23">
        <f t="shared" si="51"/>
        <v>81.277777777778255</v>
      </c>
      <c r="AA212" s="23">
        <f t="shared" si="51"/>
        <v>87.083333333333357</v>
      </c>
      <c r="AB212" s="23">
        <f t="shared" si="51"/>
        <v>92.888888888888118</v>
      </c>
      <c r="AC212" s="24">
        <f t="shared" si="51"/>
        <v>75.472222222221745</v>
      </c>
      <c r="AD212" s="24">
        <f t="shared" si="51"/>
        <v>81.277777777778255</v>
      </c>
      <c r="AE212" s="24">
        <f t="shared" si="51"/>
        <v>87.083333333333357</v>
      </c>
      <c r="AF212" s="25">
        <f t="shared" si="52"/>
        <v>69.666666666667382</v>
      </c>
      <c r="AG212" s="25">
        <f t="shared" si="53"/>
        <v>75.472222222221745</v>
      </c>
      <c r="AH212" s="25">
        <f t="shared" si="54"/>
        <v>81.277777777778255</v>
      </c>
      <c r="AI212" s="26">
        <f t="shared" si="55"/>
        <v>63.861111111110873</v>
      </c>
      <c r="AJ212" s="26">
        <f t="shared" si="56"/>
        <v>69.666666666667382</v>
      </c>
      <c r="AK212" s="26">
        <f t="shared" si="49"/>
        <v>75.472222222221745</v>
      </c>
    </row>
    <row r="213" spans="4:37" ht="20.100000000000001" customHeight="1">
      <c r="D213" s="27">
        <f t="shared" si="48"/>
        <v>0.58333333333333182</v>
      </c>
      <c r="E213" s="16">
        <f t="shared" si="57"/>
        <v>155.16666666666799</v>
      </c>
      <c r="F213" s="16">
        <f t="shared" si="57"/>
        <v>160.99999999999875</v>
      </c>
      <c r="G213" s="16">
        <f t="shared" si="57"/>
        <v>166.83333333333334</v>
      </c>
      <c r="H213" s="17">
        <f t="shared" si="57"/>
        <v>143.49999999999943</v>
      </c>
      <c r="I213" s="17">
        <f t="shared" si="57"/>
        <v>149.33333333333371</v>
      </c>
      <c r="J213" s="17">
        <f t="shared" si="57"/>
        <v>155.16666666666799</v>
      </c>
      <c r="K213" s="18">
        <f t="shared" si="57"/>
        <v>131.83333333333513</v>
      </c>
      <c r="L213" s="18">
        <f t="shared" si="57"/>
        <v>137.66666666666515</v>
      </c>
      <c r="M213" s="18">
        <f t="shared" si="57"/>
        <v>143.49999999999943</v>
      </c>
      <c r="N213" s="19">
        <f t="shared" si="57"/>
        <v>105</v>
      </c>
      <c r="O213" s="19">
        <f t="shared" si="57"/>
        <v>110.83333333333428</v>
      </c>
      <c r="P213" s="19">
        <f t="shared" si="57"/>
        <v>116.66666666666826</v>
      </c>
      <c r="Q213" s="20">
        <f t="shared" si="57"/>
        <v>99.166666666665719</v>
      </c>
      <c r="R213" s="20">
        <f t="shared" si="57"/>
        <v>105</v>
      </c>
      <c r="S213" s="20">
        <f t="shared" si="57"/>
        <v>110.83333333333428</v>
      </c>
      <c r="T213" s="21">
        <f t="shared" si="57"/>
        <v>93.333333333332561</v>
      </c>
      <c r="U213" s="21">
        <f t="shared" si="51"/>
        <v>99.166666666665719</v>
      </c>
      <c r="V213" s="21">
        <f t="shared" si="51"/>
        <v>105</v>
      </c>
      <c r="W213" s="22">
        <f t="shared" si="51"/>
        <v>87.500000000000028</v>
      </c>
      <c r="X213" s="22">
        <f t="shared" si="51"/>
        <v>93.333333333332561</v>
      </c>
      <c r="Y213" s="22">
        <f t="shared" si="51"/>
        <v>99.166666666665719</v>
      </c>
      <c r="Z213" s="23">
        <f t="shared" si="51"/>
        <v>81.66666666666714</v>
      </c>
      <c r="AA213" s="23">
        <f t="shared" si="51"/>
        <v>87.500000000000028</v>
      </c>
      <c r="AB213" s="23">
        <f t="shared" si="51"/>
        <v>93.333333333332561</v>
      </c>
      <c r="AC213" s="24">
        <f t="shared" si="51"/>
        <v>75.83333333333286</v>
      </c>
      <c r="AD213" s="24">
        <f t="shared" si="51"/>
        <v>81.66666666666714</v>
      </c>
      <c r="AE213" s="24">
        <f t="shared" si="51"/>
        <v>87.500000000000028</v>
      </c>
      <c r="AF213" s="25">
        <f t="shared" si="52"/>
        <v>70.000000000000711</v>
      </c>
      <c r="AG213" s="25">
        <f t="shared" si="53"/>
        <v>75.83333333333286</v>
      </c>
      <c r="AH213" s="25">
        <f t="shared" si="54"/>
        <v>81.66666666666714</v>
      </c>
      <c r="AI213" s="26">
        <f t="shared" si="55"/>
        <v>64.16666666666643</v>
      </c>
      <c r="AJ213" s="26">
        <f t="shared" si="56"/>
        <v>70.000000000000711</v>
      </c>
      <c r="AK213" s="26">
        <f t="shared" si="49"/>
        <v>75.83333333333286</v>
      </c>
    </row>
    <row r="214" spans="4:37" ht="20.100000000000001" customHeight="1">
      <c r="D214" s="27">
        <f t="shared" si="48"/>
        <v>0.58611111111110958</v>
      </c>
      <c r="E214" s="16">
        <f t="shared" si="57"/>
        <v>155.90555555555687</v>
      </c>
      <c r="F214" s="16">
        <f t="shared" si="57"/>
        <v>161.76666666666543</v>
      </c>
      <c r="G214" s="16">
        <f t="shared" si="57"/>
        <v>167.62777777777779</v>
      </c>
      <c r="H214" s="17">
        <f t="shared" si="57"/>
        <v>144.18333333333277</v>
      </c>
      <c r="I214" s="17">
        <f t="shared" si="57"/>
        <v>150.04444444444482</v>
      </c>
      <c r="J214" s="17">
        <f t="shared" si="57"/>
        <v>155.90555555555687</v>
      </c>
      <c r="K214" s="18">
        <f t="shared" si="57"/>
        <v>132.4611111111129</v>
      </c>
      <c r="L214" s="18">
        <f t="shared" si="57"/>
        <v>138.32222222222072</v>
      </c>
      <c r="M214" s="18">
        <f t="shared" si="57"/>
        <v>144.18333333333277</v>
      </c>
      <c r="N214" s="19">
        <f t="shared" si="57"/>
        <v>105.5</v>
      </c>
      <c r="O214" s="19">
        <f t="shared" si="57"/>
        <v>111.36111111111205</v>
      </c>
      <c r="P214" s="19">
        <f t="shared" si="57"/>
        <v>117.22222222222382</v>
      </c>
      <c r="Q214" s="20">
        <f t="shared" si="57"/>
        <v>99.638888888887948</v>
      </c>
      <c r="R214" s="20">
        <f t="shared" si="57"/>
        <v>105.5</v>
      </c>
      <c r="S214" s="20">
        <f t="shared" si="57"/>
        <v>111.36111111111205</v>
      </c>
      <c r="T214" s="21">
        <f t="shared" si="57"/>
        <v>93.777777777777004</v>
      </c>
      <c r="U214" s="21">
        <f t="shared" si="51"/>
        <v>99.638888888887948</v>
      </c>
      <c r="V214" s="21">
        <f t="shared" si="51"/>
        <v>105.5</v>
      </c>
      <c r="W214" s="22">
        <f t="shared" si="51"/>
        <v>87.9166666666667</v>
      </c>
      <c r="X214" s="22">
        <f t="shared" si="51"/>
        <v>93.777777777777004</v>
      </c>
      <c r="Y214" s="22">
        <f t="shared" si="51"/>
        <v>99.638888888887948</v>
      </c>
      <c r="Z214" s="23">
        <f t="shared" si="51"/>
        <v>82.055555555556026</v>
      </c>
      <c r="AA214" s="23">
        <f t="shared" si="51"/>
        <v>87.9166666666667</v>
      </c>
      <c r="AB214" s="23">
        <f t="shared" si="51"/>
        <v>93.777777777777004</v>
      </c>
      <c r="AC214" s="24">
        <f t="shared" si="51"/>
        <v>76.194444444443974</v>
      </c>
      <c r="AD214" s="24">
        <f t="shared" si="51"/>
        <v>82.055555555556026</v>
      </c>
      <c r="AE214" s="24">
        <f t="shared" si="51"/>
        <v>87.9166666666667</v>
      </c>
      <c r="AF214" s="25">
        <f t="shared" si="52"/>
        <v>70.333333333334039</v>
      </c>
      <c r="AG214" s="25">
        <f t="shared" si="53"/>
        <v>76.194444444443974</v>
      </c>
      <c r="AH214" s="25">
        <f t="shared" si="54"/>
        <v>82.055555555556026</v>
      </c>
      <c r="AI214" s="26">
        <f t="shared" si="55"/>
        <v>64.472222222221987</v>
      </c>
      <c r="AJ214" s="26">
        <f t="shared" si="56"/>
        <v>70.333333333334039</v>
      </c>
      <c r="AK214" s="26">
        <f t="shared" si="49"/>
        <v>76.194444444443974</v>
      </c>
    </row>
    <row r="215" spans="4:37" ht="20.100000000000001" customHeight="1">
      <c r="D215" s="27">
        <f t="shared" si="48"/>
        <v>0.58888888888888735</v>
      </c>
      <c r="E215" s="16">
        <f t="shared" si="57"/>
        <v>156.64444444444575</v>
      </c>
      <c r="F215" s="16">
        <f t="shared" si="57"/>
        <v>162.53333333333211</v>
      </c>
      <c r="G215" s="16">
        <f t="shared" si="57"/>
        <v>168.42222222222225</v>
      </c>
      <c r="H215" s="17">
        <f t="shared" si="57"/>
        <v>144.86666666666611</v>
      </c>
      <c r="I215" s="17">
        <f t="shared" si="57"/>
        <v>150.75555555555593</v>
      </c>
      <c r="J215" s="17">
        <f t="shared" si="57"/>
        <v>156.64444444444575</v>
      </c>
      <c r="K215" s="18">
        <f t="shared" si="57"/>
        <v>133.08888888889066</v>
      </c>
      <c r="L215" s="18">
        <f t="shared" si="57"/>
        <v>138.97777777777628</v>
      </c>
      <c r="M215" s="18">
        <f t="shared" si="57"/>
        <v>144.86666666666611</v>
      </c>
      <c r="N215" s="19">
        <f t="shared" si="57"/>
        <v>106</v>
      </c>
      <c r="O215" s="19">
        <f t="shared" si="57"/>
        <v>111.88888888888982</v>
      </c>
      <c r="P215" s="19">
        <f t="shared" si="57"/>
        <v>117.77777777777938</v>
      </c>
      <c r="Q215" s="20">
        <f t="shared" si="57"/>
        <v>100.11111111111018</v>
      </c>
      <c r="R215" s="20">
        <f t="shared" si="57"/>
        <v>106</v>
      </c>
      <c r="S215" s="20">
        <f t="shared" si="57"/>
        <v>111.88888888888982</v>
      </c>
      <c r="T215" s="21">
        <f t="shared" si="57"/>
        <v>94.222222222221447</v>
      </c>
      <c r="U215" s="21">
        <f t="shared" si="51"/>
        <v>100.11111111111018</v>
      </c>
      <c r="V215" s="21">
        <f t="shared" si="51"/>
        <v>106</v>
      </c>
      <c r="W215" s="22">
        <f t="shared" si="51"/>
        <v>88.333333333333371</v>
      </c>
      <c r="X215" s="22">
        <f t="shared" si="51"/>
        <v>94.222222222221447</v>
      </c>
      <c r="Y215" s="22">
        <f t="shared" si="51"/>
        <v>100.11111111111018</v>
      </c>
      <c r="Z215" s="23">
        <f t="shared" si="51"/>
        <v>82.444444444444912</v>
      </c>
      <c r="AA215" s="23">
        <f t="shared" si="51"/>
        <v>88.333333333333371</v>
      </c>
      <c r="AB215" s="23">
        <f t="shared" si="51"/>
        <v>94.222222222221447</v>
      </c>
      <c r="AC215" s="24">
        <f t="shared" si="51"/>
        <v>76.555555555555088</v>
      </c>
      <c r="AD215" s="24">
        <f t="shared" si="51"/>
        <v>82.444444444444912</v>
      </c>
      <c r="AE215" s="24">
        <f t="shared" si="51"/>
        <v>88.333333333333371</v>
      </c>
      <c r="AF215" s="25">
        <f t="shared" si="51"/>
        <v>70.666666666667368</v>
      </c>
      <c r="AG215" s="25">
        <f t="shared" si="51"/>
        <v>76.555555555555088</v>
      </c>
      <c r="AH215" s="25">
        <f t="shared" ref="AH215:AJ216" si="58">AH216-(AH$363/360)</f>
        <v>82.444444444444912</v>
      </c>
      <c r="AI215" s="26">
        <f t="shared" si="58"/>
        <v>64.777777777777544</v>
      </c>
      <c r="AJ215" s="26">
        <f t="shared" si="58"/>
        <v>70.666666666667368</v>
      </c>
      <c r="AK215" s="26">
        <f t="shared" si="49"/>
        <v>76.555555555555088</v>
      </c>
    </row>
    <row r="216" spans="4:37" ht="20.100000000000001" customHeight="1">
      <c r="D216" s="27">
        <f t="shared" si="48"/>
        <v>0.59166666666666512</v>
      </c>
      <c r="E216" s="16">
        <f t="shared" si="57"/>
        <v>157.38333333333463</v>
      </c>
      <c r="F216" s="16">
        <f t="shared" si="57"/>
        <v>163.29999999999879</v>
      </c>
      <c r="G216" s="16">
        <f t="shared" si="57"/>
        <v>169.2166666666667</v>
      </c>
      <c r="H216" s="17">
        <f t="shared" si="57"/>
        <v>145.54999999999944</v>
      </c>
      <c r="I216" s="17">
        <f t="shared" si="57"/>
        <v>151.46666666666704</v>
      </c>
      <c r="J216" s="17">
        <f t="shared" si="57"/>
        <v>157.38333333333463</v>
      </c>
      <c r="K216" s="18">
        <f t="shared" si="57"/>
        <v>133.71666666666843</v>
      </c>
      <c r="L216" s="18">
        <f t="shared" si="57"/>
        <v>139.63333333333185</v>
      </c>
      <c r="M216" s="18">
        <f t="shared" si="57"/>
        <v>145.54999999999944</v>
      </c>
      <c r="N216" s="19">
        <f t="shared" si="57"/>
        <v>106.5</v>
      </c>
      <c r="O216" s="19">
        <f t="shared" si="57"/>
        <v>112.4166666666676</v>
      </c>
      <c r="P216" s="19">
        <f t="shared" si="57"/>
        <v>118.33333333333493</v>
      </c>
      <c r="Q216" s="20">
        <f t="shared" si="57"/>
        <v>100.5833333333324</v>
      </c>
      <c r="R216" s="20">
        <f t="shared" si="57"/>
        <v>106.5</v>
      </c>
      <c r="S216" s="20">
        <f t="shared" si="57"/>
        <v>112.4166666666676</v>
      </c>
      <c r="T216" s="21">
        <f t="shared" si="57"/>
        <v>94.66666666666589</v>
      </c>
      <c r="U216" s="21">
        <f t="shared" si="51"/>
        <v>100.5833333333324</v>
      </c>
      <c r="V216" s="21">
        <f t="shared" si="51"/>
        <v>106.5</v>
      </c>
      <c r="W216" s="22">
        <f t="shared" si="51"/>
        <v>88.750000000000043</v>
      </c>
      <c r="X216" s="22">
        <f t="shared" si="51"/>
        <v>94.66666666666589</v>
      </c>
      <c r="Y216" s="22">
        <f t="shared" si="51"/>
        <v>100.5833333333324</v>
      </c>
      <c r="Z216" s="23">
        <f t="shared" si="51"/>
        <v>82.833333333333798</v>
      </c>
      <c r="AA216" s="23">
        <f t="shared" si="51"/>
        <v>88.750000000000043</v>
      </c>
      <c r="AB216" s="23">
        <f t="shared" si="51"/>
        <v>94.66666666666589</v>
      </c>
      <c r="AC216" s="24">
        <f t="shared" si="51"/>
        <v>76.916666666666202</v>
      </c>
      <c r="AD216" s="24">
        <f t="shared" si="51"/>
        <v>82.833333333333798</v>
      </c>
      <c r="AE216" s="24">
        <f t="shared" si="51"/>
        <v>88.750000000000043</v>
      </c>
      <c r="AF216" s="25">
        <f t="shared" si="51"/>
        <v>71.000000000000696</v>
      </c>
      <c r="AG216" s="25">
        <f t="shared" si="51"/>
        <v>76.916666666666202</v>
      </c>
      <c r="AH216" s="25">
        <f t="shared" si="58"/>
        <v>82.833333333333798</v>
      </c>
      <c r="AI216" s="26">
        <f t="shared" si="58"/>
        <v>65.083333333333101</v>
      </c>
      <c r="AJ216" s="26">
        <f t="shared" si="58"/>
        <v>71.000000000000696</v>
      </c>
      <c r="AK216" s="26">
        <f t="shared" si="49"/>
        <v>76.916666666666202</v>
      </c>
    </row>
    <row r="217" spans="4:37" ht="20.100000000000001" customHeight="1">
      <c r="D217" s="27">
        <f t="shared" si="48"/>
        <v>0.59444444444444289</v>
      </c>
      <c r="E217" s="16">
        <f t="shared" si="57"/>
        <v>158.12222222222351</v>
      </c>
      <c r="F217" s="16">
        <f t="shared" si="57"/>
        <v>164.06666666666547</v>
      </c>
      <c r="G217" s="16">
        <f t="shared" si="57"/>
        <v>170.01111111111115</v>
      </c>
      <c r="H217" s="17">
        <f t="shared" si="57"/>
        <v>146.23333333333278</v>
      </c>
      <c r="I217" s="17">
        <f t="shared" si="57"/>
        <v>152.17777777777815</v>
      </c>
      <c r="J217" s="17">
        <f t="shared" si="57"/>
        <v>158.12222222222351</v>
      </c>
      <c r="K217" s="18">
        <f t="shared" si="57"/>
        <v>134.3444444444462</v>
      </c>
      <c r="L217" s="18">
        <f t="shared" si="57"/>
        <v>140.28888888888741</v>
      </c>
      <c r="M217" s="18">
        <f t="shared" si="57"/>
        <v>146.23333333333278</v>
      </c>
      <c r="N217" s="19">
        <f t="shared" si="57"/>
        <v>107</v>
      </c>
      <c r="O217" s="19">
        <f t="shared" si="57"/>
        <v>112.94444444444537</v>
      </c>
      <c r="P217" s="19">
        <f t="shared" si="57"/>
        <v>118.88888888889049</v>
      </c>
      <c r="Q217" s="20">
        <f t="shared" si="57"/>
        <v>101.05555555555463</v>
      </c>
      <c r="R217" s="20">
        <f t="shared" si="57"/>
        <v>107</v>
      </c>
      <c r="S217" s="20">
        <f t="shared" si="57"/>
        <v>112.94444444444537</v>
      </c>
      <c r="T217" s="21">
        <f t="shared" si="57"/>
        <v>95.111111111110333</v>
      </c>
      <c r="U217" s="21">
        <f t="shared" si="51"/>
        <v>101.05555555555463</v>
      </c>
      <c r="V217" s="21">
        <f t="shared" si="51"/>
        <v>107</v>
      </c>
      <c r="W217" s="22">
        <f t="shared" si="51"/>
        <v>89.166666666666714</v>
      </c>
      <c r="X217" s="22">
        <f t="shared" si="51"/>
        <v>95.111111111110333</v>
      </c>
      <c r="Y217" s="22">
        <f t="shared" si="51"/>
        <v>101.05555555555463</v>
      </c>
      <c r="Z217" s="23">
        <f t="shared" si="51"/>
        <v>83.222222222222683</v>
      </c>
      <c r="AA217" s="23">
        <f t="shared" si="51"/>
        <v>89.166666666666714</v>
      </c>
      <c r="AB217" s="23">
        <f t="shared" si="51"/>
        <v>95.111111111110333</v>
      </c>
      <c r="AC217" s="24">
        <f t="shared" si="51"/>
        <v>77.277777777777317</v>
      </c>
      <c r="AD217" s="24">
        <f t="shared" si="51"/>
        <v>83.222222222222683</v>
      </c>
      <c r="AE217" s="24">
        <f t="shared" si="51"/>
        <v>89.166666666666714</v>
      </c>
      <c r="AF217" s="25">
        <f t="shared" si="51"/>
        <v>71.333333333334025</v>
      </c>
      <c r="AG217" s="25">
        <f t="shared" si="51"/>
        <v>77.277777777777317</v>
      </c>
      <c r="AH217" s="25">
        <f t="shared" si="51"/>
        <v>83.222222222222683</v>
      </c>
      <c r="AI217" s="26">
        <f t="shared" si="51"/>
        <v>65.388888888888658</v>
      </c>
      <c r="AJ217" s="26">
        <f t="shared" ref="AJ217:AJ233" si="59">AJ218-(AJ$363/360)</f>
        <v>71.333333333334025</v>
      </c>
      <c r="AK217" s="26">
        <f t="shared" si="49"/>
        <v>77.277777777777317</v>
      </c>
    </row>
    <row r="218" spans="4:37" ht="20.100000000000001" customHeight="1">
      <c r="D218" s="27">
        <f t="shared" si="48"/>
        <v>0.59722222222222066</v>
      </c>
      <c r="E218" s="16">
        <f t="shared" si="57"/>
        <v>158.86111111111239</v>
      </c>
      <c r="F218" s="16">
        <f t="shared" si="57"/>
        <v>164.83333333333215</v>
      </c>
      <c r="G218" s="16">
        <f t="shared" si="57"/>
        <v>170.8055555555556</v>
      </c>
      <c r="H218" s="17">
        <f t="shared" si="57"/>
        <v>146.91666666666612</v>
      </c>
      <c r="I218" s="17">
        <f t="shared" si="57"/>
        <v>152.88888888888926</v>
      </c>
      <c r="J218" s="17">
        <f t="shared" si="57"/>
        <v>158.86111111111239</v>
      </c>
      <c r="K218" s="18">
        <f t="shared" si="57"/>
        <v>134.97222222222396</v>
      </c>
      <c r="L218" s="18">
        <f t="shared" si="57"/>
        <v>140.94444444444298</v>
      </c>
      <c r="M218" s="18">
        <f t="shared" si="57"/>
        <v>146.91666666666612</v>
      </c>
      <c r="N218" s="19">
        <f t="shared" si="57"/>
        <v>107.5</v>
      </c>
      <c r="O218" s="19">
        <f t="shared" si="57"/>
        <v>113.47222222222314</v>
      </c>
      <c r="P218" s="19">
        <f t="shared" si="57"/>
        <v>119.44444444444605</v>
      </c>
      <c r="Q218" s="20">
        <f t="shared" si="57"/>
        <v>101.52777777777686</v>
      </c>
      <c r="R218" s="20">
        <f t="shared" si="57"/>
        <v>107.5</v>
      </c>
      <c r="S218" s="20">
        <f t="shared" si="57"/>
        <v>113.47222222222314</v>
      </c>
      <c r="T218" s="21">
        <f t="shared" si="57"/>
        <v>95.555555555554776</v>
      </c>
      <c r="U218" s="21">
        <f t="shared" si="51"/>
        <v>101.52777777777686</v>
      </c>
      <c r="V218" s="21">
        <f t="shared" si="51"/>
        <v>107.5</v>
      </c>
      <c r="W218" s="22">
        <f t="shared" si="51"/>
        <v>89.583333333333385</v>
      </c>
      <c r="X218" s="22">
        <f t="shared" si="51"/>
        <v>95.555555555554776</v>
      </c>
      <c r="Y218" s="22">
        <f t="shared" si="51"/>
        <v>101.52777777777686</v>
      </c>
      <c r="Z218" s="23">
        <f t="shared" si="51"/>
        <v>83.611111111111569</v>
      </c>
      <c r="AA218" s="23">
        <f t="shared" si="51"/>
        <v>89.583333333333385</v>
      </c>
      <c r="AB218" s="23">
        <f t="shared" si="51"/>
        <v>95.555555555554776</v>
      </c>
      <c r="AC218" s="24">
        <f t="shared" si="51"/>
        <v>77.638888888888431</v>
      </c>
      <c r="AD218" s="24">
        <f t="shared" si="51"/>
        <v>83.611111111111569</v>
      </c>
      <c r="AE218" s="24">
        <f t="shared" si="51"/>
        <v>89.583333333333385</v>
      </c>
      <c r="AF218" s="25">
        <f t="shared" si="51"/>
        <v>71.666666666667354</v>
      </c>
      <c r="AG218" s="25">
        <f t="shared" si="51"/>
        <v>77.638888888888431</v>
      </c>
      <c r="AH218" s="25">
        <f t="shared" si="51"/>
        <v>83.611111111111569</v>
      </c>
      <c r="AI218" s="26">
        <f t="shared" si="51"/>
        <v>65.694444444444215</v>
      </c>
      <c r="AJ218" s="26">
        <f t="shared" si="59"/>
        <v>71.666666666667354</v>
      </c>
      <c r="AK218" s="26">
        <f t="shared" si="49"/>
        <v>77.638888888888431</v>
      </c>
    </row>
    <row r="219" spans="4:37" ht="20.100000000000001" customHeight="1">
      <c r="D219" s="27">
        <f t="shared" si="48"/>
        <v>0.59999999999999842</v>
      </c>
      <c r="E219" s="16">
        <f t="shared" si="57"/>
        <v>159.60000000000127</v>
      </c>
      <c r="F219" s="16">
        <f t="shared" si="57"/>
        <v>165.59999999999883</v>
      </c>
      <c r="G219" s="16">
        <f t="shared" si="57"/>
        <v>171.60000000000005</v>
      </c>
      <c r="H219" s="17">
        <f t="shared" si="57"/>
        <v>147.59999999999945</v>
      </c>
      <c r="I219" s="17">
        <f t="shared" si="57"/>
        <v>153.60000000000036</v>
      </c>
      <c r="J219" s="17">
        <f t="shared" si="57"/>
        <v>159.60000000000127</v>
      </c>
      <c r="K219" s="18">
        <f t="shared" si="57"/>
        <v>135.60000000000173</v>
      </c>
      <c r="L219" s="18">
        <f t="shared" si="57"/>
        <v>141.59999999999854</v>
      </c>
      <c r="M219" s="18">
        <f t="shared" si="57"/>
        <v>147.59999999999945</v>
      </c>
      <c r="N219" s="19">
        <f t="shared" si="57"/>
        <v>108</v>
      </c>
      <c r="O219" s="19">
        <f t="shared" si="57"/>
        <v>114.00000000000091</v>
      </c>
      <c r="P219" s="19">
        <f t="shared" si="57"/>
        <v>120.00000000000161</v>
      </c>
      <c r="Q219" s="20">
        <f t="shared" si="57"/>
        <v>101.99999999999909</v>
      </c>
      <c r="R219" s="20">
        <f t="shared" si="57"/>
        <v>108</v>
      </c>
      <c r="S219" s="20">
        <f t="shared" si="57"/>
        <v>114.00000000000091</v>
      </c>
      <c r="T219" s="21">
        <f t="shared" si="57"/>
        <v>95.999999999999218</v>
      </c>
      <c r="U219" s="21">
        <f t="shared" si="51"/>
        <v>101.99999999999909</v>
      </c>
      <c r="V219" s="21">
        <f t="shared" si="51"/>
        <v>108</v>
      </c>
      <c r="W219" s="22">
        <f t="shared" si="51"/>
        <v>90.000000000000057</v>
      </c>
      <c r="X219" s="22">
        <f t="shared" si="51"/>
        <v>95.999999999999218</v>
      </c>
      <c r="Y219" s="22">
        <f t="shared" si="51"/>
        <v>101.99999999999909</v>
      </c>
      <c r="Z219" s="23">
        <f t="shared" si="51"/>
        <v>84.000000000000455</v>
      </c>
      <c r="AA219" s="23">
        <f t="shared" si="51"/>
        <v>90.000000000000057</v>
      </c>
      <c r="AB219" s="23">
        <f t="shared" si="51"/>
        <v>95.999999999999218</v>
      </c>
      <c r="AC219" s="24">
        <f t="shared" si="51"/>
        <v>77.999999999999545</v>
      </c>
      <c r="AD219" s="24">
        <f t="shared" si="51"/>
        <v>84.000000000000455</v>
      </c>
      <c r="AE219" s="24">
        <f t="shared" si="51"/>
        <v>90.000000000000057</v>
      </c>
      <c r="AF219" s="25">
        <f t="shared" si="51"/>
        <v>72.000000000000682</v>
      </c>
      <c r="AG219" s="25">
        <f t="shared" si="51"/>
        <v>77.999999999999545</v>
      </c>
      <c r="AH219" s="25">
        <f t="shared" si="51"/>
        <v>84.000000000000455</v>
      </c>
      <c r="AI219" s="26">
        <f t="shared" si="51"/>
        <v>65.999999999999773</v>
      </c>
      <c r="AJ219" s="26">
        <f t="shared" si="59"/>
        <v>72.000000000000682</v>
      </c>
      <c r="AK219" s="26">
        <f t="shared" si="49"/>
        <v>77.999999999999545</v>
      </c>
    </row>
    <row r="220" spans="4:37" ht="20.100000000000001" customHeight="1">
      <c r="D220" s="27">
        <f t="shared" si="48"/>
        <v>0.60277777777777619</v>
      </c>
      <c r="E220" s="16">
        <f t="shared" si="57"/>
        <v>160.33888888889015</v>
      </c>
      <c r="F220" s="16">
        <f t="shared" si="57"/>
        <v>166.36666666666551</v>
      </c>
      <c r="G220" s="16">
        <f t="shared" si="57"/>
        <v>172.3944444444445</v>
      </c>
      <c r="H220" s="17">
        <f t="shared" si="57"/>
        <v>148.28333333333279</v>
      </c>
      <c r="I220" s="17">
        <f t="shared" si="57"/>
        <v>154.31111111111147</v>
      </c>
      <c r="J220" s="17">
        <f t="shared" si="57"/>
        <v>160.33888888889015</v>
      </c>
      <c r="K220" s="18">
        <f t="shared" si="57"/>
        <v>136.22777777777949</v>
      </c>
      <c r="L220" s="18">
        <f t="shared" si="57"/>
        <v>142.25555555555411</v>
      </c>
      <c r="M220" s="18">
        <f t="shared" si="57"/>
        <v>148.28333333333279</v>
      </c>
      <c r="N220" s="19">
        <f t="shared" si="57"/>
        <v>108.5</v>
      </c>
      <c r="O220" s="19">
        <f t="shared" si="57"/>
        <v>114.52777777777868</v>
      </c>
      <c r="P220" s="19">
        <f t="shared" si="57"/>
        <v>120.55555555555716</v>
      </c>
      <c r="Q220" s="20">
        <f t="shared" si="57"/>
        <v>102.47222222222132</v>
      </c>
      <c r="R220" s="20">
        <f t="shared" si="57"/>
        <v>108.5</v>
      </c>
      <c r="S220" s="20">
        <f t="shared" si="57"/>
        <v>114.52777777777868</v>
      </c>
      <c r="T220" s="21">
        <f t="shared" si="57"/>
        <v>96.444444444443661</v>
      </c>
      <c r="U220" s="21">
        <f t="shared" si="51"/>
        <v>102.47222222222132</v>
      </c>
      <c r="V220" s="21">
        <f t="shared" si="51"/>
        <v>108.5</v>
      </c>
      <c r="W220" s="22">
        <f t="shared" si="51"/>
        <v>90.416666666666728</v>
      </c>
      <c r="X220" s="22">
        <f t="shared" si="51"/>
        <v>96.444444444443661</v>
      </c>
      <c r="Y220" s="22">
        <f t="shared" si="51"/>
        <v>102.47222222222132</v>
      </c>
      <c r="Z220" s="23">
        <f t="shared" si="51"/>
        <v>84.38888888888934</v>
      </c>
      <c r="AA220" s="23">
        <f t="shared" si="51"/>
        <v>90.416666666666728</v>
      </c>
      <c r="AB220" s="23">
        <f t="shared" si="51"/>
        <v>96.444444444443661</v>
      </c>
      <c r="AC220" s="24">
        <f t="shared" si="51"/>
        <v>78.36111111111066</v>
      </c>
      <c r="AD220" s="24">
        <f t="shared" si="51"/>
        <v>84.38888888888934</v>
      </c>
      <c r="AE220" s="24">
        <f t="shared" si="51"/>
        <v>90.416666666666728</v>
      </c>
      <c r="AF220" s="25">
        <f t="shared" si="51"/>
        <v>72.333333333334011</v>
      </c>
      <c r="AG220" s="25">
        <f t="shared" si="51"/>
        <v>78.36111111111066</v>
      </c>
      <c r="AH220" s="25">
        <f t="shared" si="51"/>
        <v>84.38888888888934</v>
      </c>
      <c r="AI220" s="26">
        <f t="shared" si="51"/>
        <v>66.30555555555533</v>
      </c>
      <c r="AJ220" s="26">
        <f t="shared" si="59"/>
        <v>72.333333333334011</v>
      </c>
      <c r="AK220" s="26">
        <f t="shared" si="49"/>
        <v>78.36111111111066</v>
      </c>
    </row>
    <row r="221" spans="4:37" ht="20.100000000000001" customHeight="1">
      <c r="D221" s="27">
        <f t="shared" si="48"/>
        <v>0.60555555555555396</v>
      </c>
      <c r="E221" s="16">
        <f t="shared" si="57"/>
        <v>161.07777777777903</v>
      </c>
      <c r="F221" s="16">
        <f t="shared" si="57"/>
        <v>167.13333333333219</v>
      </c>
      <c r="G221" s="16">
        <f t="shared" si="57"/>
        <v>173.18888888888895</v>
      </c>
      <c r="H221" s="17">
        <f t="shared" si="57"/>
        <v>148.96666666666613</v>
      </c>
      <c r="I221" s="17">
        <f t="shared" si="57"/>
        <v>155.02222222222258</v>
      </c>
      <c r="J221" s="17">
        <f t="shared" si="57"/>
        <v>161.07777777777903</v>
      </c>
      <c r="K221" s="18">
        <f t="shared" si="57"/>
        <v>136.85555555555726</v>
      </c>
      <c r="L221" s="18">
        <f t="shared" si="57"/>
        <v>142.91111111110968</v>
      </c>
      <c r="M221" s="18">
        <f t="shared" si="57"/>
        <v>148.96666666666613</v>
      </c>
      <c r="N221" s="19">
        <f t="shared" si="57"/>
        <v>109</v>
      </c>
      <c r="O221" s="19">
        <f t="shared" si="57"/>
        <v>115.05555555555645</v>
      </c>
      <c r="P221" s="19">
        <f t="shared" si="57"/>
        <v>121.11111111111272</v>
      </c>
      <c r="Q221" s="20">
        <f t="shared" si="57"/>
        <v>102.94444444444355</v>
      </c>
      <c r="R221" s="20">
        <f t="shared" si="57"/>
        <v>109</v>
      </c>
      <c r="S221" s="20">
        <f t="shared" si="57"/>
        <v>115.05555555555645</v>
      </c>
      <c r="T221" s="21">
        <f t="shared" si="57"/>
        <v>96.888888888888104</v>
      </c>
      <c r="U221" s="21">
        <f t="shared" si="51"/>
        <v>102.94444444444355</v>
      </c>
      <c r="V221" s="21">
        <f t="shared" si="51"/>
        <v>109</v>
      </c>
      <c r="W221" s="22">
        <f t="shared" si="51"/>
        <v>90.8333333333334</v>
      </c>
      <c r="X221" s="22">
        <f t="shared" si="51"/>
        <v>96.888888888888104</v>
      </c>
      <c r="Y221" s="22">
        <f t="shared" si="51"/>
        <v>102.94444444444355</v>
      </c>
      <c r="Z221" s="23">
        <f t="shared" si="51"/>
        <v>84.777777777778226</v>
      </c>
      <c r="AA221" s="23">
        <f t="shared" si="51"/>
        <v>90.8333333333334</v>
      </c>
      <c r="AB221" s="23">
        <f t="shared" si="51"/>
        <v>96.888888888888104</v>
      </c>
      <c r="AC221" s="24">
        <f t="shared" si="51"/>
        <v>78.722222222221774</v>
      </c>
      <c r="AD221" s="24">
        <f t="shared" si="51"/>
        <v>84.777777777778226</v>
      </c>
      <c r="AE221" s="24">
        <f t="shared" si="51"/>
        <v>90.8333333333334</v>
      </c>
      <c r="AF221" s="25">
        <f t="shared" si="51"/>
        <v>72.666666666667339</v>
      </c>
      <c r="AG221" s="25">
        <f t="shared" si="51"/>
        <v>78.722222222221774</v>
      </c>
      <c r="AH221" s="25">
        <f t="shared" si="51"/>
        <v>84.777777777778226</v>
      </c>
      <c r="AI221" s="26">
        <f t="shared" si="51"/>
        <v>66.611111111110887</v>
      </c>
      <c r="AJ221" s="26">
        <f t="shared" si="59"/>
        <v>72.666666666667339</v>
      </c>
      <c r="AK221" s="26">
        <f t="shared" si="49"/>
        <v>78.722222222221774</v>
      </c>
    </row>
    <row r="222" spans="4:37" ht="20.100000000000001" customHeight="1">
      <c r="D222" s="27">
        <f t="shared" si="48"/>
        <v>0.60833333333333173</v>
      </c>
      <c r="E222" s="16">
        <f t="shared" si="57"/>
        <v>161.81666666666791</v>
      </c>
      <c r="F222" s="16">
        <f t="shared" si="57"/>
        <v>167.89999999999887</v>
      </c>
      <c r="G222" s="16">
        <f t="shared" si="57"/>
        <v>173.98333333333341</v>
      </c>
      <c r="H222" s="17">
        <f t="shared" si="57"/>
        <v>149.64999999999947</v>
      </c>
      <c r="I222" s="17">
        <f t="shared" si="57"/>
        <v>155.73333333333369</v>
      </c>
      <c r="J222" s="17">
        <f t="shared" si="57"/>
        <v>161.81666666666791</v>
      </c>
      <c r="K222" s="18">
        <f t="shared" si="57"/>
        <v>137.48333333333503</v>
      </c>
      <c r="L222" s="18">
        <f t="shared" si="57"/>
        <v>143.56666666666524</v>
      </c>
      <c r="M222" s="18">
        <f t="shared" si="57"/>
        <v>149.64999999999947</v>
      </c>
      <c r="N222" s="19">
        <f t="shared" si="57"/>
        <v>109.5</v>
      </c>
      <c r="O222" s="19">
        <f t="shared" si="57"/>
        <v>115.58333333333422</v>
      </c>
      <c r="P222" s="19">
        <f t="shared" si="57"/>
        <v>121.66666666666828</v>
      </c>
      <c r="Q222" s="20">
        <f t="shared" si="57"/>
        <v>103.41666666666578</v>
      </c>
      <c r="R222" s="20">
        <f t="shared" si="57"/>
        <v>109.5</v>
      </c>
      <c r="S222" s="20">
        <f t="shared" si="57"/>
        <v>115.58333333333422</v>
      </c>
      <c r="T222" s="21">
        <f t="shared" si="57"/>
        <v>97.333333333332547</v>
      </c>
      <c r="U222" s="21">
        <f t="shared" si="51"/>
        <v>103.41666666666578</v>
      </c>
      <c r="V222" s="21">
        <f t="shared" si="51"/>
        <v>109.5</v>
      </c>
      <c r="W222" s="22">
        <f t="shared" si="51"/>
        <v>91.250000000000071</v>
      </c>
      <c r="X222" s="22">
        <f t="shared" si="51"/>
        <v>97.333333333332547</v>
      </c>
      <c r="Y222" s="22">
        <f t="shared" si="51"/>
        <v>103.41666666666578</v>
      </c>
      <c r="Z222" s="23">
        <f t="shared" si="51"/>
        <v>85.166666666667112</v>
      </c>
      <c r="AA222" s="23">
        <f t="shared" si="51"/>
        <v>91.250000000000071</v>
      </c>
      <c r="AB222" s="23">
        <f t="shared" si="51"/>
        <v>97.333333333332547</v>
      </c>
      <c r="AC222" s="24">
        <f t="shared" si="51"/>
        <v>79.083333333332888</v>
      </c>
      <c r="AD222" s="24">
        <f t="shared" si="51"/>
        <v>85.166666666667112</v>
      </c>
      <c r="AE222" s="24">
        <f t="shared" si="51"/>
        <v>91.250000000000071</v>
      </c>
      <c r="AF222" s="25">
        <f t="shared" si="51"/>
        <v>73.000000000000668</v>
      </c>
      <c r="AG222" s="25">
        <f t="shared" si="51"/>
        <v>79.083333333332888</v>
      </c>
      <c r="AH222" s="25">
        <f t="shared" si="51"/>
        <v>85.166666666667112</v>
      </c>
      <c r="AI222" s="26">
        <f t="shared" si="51"/>
        <v>66.916666666666444</v>
      </c>
      <c r="AJ222" s="26">
        <f t="shared" si="59"/>
        <v>73.000000000000668</v>
      </c>
      <c r="AK222" s="26">
        <f t="shared" si="49"/>
        <v>79.083333333332888</v>
      </c>
    </row>
    <row r="223" spans="4:37" ht="20.100000000000001" customHeight="1">
      <c r="D223" s="27">
        <f t="shared" si="48"/>
        <v>0.6111111111111095</v>
      </c>
      <c r="E223" s="16">
        <f t="shared" si="57"/>
        <v>162.55555555555679</v>
      </c>
      <c r="F223" s="16">
        <f t="shared" si="57"/>
        <v>168.66666666666555</v>
      </c>
      <c r="G223" s="16">
        <f t="shared" si="57"/>
        <v>174.77777777777786</v>
      </c>
      <c r="H223" s="17">
        <f t="shared" si="57"/>
        <v>150.3333333333328</v>
      </c>
      <c r="I223" s="17">
        <f t="shared" si="57"/>
        <v>156.4444444444448</v>
      </c>
      <c r="J223" s="17">
        <f t="shared" si="57"/>
        <v>162.55555555555679</v>
      </c>
      <c r="K223" s="18">
        <f t="shared" si="57"/>
        <v>138.11111111111279</v>
      </c>
      <c r="L223" s="18">
        <f t="shared" si="57"/>
        <v>144.22222222222081</v>
      </c>
      <c r="M223" s="18">
        <f t="shared" si="57"/>
        <v>150.3333333333328</v>
      </c>
      <c r="N223" s="19">
        <f t="shared" si="57"/>
        <v>110</v>
      </c>
      <c r="O223" s="19">
        <f t="shared" si="57"/>
        <v>116.111111111112</v>
      </c>
      <c r="P223" s="19">
        <f t="shared" si="57"/>
        <v>122.22222222222383</v>
      </c>
      <c r="Q223" s="20">
        <f t="shared" si="57"/>
        <v>103.888888888888</v>
      </c>
      <c r="R223" s="20">
        <f t="shared" si="57"/>
        <v>110</v>
      </c>
      <c r="S223" s="20">
        <f t="shared" si="57"/>
        <v>116.111111111112</v>
      </c>
      <c r="T223" s="21">
        <f t="shared" si="57"/>
        <v>97.77777777777699</v>
      </c>
      <c r="U223" s="21">
        <f t="shared" si="51"/>
        <v>103.888888888888</v>
      </c>
      <c r="V223" s="21">
        <f t="shared" si="51"/>
        <v>110</v>
      </c>
      <c r="W223" s="22">
        <f t="shared" si="51"/>
        <v>91.666666666666742</v>
      </c>
      <c r="X223" s="22">
        <f t="shared" si="51"/>
        <v>97.77777777777699</v>
      </c>
      <c r="Y223" s="22">
        <f t="shared" si="51"/>
        <v>103.888888888888</v>
      </c>
      <c r="Z223" s="23">
        <f t="shared" si="51"/>
        <v>85.555555555555998</v>
      </c>
      <c r="AA223" s="23">
        <f t="shared" si="51"/>
        <v>91.666666666666742</v>
      </c>
      <c r="AB223" s="23">
        <f t="shared" ref="AB223:AI223" si="60">AB224-(AB$363/360)</f>
        <v>97.77777777777699</v>
      </c>
      <c r="AC223" s="24">
        <f t="shared" si="60"/>
        <v>79.444444444444002</v>
      </c>
      <c r="AD223" s="24">
        <f t="shared" si="60"/>
        <v>85.555555555555998</v>
      </c>
      <c r="AE223" s="24">
        <f t="shared" si="60"/>
        <v>91.666666666666742</v>
      </c>
      <c r="AF223" s="25">
        <f t="shared" si="60"/>
        <v>73.333333333333997</v>
      </c>
      <c r="AG223" s="25">
        <f t="shared" si="60"/>
        <v>79.444444444444002</v>
      </c>
      <c r="AH223" s="25">
        <f t="shared" si="60"/>
        <v>85.555555555555998</v>
      </c>
      <c r="AI223" s="26">
        <f t="shared" si="60"/>
        <v>67.222222222222001</v>
      </c>
      <c r="AJ223" s="26">
        <f t="shared" si="59"/>
        <v>73.333333333333997</v>
      </c>
      <c r="AK223" s="26">
        <f t="shared" si="49"/>
        <v>79.444444444444002</v>
      </c>
    </row>
    <row r="224" spans="4:37" ht="20.100000000000001" customHeight="1">
      <c r="D224" s="27">
        <f t="shared" si="48"/>
        <v>0.61388888888888726</v>
      </c>
      <c r="E224" s="16">
        <f t="shared" si="57"/>
        <v>163.29444444444567</v>
      </c>
      <c r="F224" s="16">
        <f t="shared" si="57"/>
        <v>169.43333333333223</v>
      </c>
      <c r="G224" s="16">
        <f t="shared" si="57"/>
        <v>175.57222222222231</v>
      </c>
      <c r="H224" s="17">
        <f t="shared" si="57"/>
        <v>151.01666666666614</v>
      </c>
      <c r="I224" s="17">
        <f t="shared" si="57"/>
        <v>157.15555555555591</v>
      </c>
      <c r="J224" s="17">
        <f t="shared" si="57"/>
        <v>163.29444444444567</v>
      </c>
      <c r="K224" s="18">
        <f t="shared" si="57"/>
        <v>138.73888888889056</v>
      </c>
      <c r="L224" s="18">
        <f t="shared" si="57"/>
        <v>144.87777777777637</v>
      </c>
      <c r="M224" s="18">
        <f t="shared" si="57"/>
        <v>151.01666666666614</v>
      </c>
      <c r="N224" s="19">
        <f t="shared" si="57"/>
        <v>110.5</v>
      </c>
      <c r="O224" s="19">
        <f t="shared" si="57"/>
        <v>116.63888888888977</v>
      </c>
      <c r="P224" s="19">
        <f t="shared" si="57"/>
        <v>122.77777777777939</v>
      </c>
      <c r="Q224" s="20">
        <f t="shared" si="57"/>
        <v>104.36111111111023</v>
      </c>
      <c r="R224" s="20">
        <f t="shared" si="57"/>
        <v>110.5</v>
      </c>
      <c r="S224" s="20">
        <f t="shared" si="57"/>
        <v>116.63888888888977</v>
      </c>
      <c r="T224" s="21">
        <f t="shared" si="57"/>
        <v>98.222222222221433</v>
      </c>
      <c r="U224" s="21">
        <f t="shared" ref="U224:AI224" si="61">U225-(U$363/360)</f>
        <v>104.36111111111023</v>
      </c>
      <c r="V224" s="21">
        <f t="shared" si="61"/>
        <v>110.5</v>
      </c>
      <c r="W224" s="22">
        <f t="shared" si="61"/>
        <v>92.083333333333414</v>
      </c>
      <c r="X224" s="22">
        <f t="shared" si="61"/>
        <v>98.222222222221433</v>
      </c>
      <c r="Y224" s="22">
        <f t="shared" si="61"/>
        <v>104.36111111111023</v>
      </c>
      <c r="Z224" s="23">
        <f t="shared" si="61"/>
        <v>85.944444444444883</v>
      </c>
      <c r="AA224" s="23">
        <f t="shared" si="61"/>
        <v>92.083333333333414</v>
      </c>
      <c r="AB224" s="23">
        <f t="shared" si="61"/>
        <v>98.222222222221433</v>
      </c>
      <c r="AC224" s="24">
        <f t="shared" si="61"/>
        <v>79.805555555555117</v>
      </c>
      <c r="AD224" s="24">
        <f t="shared" si="61"/>
        <v>85.944444444444883</v>
      </c>
      <c r="AE224" s="24">
        <f t="shared" si="61"/>
        <v>92.083333333333414</v>
      </c>
      <c r="AF224" s="25">
        <f t="shared" si="61"/>
        <v>73.666666666667325</v>
      </c>
      <c r="AG224" s="25">
        <f t="shared" si="61"/>
        <v>79.805555555555117</v>
      </c>
      <c r="AH224" s="25">
        <f t="shared" si="61"/>
        <v>85.944444444444883</v>
      </c>
      <c r="AI224" s="26">
        <f t="shared" si="61"/>
        <v>67.527777777777558</v>
      </c>
      <c r="AJ224" s="26">
        <f t="shared" si="59"/>
        <v>73.666666666667325</v>
      </c>
      <c r="AK224" s="26">
        <f t="shared" si="49"/>
        <v>79.805555555555117</v>
      </c>
    </row>
    <row r="225" spans="4:37" ht="20.100000000000001" customHeight="1">
      <c r="D225" s="27">
        <f t="shared" si="48"/>
        <v>0.61666666666666503</v>
      </c>
      <c r="E225" s="16">
        <f t="shared" si="57"/>
        <v>164.03333333333455</v>
      </c>
      <c r="F225" s="16">
        <f t="shared" si="57"/>
        <v>170.19999999999891</v>
      </c>
      <c r="G225" s="16">
        <f t="shared" si="57"/>
        <v>176.36666666666676</v>
      </c>
      <c r="H225" s="17">
        <f t="shared" si="57"/>
        <v>151.69999999999948</v>
      </c>
      <c r="I225" s="17">
        <f t="shared" si="57"/>
        <v>157.86666666666702</v>
      </c>
      <c r="J225" s="17">
        <f t="shared" si="57"/>
        <v>164.03333333333455</v>
      </c>
      <c r="K225" s="18">
        <f t="shared" si="57"/>
        <v>139.36666666666832</v>
      </c>
      <c r="L225" s="18">
        <f t="shared" si="57"/>
        <v>145.53333333333194</v>
      </c>
      <c r="M225" s="18">
        <f t="shared" si="57"/>
        <v>151.69999999999948</v>
      </c>
      <c r="N225" s="19">
        <f t="shared" si="57"/>
        <v>111</v>
      </c>
      <c r="O225" s="19">
        <f t="shared" si="57"/>
        <v>117.16666666666754</v>
      </c>
      <c r="P225" s="19">
        <f t="shared" si="57"/>
        <v>123.33333333333495</v>
      </c>
      <c r="Q225" s="20">
        <f t="shared" si="57"/>
        <v>104.83333333333246</v>
      </c>
      <c r="R225" s="20">
        <f t="shared" si="57"/>
        <v>111</v>
      </c>
      <c r="S225" s="20">
        <f t="shared" si="57"/>
        <v>117.16666666666754</v>
      </c>
      <c r="T225" s="21">
        <f t="shared" ref="T225:AI240" si="62">T226-(T$363/360)</f>
        <v>98.666666666665876</v>
      </c>
      <c r="U225" s="21">
        <f t="shared" si="62"/>
        <v>104.83333333333246</v>
      </c>
      <c r="V225" s="21">
        <f t="shared" si="62"/>
        <v>111</v>
      </c>
      <c r="W225" s="22">
        <f t="shared" si="62"/>
        <v>92.500000000000085</v>
      </c>
      <c r="X225" s="22">
        <f t="shared" si="62"/>
        <v>98.666666666665876</v>
      </c>
      <c r="Y225" s="22">
        <f t="shared" si="62"/>
        <v>104.83333333333246</v>
      </c>
      <c r="Z225" s="23">
        <f t="shared" si="62"/>
        <v>86.333333333333769</v>
      </c>
      <c r="AA225" s="23">
        <f t="shared" si="62"/>
        <v>92.500000000000085</v>
      </c>
      <c r="AB225" s="23">
        <f t="shared" si="62"/>
        <v>98.666666666665876</v>
      </c>
      <c r="AC225" s="24">
        <f t="shared" si="62"/>
        <v>80.166666666666231</v>
      </c>
      <c r="AD225" s="24">
        <f t="shared" si="62"/>
        <v>86.333333333333769</v>
      </c>
      <c r="AE225" s="24">
        <f t="shared" si="62"/>
        <v>92.500000000000085</v>
      </c>
      <c r="AF225" s="25">
        <f t="shared" si="62"/>
        <v>74.000000000000654</v>
      </c>
      <c r="AG225" s="25">
        <f t="shared" si="62"/>
        <v>80.166666666666231</v>
      </c>
      <c r="AH225" s="25">
        <f t="shared" si="62"/>
        <v>86.333333333333769</v>
      </c>
      <c r="AI225" s="26">
        <f t="shared" si="62"/>
        <v>67.833333333333115</v>
      </c>
      <c r="AJ225" s="26">
        <f t="shared" si="59"/>
        <v>74.000000000000654</v>
      </c>
      <c r="AK225" s="26">
        <f t="shared" si="49"/>
        <v>80.166666666666231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164.77222222222343</v>
      </c>
      <c r="F226" s="16">
        <f t="shared" si="63"/>
        <v>170.96666666666559</v>
      </c>
      <c r="G226" s="16">
        <f t="shared" si="63"/>
        <v>177.16111111111121</v>
      </c>
      <c r="H226" s="17">
        <f t="shared" si="63"/>
        <v>152.38333333333281</v>
      </c>
      <c r="I226" s="17">
        <f t="shared" si="63"/>
        <v>158.57777777777812</v>
      </c>
      <c r="J226" s="17">
        <f t="shared" si="63"/>
        <v>164.77222222222343</v>
      </c>
      <c r="K226" s="18">
        <f t="shared" si="63"/>
        <v>139.99444444444609</v>
      </c>
      <c r="L226" s="18">
        <f t="shared" si="63"/>
        <v>146.1888888888875</v>
      </c>
      <c r="M226" s="18">
        <f t="shared" si="63"/>
        <v>152.38333333333281</v>
      </c>
      <c r="N226" s="19">
        <f t="shared" si="63"/>
        <v>111.5</v>
      </c>
      <c r="O226" s="19">
        <f t="shared" si="63"/>
        <v>117.69444444444531</v>
      </c>
      <c r="P226" s="19">
        <f t="shared" si="63"/>
        <v>123.88888888889051</v>
      </c>
      <c r="Q226" s="20">
        <f t="shared" si="63"/>
        <v>105.30555555555469</v>
      </c>
      <c r="R226" s="20">
        <f t="shared" si="63"/>
        <v>111.5</v>
      </c>
      <c r="S226" s="20">
        <f t="shared" si="63"/>
        <v>117.69444444444531</v>
      </c>
      <c r="T226" s="21">
        <f t="shared" si="62"/>
        <v>99.111111111110318</v>
      </c>
      <c r="U226" s="21">
        <f t="shared" si="62"/>
        <v>105.30555555555469</v>
      </c>
      <c r="V226" s="21">
        <f t="shared" si="62"/>
        <v>111.5</v>
      </c>
      <c r="W226" s="22">
        <f t="shared" si="62"/>
        <v>92.916666666666757</v>
      </c>
      <c r="X226" s="22">
        <f t="shared" si="62"/>
        <v>99.111111111110318</v>
      </c>
      <c r="Y226" s="22">
        <f t="shared" si="62"/>
        <v>105.30555555555469</v>
      </c>
      <c r="Z226" s="23">
        <f t="shared" si="62"/>
        <v>86.722222222222655</v>
      </c>
      <c r="AA226" s="23">
        <f t="shared" si="62"/>
        <v>92.916666666666757</v>
      </c>
      <c r="AB226" s="23">
        <f t="shared" si="62"/>
        <v>99.111111111110318</v>
      </c>
      <c r="AC226" s="24">
        <f t="shared" si="62"/>
        <v>80.527777777777345</v>
      </c>
      <c r="AD226" s="24">
        <f t="shared" si="62"/>
        <v>86.722222222222655</v>
      </c>
      <c r="AE226" s="24">
        <f t="shared" si="62"/>
        <v>92.916666666666757</v>
      </c>
      <c r="AF226" s="25">
        <f t="shared" si="62"/>
        <v>74.333333333333982</v>
      </c>
      <c r="AG226" s="25">
        <f t="shared" si="62"/>
        <v>80.527777777777345</v>
      </c>
      <c r="AH226" s="25">
        <f t="shared" si="62"/>
        <v>86.722222222222655</v>
      </c>
      <c r="AI226" s="26">
        <f t="shared" si="62"/>
        <v>68.138888888888673</v>
      </c>
      <c r="AJ226" s="26">
        <f t="shared" si="59"/>
        <v>74.333333333333982</v>
      </c>
      <c r="AK226" s="26">
        <f t="shared" si="49"/>
        <v>80.527777777777345</v>
      </c>
    </row>
    <row r="227" spans="4:37" ht="20.100000000000001" customHeight="1">
      <c r="D227" s="27">
        <f t="shared" si="48"/>
        <v>0.62222222222222057</v>
      </c>
      <c r="E227" s="16">
        <f t="shared" si="63"/>
        <v>165.51111111111231</v>
      </c>
      <c r="F227" s="16">
        <f t="shared" si="63"/>
        <v>171.73333333333227</v>
      </c>
      <c r="G227" s="16">
        <f t="shared" si="63"/>
        <v>177.95555555555566</v>
      </c>
      <c r="H227" s="17">
        <f t="shared" si="63"/>
        <v>153.06666666666615</v>
      </c>
      <c r="I227" s="17">
        <f t="shared" si="63"/>
        <v>159.28888888888923</v>
      </c>
      <c r="J227" s="17">
        <f t="shared" si="63"/>
        <v>165.51111111111231</v>
      </c>
      <c r="K227" s="18">
        <f t="shared" si="63"/>
        <v>140.62222222222385</v>
      </c>
      <c r="L227" s="18">
        <f t="shared" si="63"/>
        <v>146.84444444444307</v>
      </c>
      <c r="M227" s="18">
        <f t="shared" si="63"/>
        <v>153.06666666666615</v>
      </c>
      <c r="N227" s="19">
        <f t="shared" si="63"/>
        <v>112</v>
      </c>
      <c r="O227" s="19">
        <f t="shared" si="63"/>
        <v>118.22222222222308</v>
      </c>
      <c r="P227" s="19">
        <f t="shared" si="63"/>
        <v>124.44444444444606</v>
      </c>
      <c r="Q227" s="20">
        <f t="shared" si="63"/>
        <v>105.77777777777692</v>
      </c>
      <c r="R227" s="20">
        <f t="shared" si="63"/>
        <v>112</v>
      </c>
      <c r="S227" s="20">
        <f t="shared" si="63"/>
        <v>118.22222222222308</v>
      </c>
      <c r="T227" s="21">
        <f t="shared" si="62"/>
        <v>99.555555555554761</v>
      </c>
      <c r="U227" s="21">
        <f t="shared" si="62"/>
        <v>105.77777777777692</v>
      </c>
      <c r="V227" s="21">
        <f t="shared" si="62"/>
        <v>112</v>
      </c>
      <c r="W227" s="22">
        <f t="shared" si="62"/>
        <v>93.333333333333428</v>
      </c>
      <c r="X227" s="22">
        <f t="shared" si="62"/>
        <v>99.555555555554761</v>
      </c>
      <c r="Y227" s="22">
        <f t="shared" si="62"/>
        <v>105.77777777777692</v>
      </c>
      <c r="Z227" s="23">
        <f t="shared" si="62"/>
        <v>87.111111111111541</v>
      </c>
      <c r="AA227" s="23">
        <f t="shared" si="62"/>
        <v>93.333333333333428</v>
      </c>
      <c r="AB227" s="23">
        <f t="shared" si="62"/>
        <v>99.555555555554761</v>
      </c>
      <c r="AC227" s="24">
        <f t="shared" si="62"/>
        <v>80.888888888888459</v>
      </c>
      <c r="AD227" s="24">
        <f t="shared" si="62"/>
        <v>87.111111111111541</v>
      </c>
      <c r="AE227" s="24">
        <f t="shared" si="62"/>
        <v>93.333333333333428</v>
      </c>
      <c r="AF227" s="25">
        <f t="shared" si="62"/>
        <v>74.666666666667311</v>
      </c>
      <c r="AG227" s="25">
        <f t="shared" si="62"/>
        <v>80.888888888888459</v>
      </c>
      <c r="AH227" s="25">
        <f t="shared" si="62"/>
        <v>87.111111111111541</v>
      </c>
      <c r="AI227" s="26">
        <f t="shared" si="62"/>
        <v>68.44444444444423</v>
      </c>
      <c r="AJ227" s="26">
        <f t="shared" si="59"/>
        <v>74.666666666667311</v>
      </c>
      <c r="AK227" s="26">
        <f t="shared" si="49"/>
        <v>80.888888888888459</v>
      </c>
    </row>
    <row r="228" spans="4:37" ht="20.100000000000001" customHeight="1">
      <c r="D228" s="27">
        <f t="shared" si="48"/>
        <v>0.62499999999999833</v>
      </c>
      <c r="E228" s="16">
        <f t="shared" si="63"/>
        <v>166.25000000000119</v>
      </c>
      <c r="F228" s="16">
        <f t="shared" si="63"/>
        <v>172.49999999999895</v>
      </c>
      <c r="G228" s="16">
        <f t="shared" si="63"/>
        <v>178.75000000000011</v>
      </c>
      <c r="H228" s="17">
        <f t="shared" si="63"/>
        <v>153.74999999999949</v>
      </c>
      <c r="I228" s="17">
        <f t="shared" si="63"/>
        <v>160.00000000000034</v>
      </c>
      <c r="J228" s="17">
        <f t="shared" si="63"/>
        <v>166.25000000000119</v>
      </c>
      <c r="K228" s="18">
        <f t="shared" si="63"/>
        <v>141.25000000000162</v>
      </c>
      <c r="L228" s="18">
        <f t="shared" si="63"/>
        <v>147.49999999999864</v>
      </c>
      <c r="M228" s="18">
        <f t="shared" si="63"/>
        <v>153.74999999999949</v>
      </c>
      <c r="N228" s="19">
        <f t="shared" si="63"/>
        <v>112.5</v>
      </c>
      <c r="O228" s="19">
        <f t="shared" si="63"/>
        <v>118.75000000000085</v>
      </c>
      <c r="P228" s="19">
        <f t="shared" si="63"/>
        <v>125.00000000000162</v>
      </c>
      <c r="Q228" s="20">
        <f t="shared" si="63"/>
        <v>106.24999999999915</v>
      </c>
      <c r="R228" s="20">
        <f t="shared" si="63"/>
        <v>112.5</v>
      </c>
      <c r="S228" s="20">
        <f t="shared" si="63"/>
        <v>118.75000000000085</v>
      </c>
      <c r="T228" s="21">
        <f t="shared" si="62"/>
        <v>99.999999999999204</v>
      </c>
      <c r="U228" s="21">
        <f t="shared" si="62"/>
        <v>106.24999999999915</v>
      </c>
      <c r="V228" s="21">
        <f t="shared" si="62"/>
        <v>112.5</v>
      </c>
      <c r="W228" s="22">
        <f t="shared" si="62"/>
        <v>93.750000000000099</v>
      </c>
      <c r="X228" s="22">
        <f t="shared" si="62"/>
        <v>99.999999999999204</v>
      </c>
      <c r="Y228" s="22">
        <f t="shared" si="62"/>
        <v>106.24999999999915</v>
      </c>
      <c r="Z228" s="23">
        <f t="shared" si="62"/>
        <v>87.500000000000426</v>
      </c>
      <c r="AA228" s="23">
        <f t="shared" si="62"/>
        <v>93.750000000000099</v>
      </c>
      <c r="AB228" s="23">
        <f t="shared" si="62"/>
        <v>99.999999999999204</v>
      </c>
      <c r="AC228" s="24">
        <f t="shared" si="62"/>
        <v>81.249999999999574</v>
      </c>
      <c r="AD228" s="24">
        <f t="shared" si="62"/>
        <v>87.500000000000426</v>
      </c>
      <c r="AE228" s="24">
        <f t="shared" si="62"/>
        <v>93.750000000000099</v>
      </c>
      <c r="AF228" s="25">
        <f t="shared" si="62"/>
        <v>75.000000000000639</v>
      </c>
      <c r="AG228" s="25">
        <f t="shared" si="62"/>
        <v>81.249999999999574</v>
      </c>
      <c r="AH228" s="25">
        <f t="shared" si="62"/>
        <v>87.500000000000426</v>
      </c>
      <c r="AI228" s="26">
        <f t="shared" si="62"/>
        <v>68.749999999999787</v>
      </c>
      <c r="AJ228" s="26">
        <f t="shared" si="59"/>
        <v>75.000000000000639</v>
      </c>
      <c r="AK228" s="26">
        <f t="shared" si="49"/>
        <v>81.249999999999574</v>
      </c>
    </row>
    <row r="229" spans="4:37" ht="20.100000000000001" customHeight="1">
      <c r="D229" s="27">
        <f t="shared" si="48"/>
        <v>0.6277777777777761</v>
      </c>
      <c r="E229" s="16">
        <f t="shared" si="63"/>
        <v>166.98888888889007</v>
      </c>
      <c r="F229" s="16">
        <f t="shared" si="63"/>
        <v>173.26666666666563</v>
      </c>
      <c r="G229" s="16">
        <f t="shared" si="63"/>
        <v>179.54444444444457</v>
      </c>
      <c r="H229" s="17">
        <f t="shared" si="63"/>
        <v>154.43333333333283</v>
      </c>
      <c r="I229" s="17">
        <f t="shared" si="63"/>
        <v>160.71111111111145</v>
      </c>
      <c r="J229" s="17">
        <f t="shared" si="63"/>
        <v>166.98888888889007</v>
      </c>
      <c r="K229" s="18">
        <f t="shared" si="63"/>
        <v>141.87777777777939</v>
      </c>
      <c r="L229" s="18">
        <f t="shared" si="63"/>
        <v>148.1555555555542</v>
      </c>
      <c r="M229" s="18">
        <f t="shared" si="63"/>
        <v>154.43333333333283</v>
      </c>
      <c r="N229" s="19">
        <f t="shared" si="63"/>
        <v>113</v>
      </c>
      <c r="O229" s="19">
        <f t="shared" si="63"/>
        <v>119.27777777777862</v>
      </c>
      <c r="P229" s="19">
        <f t="shared" si="63"/>
        <v>125.55555555555718</v>
      </c>
      <c r="Q229" s="20">
        <f t="shared" si="63"/>
        <v>106.72222222222138</v>
      </c>
      <c r="R229" s="20">
        <f t="shared" si="63"/>
        <v>113</v>
      </c>
      <c r="S229" s="20">
        <f t="shared" si="63"/>
        <v>119.27777777777862</v>
      </c>
      <c r="T229" s="21">
        <f t="shared" si="63"/>
        <v>100.44444444444365</v>
      </c>
      <c r="U229" s="21">
        <f t="shared" si="62"/>
        <v>106.72222222222138</v>
      </c>
      <c r="V229" s="21">
        <f t="shared" si="62"/>
        <v>113</v>
      </c>
      <c r="W229" s="22">
        <f t="shared" si="62"/>
        <v>94.166666666666771</v>
      </c>
      <c r="X229" s="22">
        <f t="shared" si="62"/>
        <v>100.44444444444365</v>
      </c>
      <c r="Y229" s="22">
        <f t="shared" si="62"/>
        <v>106.72222222222138</v>
      </c>
      <c r="Z229" s="23">
        <f t="shared" si="62"/>
        <v>87.888888888889312</v>
      </c>
      <c r="AA229" s="23">
        <f t="shared" si="62"/>
        <v>94.166666666666771</v>
      </c>
      <c r="AB229" s="23">
        <f t="shared" si="62"/>
        <v>100.44444444444365</v>
      </c>
      <c r="AC229" s="24">
        <f t="shared" si="62"/>
        <v>81.611111111110688</v>
      </c>
      <c r="AD229" s="24">
        <f t="shared" si="62"/>
        <v>87.888888888889312</v>
      </c>
      <c r="AE229" s="24">
        <f t="shared" si="62"/>
        <v>94.166666666666771</v>
      </c>
      <c r="AF229" s="25">
        <f t="shared" si="62"/>
        <v>75.333333333333968</v>
      </c>
      <c r="AG229" s="25">
        <f t="shared" si="62"/>
        <v>81.611111111110688</v>
      </c>
      <c r="AH229" s="25">
        <f t="shared" si="62"/>
        <v>87.888888888889312</v>
      </c>
      <c r="AI229" s="26">
        <f t="shared" si="62"/>
        <v>69.055555555555344</v>
      </c>
      <c r="AJ229" s="26">
        <f t="shared" si="59"/>
        <v>75.333333333333968</v>
      </c>
      <c r="AK229" s="26">
        <f t="shared" si="49"/>
        <v>81.611111111110688</v>
      </c>
    </row>
    <row r="230" spans="4:37" ht="20.100000000000001" customHeight="1">
      <c r="D230" s="27">
        <f t="shared" si="48"/>
        <v>0.63055555555555387</v>
      </c>
      <c r="E230" s="16">
        <f t="shared" si="63"/>
        <v>167.72777777777895</v>
      </c>
      <c r="F230" s="16">
        <f t="shared" si="63"/>
        <v>174.03333333333231</v>
      </c>
      <c r="G230" s="16">
        <f t="shared" si="63"/>
        <v>180.33888888888902</v>
      </c>
      <c r="H230" s="17">
        <f t="shared" si="63"/>
        <v>155.11666666666616</v>
      </c>
      <c r="I230" s="17">
        <f t="shared" si="63"/>
        <v>161.42222222222256</v>
      </c>
      <c r="J230" s="17">
        <f t="shared" si="63"/>
        <v>167.72777777777895</v>
      </c>
      <c r="K230" s="18">
        <f t="shared" si="63"/>
        <v>142.50555555555715</v>
      </c>
      <c r="L230" s="18">
        <f t="shared" si="63"/>
        <v>148.81111111110977</v>
      </c>
      <c r="M230" s="18">
        <f t="shared" si="63"/>
        <v>155.11666666666616</v>
      </c>
      <c r="N230" s="19">
        <f t="shared" si="63"/>
        <v>113.5</v>
      </c>
      <c r="O230" s="19">
        <f t="shared" si="63"/>
        <v>119.8055555555564</v>
      </c>
      <c r="P230" s="19">
        <f t="shared" si="63"/>
        <v>126.11111111111273</v>
      </c>
      <c r="Q230" s="20">
        <f t="shared" si="63"/>
        <v>107.1944444444436</v>
      </c>
      <c r="R230" s="20">
        <f t="shared" si="63"/>
        <v>113.5</v>
      </c>
      <c r="S230" s="20">
        <f t="shared" si="63"/>
        <v>119.8055555555564</v>
      </c>
      <c r="T230" s="21">
        <f t="shared" si="63"/>
        <v>100.88888888888809</v>
      </c>
      <c r="U230" s="21">
        <f t="shared" si="62"/>
        <v>107.1944444444436</v>
      </c>
      <c r="V230" s="21">
        <f t="shared" si="62"/>
        <v>113.5</v>
      </c>
      <c r="W230" s="22">
        <f t="shared" si="62"/>
        <v>94.583333333333442</v>
      </c>
      <c r="X230" s="22">
        <f t="shared" si="62"/>
        <v>100.88888888888809</v>
      </c>
      <c r="Y230" s="22">
        <f t="shared" si="62"/>
        <v>107.1944444444436</v>
      </c>
      <c r="Z230" s="23">
        <f t="shared" si="62"/>
        <v>88.277777777778198</v>
      </c>
      <c r="AA230" s="23">
        <f t="shared" si="62"/>
        <v>94.583333333333442</v>
      </c>
      <c r="AB230" s="23">
        <f t="shared" si="62"/>
        <v>100.88888888888809</v>
      </c>
      <c r="AC230" s="24">
        <f t="shared" si="62"/>
        <v>81.972222222221802</v>
      </c>
      <c r="AD230" s="24">
        <f t="shared" si="62"/>
        <v>88.277777777778198</v>
      </c>
      <c r="AE230" s="24">
        <f t="shared" si="62"/>
        <v>94.583333333333442</v>
      </c>
      <c r="AF230" s="25">
        <f t="shared" si="62"/>
        <v>75.666666666667297</v>
      </c>
      <c r="AG230" s="25">
        <f t="shared" si="62"/>
        <v>81.972222222221802</v>
      </c>
      <c r="AH230" s="25">
        <f t="shared" ref="AH230:AI233" si="64">AH231-(AH$363/360)</f>
        <v>88.277777777778198</v>
      </c>
      <c r="AI230" s="26">
        <f t="shared" si="64"/>
        <v>69.361111111110901</v>
      </c>
      <c r="AJ230" s="26">
        <f t="shared" si="59"/>
        <v>75.666666666667297</v>
      </c>
      <c r="AK230" s="26">
        <f t="shared" si="49"/>
        <v>81.972222222221802</v>
      </c>
    </row>
    <row r="231" spans="4:37" ht="20.100000000000001" customHeight="1">
      <c r="D231" s="27">
        <f t="shared" si="48"/>
        <v>0.63333333333333164</v>
      </c>
      <c r="E231" s="16">
        <f t="shared" si="63"/>
        <v>168.46666666666783</v>
      </c>
      <c r="F231" s="16">
        <f t="shared" si="63"/>
        <v>174.79999999999899</v>
      </c>
      <c r="G231" s="16">
        <f t="shared" si="63"/>
        <v>181.13333333333347</v>
      </c>
      <c r="H231" s="17">
        <f t="shared" si="63"/>
        <v>155.7999999999995</v>
      </c>
      <c r="I231" s="17">
        <f t="shared" si="63"/>
        <v>162.13333333333367</v>
      </c>
      <c r="J231" s="17">
        <f t="shared" si="63"/>
        <v>168.46666666666783</v>
      </c>
      <c r="K231" s="18">
        <f t="shared" si="63"/>
        <v>143.13333333333492</v>
      </c>
      <c r="L231" s="18">
        <f t="shared" si="63"/>
        <v>149.46666666666533</v>
      </c>
      <c r="M231" s="18">
        <f t="shared" si="63"/>
        <v>155.7999999999995</v>
      </c>
      <c r="N231" s="19">
        <f t="shared" si="63"/>
        <v>114</v>
      </c>
      <c r="O231" s="19">
        <f t="shared" si="63"/>
        <v>120.33333333333417</v>
      </c>
      <c r="P231" s="19">
        <f t="shared" si="63"/>
        <v>126.66666666666829</v>
      </c>
      <c r="Q231" s="20">
        <f t="shared" si="63"/>
        <v>107.66666666666583</v>
      </c>
      <c r="R231" s="20">
        <f t="shared" si="63"/>
        <v>114</v>
      </c>
      <c r="S231" s="20">
        <f t="shared" si="63"/>
        <v>120.33333333333417</v>
      </c>
      <c r="T231" s="21">
        <f t="shared" si="62"/>
        <v>101.33333333333253</v>
      </c>
      <c r="U231" s="21">
        <f t="shared" si="62"/>
        <v>107.66666666666583</v>
      </c>
      <c r="V231" s="21">
        <f t="shared" si="62"/>
        <v>114</v>
      </c>
      <c r="W231" s="22">
        <f t="shared" si="62"/>
        <v>95.000000000000114</v>
      </c>
      <c r="X231" s="22">
        <f t="shared" si="62"/>
        <v>101.33333333333253</v>
      </c>
      <c r="Y231" s="22">
        <f t="shared" si="62"/>
        <v>107.66666666666583</v>
      </c>
      <c r="Z231" s="23">
        <f t="shared" si="62"/>
        <v>88.666666666667084</v>
      </c>
      <c r="AA231" s="23">
        <f t="shared" si="62"/>
        <v>95.000000000000114</v>
      </c>
      <c r="AB231" s="23">
        <f t="shared" si="62"/>
        <v>101.33333333333253</v>
      </c>
      <c r="AC231" s="24">
        <f t="shared" si="62"/>
        <v>82.333333333332916</v>
      </c>
      <c r="AD231" s="24">
        <f t="shared" si="62"/>
        <v>88.666666666667084</v>
      </c>
      <c r="AE231" s="24">
        <f t="shared" si="62"/>
        <v>95.000000000000114</v>
      </c>
      <c r="AF231" s="25">
        <f t="shared" si="62"/>
        <v>76.000000000000625</v>
      </c>
      <c r="AG231" s="25">
        <f t="shared" si="62"/>
        <v>82.333333333332916</v>
      </c>
      <c r="AH231" s="25">
        <f t="shared" si="64"/>
        <v>88.666666666667084</v>
      </c>
      <c r="AI231" s="26">
        <f t="shared" si="64"/>
        <v>69.666666666666458</v>
      </c>
      <c r="AJ231" s="26">
        <f t="shared" si="59"/>
        <v>76.000000000000625</v>
      </c>
      <c r="AK231" s="26">
        <f t="shared" si="49"/>
        <v>82.333333333332916</v>
      </c>
    </row>
    <row r="232" spans="4:37" ht="20.100000000000001" customHeight="1">
      <c r="D232" s="27">
        <f t="shared" si="48"/>
        <v>0.63611111111110941</v>
      </c>
      <c r="E232" s="16">
        <f t="shared" si="63"/>
        <v>169.20555555555671</v>
      </c>
      <c r="F232" s="16">
        <f t="shared" si="63"/>
        <v>175.56666666666567</v>
      </c>
      <c r="G232" s="16">
        <f t="shared" si="63"/>
        <v>181.92777777777792</v>
      </c>
      <c r="H232" s="17">
        <f t="shared" si="63"/>
        <v>156.48333333333284</v>
      </c>
      <c r="I232" s="17">
        <f t="shared" si="63"/>
        <v>162.84444444444478</v>
      </c>
      <c r="J232" s="17">
        <f t="shared" si="63"/>
        <v>169.20555555555671</v>
      </c>
      <c r="K232" s="18">
        <f t="shared" si="63"/>
        <v>143.76111111111268</v>
      </c>
      <c r="L232" s="18">
        <f t="shared" si="63"/>
        <v>150.1222222222209</v>
      </c>
      <c r="M232" s="18">
        <f t="shared" si="63"/>
        <v>156.48333333333284</v>
      </c>
      <c r="N232" s="19">
        <f t="shared" si="63"/>
        <v>114.5</v>
      </c>
      <c r="O232" s="19">
        <f t="shared" si="63"/>
        <v>120.86111111111194</v>
      </c>
      <c r="P232" s="19">
        <f t="shared" si="63"/>
        <v>127.22222222222385</v>
      </c>
      <c r="Q232" s="20">
        <f t="shared" si="63"/>
        <v>108.13888888888806</v>
      </c>
      <c r="R232" s="20">
        <f t="shared" si="63"/>
        <v>114.5</v>
      </c>
      <c r="S232" s="20">
        <f t="shared" si="63"/>
        <v>120.86111111111194</v>
      </c>
      <c r="T232" s="21">
        <f t="shared" si="62"/>
        <v>101.77777777777698</v>
      </c>
      <c r="U232" s="21">
        <f t="shared" si="62"/>
        <v>108.13888888888806</v>
      </c>
      <c r="V232" s="21">
        <f t="shared" si="62"/>
        <v>114.5</v>
      </c>
      <c r="W232" s="22">
        <f t="shared" si="62"/>
        <v>95.416666666666785</v>
      </c>
      <c r="X232" s="22">
        <f t="shared" si="62"/>
        <v>101.77777777777698</v>
      </c>
      <c r="Y232" s="22">
        <f t="shared" si="62"/>
        <v>108.13888888888806</v>
      </c>
      <c r="Z232" s="23">
        <f t="shared" si="62"/>
        <v>89.055555555555969</v>
      </c>
      <c r="AA232" s="23">
        <f t="shared" si="62"/>
        <v>95.416666666666785</v>
      </c>
      <c r="AB232" s="23">
        <f t="shared" si="62"/>
        <v>101.77777777777698</v>
      </c>
      <c r="AC232" s="24">
        <f t="shared" si="62"/>
        <v>82.694444444444031</v>
      </c>
      <c r="AD232" s="24">
        <f t="shared" si="62"/>
        <v>89.055555555555969</v>
      </c>
      <c r="AE232" s="24">
        <f t="shared" si="62"/>
        <v>95.416666666666785</v>
      </c>
      <c r="AF232" s="25">
        <f t="shared" si="62"/>
        <v>76.333333333333954</v>
      </c>
      <c r="AG232" s="25">
        <f t="shared" si="62"/>
        <v>82.694444444444031</v>
      </c>
      <c r="AH232" s="25">
        <f t="shared" si="64"/>
        <v>89.055555555555969</v>
      </c>
      <c r="AI232" s="26">
        <f t="shared" si="64"/>
        <v>69.972222222222015</v>
      </c>
      <c r="AJ232" s="26">
        <f t="shared" si="59"/>
        <v>76.333333333333954</v>
      </c>
      <c r="AK232" s="26">
        <f t="shared" si="49"/>
        <v>82.694444444444031</v>
      </c>
    </row>
    <row r="233" spans="4:37" ht="20.100000000000001" customHeight="1">
      <c r="D233" s="27">
        <f t="shared" si="48"/>
        <v>0.63888888888888717</v>
      </c>
      <c r="E233" s="16">
        <f t="shared" si="63"/>
        <v>169.94444444444559</v>
      </c>
      <c r="F233" s="16">
        <f t="shared" si="63"/>
        <v>176.33333333333235</v>
      </c>
      <c r="G233" s="16">
        <f t="shared" si="63"/>
        <v>182.72222222222237</v>
      </c>
      <c r="H233" s="17">
        <f t="shared" si="63"/>
        <v>157.16666666666617</v>
      </c>
      <c r="I233" s="17">
        <f t="shared" si="63"/>
        <v>163.55555555555588</v>
      </c>
      <c r="J233" s="17">
        <f t="shared" si="63"/>
        <v>169.94444444444559</v>
      </c>
      <c r="K233" s="18">
        <f t="shared" si="63"/>
        <v>144.38888888889045</v>
      </c>
      <c r="L233" s="18">
        <f t="shared" si="63"/>
        <v>150.77777777777646</v>
      </c>
      <c r="M233" s="18">
        <f t="shared" si="63"/>
        <v>157.16666666666617</v>
      </c>
      <c r="N233" s="19">
        <f t="shared" si="63"/>
        <v>115</v>
      </c>
      <c r="O233" s="19">
        <f t="shared" si="63"/>
        <v>121.38888888888971</v>
      </c>
      <c r="P233" s="19">
        <f t="shared" si="63"/>
        <v>127.77777777777941</v>
      </c>
      <c r="Q233" s="20">
        <f t="shared" si="63"/>
        <v>108.61111111111029</v>
      </c>
      <c r="R233" s="20">
        <f t="shared" si="63"/>
        <v>115</v>
      </c>
      <c r="S233" s="20">
        <f t="shared" si="63"/>
        <v>121.38888888888971</v>
      </c>
      <c r="T233" s="21">
        <f t="shared" si="62"/>
        <v>102.22222222222142</v>
      </c>
      <c r="U233" s="21">
        <f t="shared" si="62"/>
        <v>108.61111111111029</v>
      </c>
      <c r="V233" s="21">
        <f t="shared" si="62"/>
        <v>115</v>
      </c>
      <c r="W233" s="22">
        <f t="shared" si="62"/>
        <v>95.833333333333456</v>
      </c>
      <c r="X233" s="22">
        <f t="shared" si="62"/>
        <v>102.22222222222142</v>
      </c>
      <c r="Y233" s="22">
        <f t="shared" si="62"/>
        <v>108.61111111111029</v>
      </c>
      <c r="Z233" s="23">
        <f t="shared" si="62"/>
        <v>89.444444444444855</v>
      </c>
      <c r="AA233" s="23">
        <f t="shared" si="62"/>
        <v>95.833333333333456</v>
      </c>
      <c r="AB233" s="23">
        <f t="shared" si="62"/>
        <v>102.22222222222142</v>
      </c>
      <c r="AC233" s="24">
        <f t="shared" si="62"/>
        <v>83.055555555555145</v>
      </c>
      <c r="AD233" s="24">
        <f t="shared" si="62"/>
        <v>89.444444444444855</v>
      </c>
      <c r="AE233" s="24">
        <f t="shared" si="62"/>
        <v>95.833333333333456</v>
      </c>
      <c r="AF233" s="25">
        <f t="shared" si="62"/>
        <v>76.666666666667282</v>
      </c>
      <c r="AG233" s="25">
        <f t="shared" si="62"/>
        <v>83.055555555555145</v>
      </c>
      <c r="AH233" s="25">
        <f t="shared" si="64"/>
        <v>89.444444444444855</v>
      </c>
      <c r="AI233" s="26">
        <f t="shared" si="64"/>
        <v>70.277777777777573</v>
      </c>
      <c r="AJ233" s="26">
        <f t="shared" si="59"/>
        <v>76.666666666667282</v>
      </c>
      <c r="AK233" s="26">
        <f t="shared" si="49"/>
        <v>83.055555555555145</v>
      </c>
    </row>
    <row r="234" spans="4:37" ht="20.100000000000001" customHeight="1">
      <c r="D234" s="27">
        <f t="shared" si="48"/>
        <v>0.64166666666666494</v>
      </c>
      <c r="E234" s="16">
        <f t="shared" si="63"/>
        <v>170.68333333333447</v>
      </c>
      <c r="F234" s="16">
        <f t="shared" si="63"/>
        <v>177.09999999999903</v>
      </c>
      <c r="G234" s="16">
        <f t="shared" si="63"/>
        <v>183.51666666666682</v>
      </c>
      <c r="H234" s="17">
        <f t="shared" si="63"/>
        <v>157.84999999999951</v>
      </c>
      <c r="I234" s="17">
        <f t="shared" si="63"/>
        <v>164.26666666666699</v>
      </c>
      <c r="J234" s="17">
        <f t="shared" si="63"/>
        <v>170.68333333333447</v>
      </c>
      <c r="K234" s="18">
        <f t="shared" si="63"/>
        <v>145.01666666666821</v>
      </c>
      <c r="L234" s="18">
        <f t="shared" si="63"/>
        <v>151.43333333333203</v>
      </c>
      <c r="M234" s="18">
        <f t="shared" si="63"/>
        <v>157.84999999999951</v>
      </c>
      <c r="N234" s="19">
        <f t="shared" si="63"/>
        <v>115.5</v>
      </c>
      <c r="O234" s="19">
        <f t="shared" si="63"/>
        <v>121.91666666666748</v>
      </c>
      <c r="P234" s="19">
        <f t="shared" si="63"/>
        <v>128.33333333333496</v>
      </c>
      <c r="Q234" s="20">
        <f t="shared" si="63"/>
        <v>109.08333333333252</v>
      </c>
      <c r="R234" s="20">
        <f t="shared" si="63"/>
        <v>115.5</v>
      </c>
      <c r="S234" s="20">
        <f t="shared" si="63"/>
        <v>121.91666666666748</v>
      </c>
      <c r="T234" s="21">
        <f t="shared" si="62"/>
        <v>102.66666666666586</v>
      </c>
      <c r="U234" s="21">
        <f t="shared" si="62"/>
        <v>109.08333333333252</v>
      </c>
      <c r="V234" s="21">
        <f t="shared" si="62"/>
        <v>115.5</v>
      </c>
      <c r="W234" s="22">
        <f t="shared" si="62"/>
        <v>96.250000000000128</v>
      </c>
      <c r="X234" s="22">
        <f t="shared" si="62"/>
        <v>102.66666666666586</v>
      </c>
      <c r="Y234" s="22">
        <f t="shared" si="62"/>
        <v>109.08333333333252</v>
      </c>
      <c r="Z234" s="23">
        <f t="shared" si="62"/>
        <v>89.833333333333741</v>
      </c>
      <c r="AA234" s="23">
        <f t="shared" si="62"/>
        <v>96.250000000000128</v>
      </c>
      <c r="AB234" s="23">
        <f t="shared" si="62"/>
        <v>102.66666666666586</v>
      </c>
      <c r="AC234" s="24">
        <f t="shared" si="62"/>
        <v>83.416666666666259</v>
      </c>
      <c r="AD234" s="24">
        <f t="shared" si="62"/>
        <v>89.833333333333741</v>
      </c>
      <c r="AE234" s="24">
        <f t="shared" si="62"/>
        <v>96.250000000000128</v>
      </c>
      <c r="AF234" s="25">
        <f t="shared" si="62"/>
        <v>77.000000000000611</v>
      </c>
      <c r="AG234" s="25">
        <f t="shared" si="62"/>
        <v>83.416666666666259</v>
      </c>
      <c r="AH234" s="25">
        <f t="shared" si="62"/>
        <v>89.833333333333741</v>
      </c>
      <c r="AI234" s="26">
        <f t="shared" si="62"/>
        <v>70.58333333333313</v>
      </c>
      <c r="AJ234" s="26">
        <f t="shared" ref="AJ234:AK276" si="65">AJ235-(AJ$363/360)</f>
        <v>77.000000000000611</v>
      </c>
      <c r="AK234" s="26">
        <f t="shared" si="65"/>
        <v>83.416666666666259</v>
      </c>
    </row>
    <row r="235" spans="4:37" ht="20.100000000000001" customHeight="1">
      <c r="D235" s="27">
        <f t="shared" si="48"/>
        <v>0.64444444444444271</v>
      </c>
      <c r="E235" s="16">
        <f t="shared" si="63"/>
        <v>171.42222222222335</v>
      </c>
      <c r="F235" s="16">
        <f t="shared" si="63"/>
        <v>177.86666666666571</v>
      </c>
      <c r="G235" s="16">
        <f t="shared" si="63"/>
        <v>184.31111111111127</v>
      </c>
      <c r="H235" s="17">
        <f t="shared" si="63"/>
        <v>158.53333333333285</v>
      </c>
      <c r="I235" s="17">
        <f t="shared" si="63"/>
        <v>164.9777777777781</v>
      </c>
      <c r="J235" s="17">
        <f t="shared" si="63"/>
        <v>171.42222222222335</v>
      </c>
      <c r="K235" s="18">
        <f t="shared" si="63"/>
        <v>145.64444444444598</v>
      </c>
      <c r="L235" s="18">
        <f t="shared" si="63"/>
        <v>152.0888888888876</v>
      </c>
      <c r="M235" s="18">
        <f t="shared" si="63"/>
        <v>158.53333333333285</v>
      </c>
      <c r="N235" s="19">
        <f t="shared" si="63"/>
        <v>116</v>
      </c>
      <c r="O235" s="19">
        <f t="shared" si="63"/>
        <v>122.44444444444525</v>
      </c>
      <c r="P235" s="19">
        <f t="shared" si="63"/>
        <v>128.88888888889051</v>
      </c>
      <c r="Q235" s="20">
        <f t="shared" si="63"/>
        <v>109.55555555555475</v>
      </c>
      <c r="R235" s="20">
        <f t="shared" si="63"/>
        <v>116</v>
      </c>
      <c r="S235" s="20">
        <f t="shared" si="63"/>
        <v>122.44444444444525</v>
      </c>
      <c r="T235" s="21">
        <f t="shared" si="62"/>
        <v>103.1111111111103</v>
      </c>
      <c r="U235" s="21">
        <f t="shared" si="62"/>
        <v>109.55555555555475</v>
      </c>
      <c r="V235" s="21">
        <f t="shared" si="62"/>
        <v>116</v>
      </c>
      <c r="W235" s="22">
        <f t="shared" si="62"/>
        <v>96.666666666666799</v>
      </c>
      <c r="X235" s="22">
        <f t="shared" si="62"/>
        <v>103.1111111111103</v>
      </c>
      <c r="Y235" s="22">
        <f t="shared" si="62"/>
        <v>109.55555555555475</v>
      </c>
      <c r="Z235" s="23">
        <f t="shared" si="62"/>
        <v>90.222222222222626</v>
      </c>
      <c r="AA235" s="23">
        <f t="shared" si="62"/>
        <v>96.666666666666799</v>
      </c>
      <c r="AB235" s="23">
        <f t="shared" si="62"/>
        <v>103.1111111111103</v>
      </c>
      <c r="AC235" s="24">
        <f t="shared" si="62"/>
        <v>83.777777777777374</v>
      </c>
      <c r="AD235" s="24">
        <f t="shared" si="62"/>
        <v>90.222222222222626</v>
      </c>
      <c r="AE235" s="24">
        <f t="shared" si="62"/>
        <v>96.666666666666799</v>
      </c>
      <c r="AF235" s="25">
        <f t="shared" si="62"/>
        <v>77.33333333333394</v>
      </c>
      <c r="AG235" s="25">
        <f t="shared" si="62"/>
        <v>83.777777777777374</v>
      </c>
      <c r="AH235" s="25">
        <f t="shared" si="62"/>
        <v>90.222222222222626</v>
      </c>
      <c r="AI235" s="26">
        <f t="shared" si="62"/>
        <v>70.888888888888687</v>
      </c>
      <c r="AJ235" s="26">
        <f t="shared" si="65"/>
        <v>77.33333333333394</v>
      </c>
      <c r="AK235" s="26">
        <f t="shared" si="65"/>
        <v>83.777777777777374</v>
      </c>
    </row>
    <row r="236" spans="4:37" ht="20.100000000000001" customHeight="1">
      <c r="D236" s="27">
        <f t="shared" si="48"/>
        <v>0.64722222222222048</v>
      </c>
      <c r="E236" s="16">
        <f t="shared" si="63"/>
        <v>172.16111111111223</v>
      </c>
      <c r="F236" s="16">
        <f t="shared" si="63"/>
        <v>178.63333333333239</v>
      </c>
      <c r="G236" s="16">
        <f t="shared" si="63"/>
        <v>185.10555555555572</v>
      </c>
      <c r="H236" s="17">
        <f t="shared" si="63"/>
        <v>159.21666666666619</v>
      </c>
      <c r="I236" s="17">
        <f t="shared" si="63"/>
        <v>165.68888888888921</v>
      </c>
      <c r="J236" s="17">
        <f t="shared" si="63"/>
        <v>172.16111111111223</v>
      </c>
      <c r="K236" s="18">
        <f t="shared" si="63"/>
        <v>146.27222222222375</v>
      </c>
      <c r="L236" s="18">
        <f t="shared" si="63"/>
        <v>152.74444444444316</v>
      </c>
      <c r="M236" s="18">
        <f t="shared" si="63"/>
        <v>159.21666666666619</v>
      </c>
      <c r="N236" s="19">
        <f t="shared" si="63"/>
        <v>116.5</v>
      </c>
      <c r="O236" s="19">
        <f t="shared" si="63"/>
        <v>122.97222222222302</v>
      </c>
      <c r="P236" s="19">
        <f t="shared" si="63"/>
        <v>129.44444444444605</v>
      </c>
      <c r="Q236" s="20">
        <f t="shared" si="63"/>
        <v>110.02777777777698</v>
      </c>
      <c r="R236" s="20">
        <f t="shared" si="63"/>
        <v>116.5</v>
      </c>
      <c r="S236" s="20">
        <f t="shared" si="63"/>
        <v>122.97222222222302</v>
      </c>
      <c r="T236" s="21">
        <f t="shared" si="62"/>
        <v>103.55555555555475</v>
      </c>
      <c r="U236" s="21">
        <f t="shared" si="62"/>
        <v>110.02777777777698</v>
      </c>
      <c r="V236" s="21">
        <f t="shared" si="62"/>
        <v>116.5</v>
      </c>
      <c r="W236" s="22">
        <f t="shared" si="62"/>
        <v>97.083333333333471</v>
      </c>
      <c r="X236" s="22">
        <f t="shared" si="62"/>
        <v>103.55555555555475</v>
      </c>
      <c r="Y236" s="22">
        <f t="shared" si="62"/>
        <v>110.02777777777698</v>
      </c>
      <c r="Z236" s="23">
        <f t="shared" si="62"/>
        <v>90.611111111111512</v>
      </c>
      <c r="AA236" s="23">
        <f t="shared" si="62"/>
        <v>97.083333333333471</v>
      </c>
      <c r="AB236" s="23">
        <f t="shared" si="62"/>
        <v>103.55555555555475</v>
      </c>
      <c r="AC236" s="24">
        <f t="shared" si="62"/>
        <v>84.138888888888488</v>
      </c>
      <c r="AD236" s="24">
        <f t="shared" si="62"/>
        <v>90.611111111111512</v>
      </c>
      <c r="AE236" s="24">
        <f t="shared" si="62"/>
        <v>97.083333333333471</v>
      </c>
      <c r="AF236" s="25">
        <f t="shared" si="62"/>
        <v>77.666666666667268</v>
      </c>
      <c r="AG236" s="25">
        <f t="shared" si="62"/>
        <v>84.138888888888488</v>
      </c>
      <c r="AH236" s="25">
        <f t="shared" si="62"/>
        <v>90.611111111111512</v>
      </c>
      <c r="AI236" s="26">
        <f t="shared" si="62"/>
        <v>71.194444444444244</v>
      </c>
      <c r="AJ236" s="26">
        <f t="shared" si="65"/>
        <v>77.666666666667268</v>
      </c>
      <c r="AK236" s="26">
        <f t="shared" si="65"/>
        <v>84.138888888888488</v>
      </c>
    </row>
    <row r="237" spans="4:37" ht="20.100000000000001" customHeight="1">
      <c r="D237" s="27">
        <f t="shared" si="48"/>
        <v>0.64999999999999825</v>
      </c>
      <c r="E237" s="16">
        <f t="shared" si="63"/>
        <v>172.90000000000111</v>
      </c>
      <c r="F237" s="16">
        <f t="shared" si="63"/>
        <v>179.39999999999907</v>
      </c>
      <c r="G237" s="16">
        <f t="shared" si="63"/>
        <v>185.90000000000018</v>
      </c>
      <c r="H237" s="17">
        <f t="shared" si="63"/>
        <v>159.89999999999952</v>
      </c>
      <c r="I237" s="17">
        <f t="shared" si="63"/>
        <v>166.40000000000032</v>
      </c>
      <c r="J237" s="17">
        <f t="shared" si="63"/>
        <v>172.90000000000111</v>
      </c>
      <c r="K237" s="18">
        <f t="shared" si="63"/>
        <v>146.90000000000151</v>
      </c>
      <c r="L237" s="18">
        <f t="shared" si="63"/>
        <v>153.39999999999873</v>
      </c>
      <c r="M237" s="18">
        <f t="shared" si="63"/>
        <v>159.89999999999952</v>
      </c>
      <c r="N237" s="19">
        <f t="shared" si="63"/>
        <v>117</v>
      </c>
      <c r="O237" s="19">
        <f t="shared" si="63"/>
        <v>123.5000000000008</v>
      </c>
      <c r="P237" s="19">
        <f t="shared" si="63"/>
        <v>130.00000000000159</v>
      </c>
      <c r="Q237" s="20">
        <f t="shared" si="63"/>
        <v>110.4999999999992</v>
      </c>
      <c r="R237" s="20">
        <f t="shared" si="63"/>
        <v>117</v>
      </c>
      <c r="S237" s="20">
        <f t="shared" si="63"/>
        <v>123.5000000000008</v>
      </c>
      <c r="T237" s="21">
        <f t="shared" si="62"/>
        <v>103.99999999999919</v>
      </c>
      <c r="U237" s="21">
        <f t="shared" si="62"/>
        <v>110.4999999999992</v>
      </c>
      <c r="V237" s="21">
        <f t="shared" si="62"/>
        <v>117</v>
      </c>
      <c r="W237" s="22">
        <f t="shared" si="62"/>
        <v>97.500000000000142</v>
      </c>
      <c r="X237" s="22">
        <f t="shared" si="62"/>
        <v>103.99999999999919</v>
      </c>
      <c r="Y237" s="22">
        <f t="shared" si="62"/>
        <v>110.4999999999992</v>
      </c>
      <c r="Z237" s="23">
        <f t="shared" si="62"/>
        <v>91.000000000000398</v>
      </c>
      <c r="AA237" s="23">
        <f t="shared" si="62"/>
        <v>97.500000000000142</v>
      </c>
      <c r="AB237" s="23">
        <f t="shared" si="62"/>
        <v>103.99999999999919</v>
      </c>
      <c r="AC237" s="24">
        <f t="shared" si="62"/>
        <v>84.499999999999602</v>
      </c>
      <c r="AD237" s="24">
        <f t="shared" si="62"/>
        <v>91.000000000000398</v>
      </c>
      <c r="AE237" s="24">
        <f t="shared" si="62"/>
        <v>97.500000000000142</v>
      </c>
      <c r="AF237" s="25">
        <f t="shared" si="62"/>
        <v>78.000000000000597</v>
      </c>
      <c r="AG237" s="25">
        <f t="shared" si="62"/>
        <v>84.499999999999602</v>
      </c>
      <c r="AH237" s="25">
        <f t="shared" si="62"/>
        <v>91.000000000000398</v>
      </c>
      <c r="AI237" s="26">
        <f t="shared" si="62"/>
        <v>71.499999999999801</v>
      </c>
      <c r="AJ237" s="26">
        <f t="shared" si="65"/>
        <v>78.000000000000597</v>
      </c>
      <c r="AK237" s="26">
        <f t="shared" si="65"/>
        <v>84.499999999999602</v>
      </c>
    </row>
    <row r="238" spans="4:37" ht="20.100000000000001" customHeight="1">
      <c r="D238" s="27">
        <f t="shared" si="48"/>
        <v>0.65277777777777601</v>
      </c>
      <c r="E238" s="16">
        <f t="shared" si="63"/>
        <v>173.63888888888999</v>
      </c>
      <c r="F238" s="16">
        <f t="shared" si="63"/>
        <v>180.16666666666575</v>
      </c>
      <c r="G238" s="16">
        <f t="shared" si="63"/>
        <v>186.69444444444463</v>
      </c>
      <c r="H238" s="17">
        <f t="shared" si="63"/>
        <v>160.58333333333286</v>
      </c>
      <c r="I238" s="17">
        <f t="shared" si="63"/>
        <v>167.11111111111143</v>
      </c>
      <c r="J238" s="17">
        <f t="shared" si="63"/>
        <v>173.63888888888999</v>
      </c>
      <c r="K238" s="18">
        <f t="shared" si="63"/>
        <v>147.52777777777928</v>
      </c>
      <c r="L238" s="18">
        <f t="shared" si="63"/>
        <v>154.05555555555429</v>
      </c>
      <c r="M238" s="18">
        <f t="shared" si="63"/>
        <v>160.58333333333286</v>
      </c>
      <c r="N238" s="19">
        <f t="shared" si="63"/>
        <v>117.5</v>
      </c>
      <c r="O238" s="19">
        <f t="shared" si="63"/>
        <v>124.02777777777857</v>
      </c>
      <c r="P238" s="19">
        <f t="shared" si="63"/>
        <v>130.55555555555713</v>
      </c>
      <c r="Q238" s="20">
        <f t="shared" si="63"/>
        <v>110.97222222222143</v>
      </c>
      <c r="R238" s="20">
        <f t="shared" si="63"/>
        <v>117.5</v>
      </c>
      <c r="S238" s="20">
        <f t="shared" si="63"/>
        <v>124.02777777777857</v>
      </c>
      <c r="T238" s="21">
        <f t="shared" si="62"/>
        <v>104.44444444444363</v>
      </c>
      <c r="U238" s="21">
        <f t="shared" si="62"/>
        <v>110.97222222222143</v>
      </c>
      <c r="V238" s="21">
        <f t="shared" si="62"/>
        <v>117.5</v>
      </c>
      <c r="W238" s="22">
        <f t="shared" si="62"/>
        <v>97.916666666666814</v>
      </c>
      <c r="X238" s="22">
        <f t="shared" si="62"/>
        <v>104.44444444444363</v>
      </c>
      <c r="Y238" s="22">
        <f t="shared" si="62"/>
        <v>110.97222222222143</v>
      </c>
      <c r="Z238" s="23">
        <f t="shared" si="62"/>
        <v>91.388888888889284</v>
      </c>
      <c r="AA238" s="23">
        <f t="shared" si="62"/>
        <v>97.916666666666814</v>
      </c>
      <c r="AB238" s="23">
        <f t="shared" si="62"/>
        <v>104.44444444444363</v>
      </c>
      <c r="AC238" s="24">
        <f t="shared" si="62"/>
        <v>84.861111111110716</v>
      </c>
      <c r="AD238" s="24">
        <f t="shared" si="62"/>
        <v>91.388888888889284</v>
      </c>
      <c r="AE238" s="24">
        <f t="shared" si="62"/>
        <v>97.916666666666814</v>
      </c>
      <c r="AF238" s="25">
        <f t="shared" si="62"/>
        <v>78.333333333333925</v>
      </c>
      <c r="AG238" s="25">
        <f t="shared" si="62"/>
        <v>84.861111111110716</v>
      </c>
      <c r="AH238" s="25">
        <f t="shared" si="62"/>
        <v>91.388888888889284</v>
      </c>
      <c r="AI238" s="26">
        <f t="shared" si="62"/>
        <v>71.805555555555358</v>
      </c>
      <c r="AJ238" s="26">
        <f t="shared" si="65"/>
        <v>78.333333333333925</v>
      </c>
      <c r="AK238" s="26">
        <f t="shared" si="65"/>
        <v>84.861111111110716</v>
      </c>
    </row>
    <row r="239" spans="4:37" ht="20.100000000000001" customHeight="1">
      <c r="D239" s="27">
        <f t="shared" si="48"/>
        <v>0.65555555555555378</v>
      </c>
      <c r="E239" s="16">
        <f t="shared" si="63"/>
        <v>174.37777777777887</v>
      </c>
      <c r="F239" s="16">
        <f t="shared" si="63"/>
        <v>180.93333333333243</v>
      </c>
      <c r="G239" s="16">
        <f t="shared" si="63"/>
        <v>187.48888888888908</v>
      </c>
      <c r="H239" s="17">
        <f t="shared" si="63"/>
        <v>161.2666666666662</v>
      </c>
      <c r="I239" s="17">
        <f t="shared" si="63"/>
        <v>167.82222222222254</v>
      </c>
      <c r="J239" s="17">
        <f t="shared" si="63"/>
        <v>174.37777777777887</v>
      </c>
      <c r="K239" s="18">
        <f t="shared" si="63"/>
        <v>148.15555555555704</v>
      </c>
      <c r="L239" s="18">
        <f t="shared" si="63"/>
        <v>154.71111111110986</v>
      </c>
      <c r="M239" s="18">
        <f t="shared" si="63"/>
        <v>161.2666666666662</v>
      </c>
      <c r="N239" s="19">
        <f t="shared" si="63"/>
        <v>118</v>
      </c>
      <c r="O239" s="19">
        <f t="shared" si="63"/>
        <v>124.55555555555634</v>
      </c>
      <c r="P239" s="19">
        <f t="shared" si="63"/>
        <v>131.11111111111268</v>
      </c>
      <c r="Q239" s="20">
        <f t="shared" si="63"/>
        <v>111.44444444444366</v>
      </c>
      <c r="R239" s="20">
        <f t="shared" si="63"/>
        <v>118</v>
      </c>
      <c r="S239" s="20">
        <f t="shared" si="63"/>
        <v>124.55555555555634</v>
      </c>
      <c r="T239" s="21">
        <f t="shared" si="62"/>
        <v>104.88888888888808</v>
      </c>
      <c r="U239" s="21">
        <f t="shared" si="62"/>
        <v>111.44444444444366</v>
      </c>
      <c r="V239" s="21">
        <f t="shared" si="62"/>
        <v>118</v>
      </c>
      <c r="W239" s="22">
        <f t="shared" si="62"/>
        <v>98.333333333333485</v>
      </c>
      <c r="X239" s="22">
        <f t="shared" si="62"/>
        <v>104.88888888888808</v>
      </c>
      <c r="Y239" s="22">
        <f t="shared" si="62"/>
        <v>111.44444444444366</v>
      </c>
      <c r="Z239" s="23">
        <f t="shared" si="62"/>
        <v>91.777777777778169</v>
      </c>
      <c r="AA239" s="23">
        <f t="shared" si="62"/>
        <v>98.333333333333485</v>
      </c>
      <c r="AB239" s="23">
        <f t="shared" si="62"/>
        <v>104.88888888888808</v>
      </c>
      <c r="AC239" s="24">
        <f t="shared" si="62"/>
        <v>85.222222222221831</v>
      </c>
      <c r="AD239" s="24">
        <f t="shared" si="62"/>
        <v>91.777777777778169</v>
      </c>
      <c r="AE239" s="24">
        <f t="shared" si="62"/>
        <v>98.333333333333485</v>
      </c>
      <c r="AF239" s="25">
        <f t="shared" si="62"/>
        <v>78.666666666667254</v>
      </c>
      <c r="AG239" s="25">
        <f t="shared" si="62"/>
        <v>85.222222222221831</v>
      </c>
      <c r="AH239" s="25">
        <f t="shared" si="62"/>
        <v>91.777777777778169</v>
      </c>
      <c r="AI239" s="26">
        <f t="shared" si="62"/>
        <v>72.111111111110915</v>
      </c>
      <c r="AJ239" s="26">
        <f t="shared" si="65"/>
        <v>78.666666666667254</v>
      </c>
      <c r="AK239" s="26">
        <f t="shared" si="65"/>
        <v>85.222222222221831</v>
      </c>
    </row>
    <row r="240" spans="4:37" ht="20.100000000000001" customHeight="1">
      <c r="D240" s="27">
        <f t="shared" si="48"/>
        <v>0.65833333333333155</v>
      </c>
      <c r="E240" s="16">
        <f t="shared" si="63"/>
        <v>175.11666666666775</v>
      </c>
      <c r="F240" s="16">
        <f t="shared" si="63"/>
        <v>181.69999999999911</v>
      </c>
      <c r="G240" s="16">
        <f t="shared" si="63"/>
        <v>188.28333333333353</v>
      </c>
      <c r="H240" s="17">
        <f t="shared" si="63"/>
        <v>161.94999999999953</v>
      </c>
      <c r="I240" s="17">
        <f t="shared" si="63"/>
        <v>168.53333333333364</v>
      </c>
      <c r="J240" s="17">
        <f t="shared" si="63"/>
        <v>175.11666666666775</v>
      </c>
      <c r="K240" s="18">
        <f t="shared" si="63"/>
        <v>148.78333333333481</v>
      </c>
      <c r="L240" s="18">
        <f t="shared" si="63"/>
        <v>155.36666666666542</v>
      </c>
      <c r="M240" s="18">
        <f t="shared" si="63"/>
        <v>161.94999999999953</v>
      </c>
      <c r="N240" s="19">
        <f t="shared" si="63"/>
        <v>118.5</v>
      </c>
      <c r="O240" s="19">
        <f t="shared" si="63"/>
        <v>125.08333333333411</v>
      </c>
      <c r="P240" s="19">
        <f t="shared" si="63"/>
        <v>131.66666666666822</v>
      </c>
      <c r="Q240" s="20">
        <f t="shared" si="63"/>
        <v>111.91666666666589</v>
      </c>
      <c r="R240" s="20">
        <f t="shared" si="63"/>
        <v>118.5</v>
      </c>
      <c r="S240" s="20">
        <f t="shared" si="63"/>
        <v>125.08333333333411</v>
      </c>
      <c r="T240" s="21">
        <f t="shared" si="62"/>
        <v>105.33333333333252</v>
      </c>
      <c r="U240" s="21">
        <f t="shared" si="62"/>
        <v>111.91666666666589</v>
      </c>
      <c r="V240" s="21">
        <f t="shared" si="62"/>
        <v>118.5</v>
      </c>
      <c r="W240" s="22">
        <f t="shared" si="62"/>
        <v>98.750000000000156</v>
      </c>
      <c r="X240" s="22">
        <f t="shared" si="62"/>
        <v>105.33333333333252</v>
      </c>
      <c r="Y240" s="22">
        <f t="shared" si="62"/>
        <v>111.91666666666589</v>
      </c>
      <c r="Z240" s="23">
        <f t="shared" si="62"/>
        <v>92.166666666667055</v>
      </c>
      <c r="AA240" s="23">
        <f t="shared" si="62"/>
        <v>98.750000000000156</v>
      </c>
      <c r="AB240" s="23">
        <f t="shared" si="62"/>
        <v>105.33333333333252</v>
      </c>
      <c r="AC240" s="24">
        <f t="shared" si="62"/>
        <v>85.583333333332945</v>
      </c>
      <c r="AD240" s="24">
        <f t="shared" si="62"/>
        <v>92.166666666667055</v>
      </c>
      <c r="AE240" s="24">
        <f t="shared" si="62"/>
        <v>98.750000000000156</v>
      </c>
      <c r="AF240" s="25">
        <f t="shared" si="62"/>
        <v>79.000000000000583</v>
      </c>
      <c r="AG240" s="25">
        <f t="shared" si="62"/>
        <v>85.583333333332945</v>
      </c>
      <c r="AH240" s="25">
        <f t="shared" si="62"/>
        <v>92.166666666667055</v>
      </c>
      <c r="AI240" s="26">
        <f t="shared" si="62"/>
        <v>72.416666666666472</v>
      </c>
      <c r="AJ240" s="26">
        <f t="shared" si="65"/>
        <v>79.000000000000583</v>
      </c>
      <c r="AK240" s="26">
        <f t="shared" si="65"/>
        <v>85.583333333332945</v>
      </c>
    </row>
    <row r="241" spans="4:37" ht="20.100000000000001" customHeight="1">
      <c r="D241" s="27">
        <f t="shared" si="48"/>
        <v>0.66111111111110932</v>
      </c>
      <c r="E241" s="16">
        <f t="shared" si="63"/>
        <v>175.85555555555663</v>
      </c>
      <c r="F241" s="16">
        <f t="shared" si="63"/>
        <v>182.46666666666579</v>
      </c>
      <c r="G241" s="16">
        <f t="shared" si="63"/>
        <v>189.07777777777798</v>
      </c>
      <c r="H241" s="17">
        <f t="shared" si="63"/>
        <v>162.63333333333287</v>
      </c>
      <c r="I241" s="17">
        <f t="shared" si="63"/>
        <v>169.24444444444475</v>
      </c>
      <c r="J241" s="17">
        <f t="shared" si="63"/>
        <v>175.85555555555663</v>
      </c>
      <c r="K241" s="18">
        <f t="shared" si="63"/>
        <v>149.41111111111258</v>
      </c>
      <c r="L241" s="18">
        <f t="shared" si="63"/>
        <v>156.02222222222099</v>
      </c>
      <c r="M241" s="18">
        <f t="shared" si="63"/>
        <v>162.63333333333287</v>
      </c>
      <c r="N241" s="19">
        <f t="shared" si="63"/>
        <v>119</v>
      </c>
      <c r="O241" s="19">
        <f t="shared" si="63"/>
        <v>125.61111111111188</v>
      </c>
      <c r="P241" s="19">
        <f t="shared" si="63"/>
        <v>132.22222222222376</v>
      </c>
      <c r="Q241" s="20">
        <f t="shared" si="63"/>
        <v>112.38888888888812</v>
      </c>
      <c r="R241" s="20">
        <f t="shared" si="63"/>
        <v>119</v>
      </c>
      <c r="S241" s="20">
        <f t="shared" si="63"/>
        <v>125.61111111111188</v>
      </c>
      <c r="T241" s="21">
        <f t="shared" si="63"/>
        <v>105.77777777777696</v>
      </c>
      <c r="U241" s="21">
        <f t="shared" ref="U241:AJ257" si="66">U242-(U$363/360)</f>
        <v>112.38888888888812</v>
      </c>
      <c r="V241" s="21">
        <f t="shared" si="66"/>
        <v>119</v>
      </c>
      <c r="W241" s="22">
        <f t="shared" si="66"/>
        <v>99.166666666666828</v>
      </c>
      <c r="X241" s="22">
        <f t="shared" si="66"/>
        <v>105.77777777777696</v>
      </c>
      <c r="Y241" s="22">
        <f t="shared" si="66"/>
        <v>112.38888888888812</v>
      </c>
      <c r="Z241" s="23">
        <f t="shared" si="66"/>
        <v>92.555555555555941</v>
      </c>
      <c r="AA241" s="23">
        <f t="shared" si="66"/>
        <v>99.166666666666828</v>
      </c>
      <c r="AB241" s="23">
        <f t="shared" si="66"/>
        <v>105.77777777777696</v>
      </c>
      <c r="AC241" s="24">
        <f t="shared" si="66"/>
        <v>85.944444444444059</v>
      </c>
      <c r="AD241" s="24">
        <f t="shared" si="66"/>
        <v>92.555555555555941</v>
      </c>
      <c r="AE241" s="24">
        <f t="shared" si="66"/>
        <v>99.166666666666828</v>
      </c>
      <c r="AF241" s="25">
        <f t="shared" si="66"/>
        <v>79.333333333333911</v>
      </c>
      <c r="AG241" s="25">
        <f t="shared" si="66"/>
        <v>85.944444444444059</v>
      </c>
      <c r="AH241" s="25">
        <f t="shared" si="66"/>
        <v>92.555555555555941</v>
      </c>
      <c r="AI241" s="26">
        <f t="shared" si="66"/>
        <v>72.72222222222203</v>
      </c>
      <c r="AJ241" s="26">
        <f t="shared" si="66"/>
        <v>79.333333333333911</v>
      </c>
      <c r="AK241" s="26">
        <f t="shared" si="65"/>
        <v>85.944444444444059</v>
      </c>
    </row>
    <row r="242" spans="4:37" ht="20.100000000000001" customHeight="1">
      <c r="D242" s="27">
        <f t="shared" si="48"/>
        <v>0.66388888888888709</v>
      </c>
      <c r="E242" s="16">
        <f t="shared" si="63"/>
        <v>176.59444444444551</v>
      </c>
      <c r="F242" s="16">
        <f t="shared" si="63"/>
        <v>183.23333333333247</v>
      </c>
      <c r="G242" s="16">
        <f t="shared" si="63"/>
        <v>189.87222222222243</v>
      </c>
      <c r="H242" s="17">
        <f t="shared" si="63"/>
        <v>163.31666666666621</v>
      </c>
      <c r="I242" s="17">
        <f t="shared" si="63"/>
        <v>169.95555555555586</v>
      </c>
      <c r="J242" s="17">
        <f t="shared" si="63"/>
        <v>176.59444444444551</v>
      </c>
      <c r="K242" s="18">
        <f t="shared" si="63"/>
        <v>150.03888888889034</v>
      </c>
      <c r="L242" s="18">
        <f t="shared" si="63"/>
        <v>156.67777777777656</v>
      </c>
      <c r="M242" s="18">
        <f t="shared" si="63"/>
        <v>163.31666666666621</v>
      </c>
      <c r="N242" s="19">
        <f t="shared" si="63"/>
        <v>119.5</v>
      </c>
      <c r="O242" s="19">
        <f t="shared" si="63"/>
        <v>126.13888888888965</v>
      </c>
      <c r="P242" s="19">
        <f t="shared" si="63"/>
        <v>132.77777777777931</v>
      </c>
      <c r="Q242" s="20">
        <f t="shared" ref="Q242:AF244" si="67">Q243-(Q$363/360)</f>
        <v>112.86111111111035</v>
      </c>
      <c r="R242" s="20">
        <f t="shared" si="67"/>
        <v>119.5</v>
      </c>
      <c r="S242" s="20">
        <f t="shared" si="67"/>
        <v>126.13888888888965</v>
      </c>
      <c r="T242" s="21">
        <f t="shared" si="67"/>
        <v>106.2222222222214</v>
      </c>
      <c r="U242" s="21">
        <f t="shared" si="67"/>
        <v>112.86111111111035</v>
      </c>
      <c r="V242" s="21">
        <f t="shared" si="67"/>
        <v>119.5</v>
      </c>
      <c r="W242" s="22">
        <f t="shared" si="67"/>
        <v>99.583333333333499</v>
      </c>
      <c r="X242" s="22">
        <f t="shared" si="67"/>
        <v>106.2222222222214</v>
      </c>
      <c r="Y242" s="22">
        <f t="shared" si="67"/>
        <v>112.86111111111035</v>
      </c>
      <c r="Z242" s="23">
        <f t="shared" si="67"/>
        <v>92.944444444444827</v>
      </c>
      <c r="AA242" s="23">
        <f t="shared" si="67"/>
        <v>99.583333333333499</v>
      </c>
      <c r="AB242" s="23">
        <f t="shared" si="67"/>
        <v>106.2222222222214</v>
      </c>
      <c r="AC242" s="24">
        <f t="shared" si="67"/>
        <v>86.305555555555173</v>
      </c>
      <c r="AD242" s="24">
        <f t="shared" si="67"/>
        <v>92.944444444444827</v>
      </c>
      <c r="AE242" s="24">
        <f t="shared" si="67"/>
        <v>99.583333333333499</v>
      </c>
      <c r="AF242" s="25">
        <f t="shared" si="67"/>
        <v>79.66666666666724</v>
      </c>
      <c r="AG242" s="25">
        <f t="shared" si="66"/>
        <v>86.305555555555173</v>
      </c>
      <c r="AH242" s="25">
        <f t="shared" si="66"/>
        <v>92.944444444444827</v>
      </c>
      <c r="AI242" s="26">
        <f t="shared" si="66"/>
        <v>73.027777777777587</v>
      </c>
      <c r="AJ242" s="26">
        <f t="shared" si="66"/>
        <v>79.66666666666724</v>
      </c>
      <c r="AK242" s="26">
        <f t="shared" si="65"/>
        <v>86.305555555555173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177.33333333333439</v>
      </c>
      <c r="F243" s="16">
        <f t="shared" si="68"/>
        <v>183.99999999999915</v>
      </c>
      <c r="G243" s="16">
        <f t="shared" si="68"/>
        <v>190.66666666666688</v>
      </c>
      <c r="H243" s="17">
        <f t="shared" si="68"/>
        <v>163.99999999999955</v>
      </c>
      <c r="I243" s="17">
        <f t="shared" si="68"/>
        <v>170.66666666666697</v>
      </c>
      <c r="J243" s="17">
        <f t="shared" si="68"/>
        <v>177.33333333333439</v>
      </c>
      <c r="K243" s="18">
        <f t="shared" si="68"/>
        <v>150.66666666666811</v>
      </c>
      <c r="L243" s="18">
        <f t="shared" si="68"/>
        <v>157.33333333333212</v>
      </c>
      <c r="M243" s="18">
        <f t="shared" si="68"/>
        <v>163.99999999999955</v>
      </c>
      <c r="N243" s="19">
        <f t="shared" si="68"/>
        <v>120</v>
      </c>
      <c r="O243" s="19">
        <f t="shared" si="68"/>
        <v>126.66666666666742</v>
      </c>
      <c r="P243" s="19">
        <f t="shared" si="68"/>
        <v>133.33333333333485</v>
      </c>
      <c r="Q243" s="20">
        <f t="shared" si="68"/>
        <v>113.33333333333258</v>
      </c>
      <c r="R243" s="20">
        <f t="shared" si="68"/>
        <v>120</v>
      </c>
      <c r="S243" s="20">
        <f t="shared" si="68"/>
        <v>126.66666666666742</v>
      </c>
      <c r="T243" s="21">
        <f t="shared" si="67"/>
        <v>106.66666666666585</v>
      </c>
      <c r="U243" s="21">
        <f t="shared" si="67"/>
        <v>113.33333333333258</v>
      </c>
      <c r="V243" s="21">
        <f t="shared" si="67"/>
        <v>120</v>
      </c>
      <c r="W243" s="22">
        <f t="shared" si="67"/>
        <v>100.00000000000017</v>
      </c>
      <c r="X243" s="22">
        <f t="shared" si="67"/>
        <v>106.66666666666585</v>
      </c>
      <c r="Y243" s="22">
        <f t="shared" si="67"/>
        <v>113.33333333333258</v>
      </c>
      <c r="Z243" s="23">
        <f t="shared" si="67"/>
        <v>93.333333333333712</v>
      </c>
      <c r="AA243" s="23">
        <f t="shared" si="67"/>
        <v>100.00000000000017</v>
      </c>
      <c r="AB243" s="23">
        <f t="shared" si="67"/>
        <v>106.66666666666585</v>
      </c>
      <c r="AC243" s="24">
        <f t="shared" si="67"/>
        <v>86.666666666666288</v>
      </c>
      <c r="AD243" s="24">
        <f t="shared" si="67"/>
        <v>93.333333333333712</v>
      </c>
      <c r="AE243" s="24">
        <f t="shared" si="67"/>
        <v>100.00000000000017</v>
      </c>
      <c r="AF243" s="25">
        <f t="shared" si="67"/>
        <v>80.000000000000568</v>
      </c>
      <c r="AG243" s="25">
        <f t="shared" si="66"/>
        <v>86.666666666666288</v>
      </c>
      <c r="AH243" s="25">
        <f t="shared" si="66"/>
        <v>93.333333333333712</v>
      </c>
      <c r="AI243" s="26">
        <f t="shared" si="66"/>
        <v>73.333333333333144</v>
      </c>
      <c r="AJ243" s="26">
        <f t="shared" si="66"/>
        <v>80.000000000000568</v>
      </c>
      <c r="AK243" s="26">
        <f t="shared" si="65"/>
        <v>86.666666666666288</v>
      </c>
    </row>
    <row r="244" spans="4:37" ht="20.100000000000001" customHeight="1">
      <c r="D244" s="27">
        <f t="shared" si="48"/>
        <v>0.66944444444444262</v>
      </c>
      <c r="E244" s="16">
        <f t="shared" si="68"/>
        <v>178.07222222222327</v>
      </c>
      <c r="F244" s="16">
        <f t="shared" si="68"/>
        <v>184.76666666666583</v>
      </c>
      <c r="G244" s="16">
        <f t="shared" si="68"/>
        <v>191.46111111111134</v>
      </c>
      <c r="H244" s="17">
        <f t="shared" si="68"/>
        <v>164.68333333333288</v>
      </c>
      <c r="I244" s="17">
        <f t="shared" si="68"/>
        <v>171.37777777777808</v>
      </c>
      <c r="J244" s="17">
        <f t="shared" si="68"/>
        <v>178.07222222222327</v>
      </c>
      <c r="K244" s="18">
        <f t="shared" si="68"/>
        <v>151.29444444444587</v>
      </c>
      <c r="L244" s="18">
        <f t="shared" si="68"/>
        <v>157.98888888888769</v>
      </c>
      <c r="M244" s="18">
        <f t="shared" si="68"/>
        <v>164.68333333333288</v>
      </c>
      <c r="N244" s="19">
        <f t="shared" si="68"/>
        <v>120.5</v>
      </c>
      <c r="O244" s="19">
        <f t="shared" si="68"/>
        <v>127.1944444444452</v>
      </c>
      <c r="P244" s="19">
        <f t="shared" si="68"/>
        <v>133.88888888889039</v>
      </c>
      <c r="Q244" s="20">
        <f t="shared" si="68"/>
        <v>113.8055555555548</v>
      </c>
      <c r="R244" s="20">
        <f t="shared" si="68"/>
        <v>120.5</v>
      </c>
      <c r="S244" s="20">
        <f t="shared" si="68"/>
        <v>127.1944444444452</v>
      </c>
      <c r="T244" s="21">
        <f t="shared" si="67"/>
        <v>107.11111111111029</v>
      </c>
      <c r="U244" s="21">
        <f t="shared" si="67"/>
        <v>113.8055555555548</v>
      </c>
      <c r="V244" s="21">
        <f t="shared" si="67"/>
        <v>120.5</v>
      </c>
      <c r="W244" s="22">
        <f t="shared" si="67"/>
        <v>100.41666666666684</v>
      </c>
      <c r="X244" s="22">
        <f t="shared" si="67"/>
        <v>107.11111111111029</v>
      </c>
      <c r="Y244" s="22">
        <f t="shared" si="67"/>
        <v>113.8055555555548</v>
      </c>
      <c r="Z244" s="23">
        <f t="shared" si="67"/>
        <v>93.722222222222598</v>
      </c>
      <c r="AA244" s="23">
        <f t="shared" si="67"/>
        <v>100.41666666666684</v>
      </c>
      <c r="AB244" s="23">
        <f t="shared" si="67"/>
        <v>107.11111111111029</v>
      </c>
      <c r="AC244" s="24">
        <f t="shared" si="67"/>
        <v>87.027777777777402</v>
      </c>
      <c r="AD244" s="24">
        <f t="shared" si="67"/>
        <v>93.722222222222598</v>
      </c>
      <c r="AE244" s="24">
        <f t="shared" si="67"/>
        <v>100.41666666666684</v>
      </c>
      <c r="AF244" s="25">
        <f t="shared" si="67"/>
        <v>80.333333333333897</v>
      </c>
      <c r="AG244" s="25">
        <f t="shared" si="66"/>
        <v>87.027777777777402</v>
      </c>
      <c r="AH244" s="25">
        <f t="shared" si="66"/>
        <v>93.722222222222598</v>
      </c>
      <c r="AI244" s="26">
        <f t="shared" si="66"/>
        <v>73.638888888888701</v>
      </c>
      <c r="AJ244" s="26">
        <f t="shared" si="66"/>
        <v>80.333333333333897</v>
      </c>
      <c r="AK244" s="26">
        <f t="shared" si="65"/>
        <v>87.027777777777402</v>
      </c>
    </row>
    <row r="245" spans="4:37" ht="20.100000000000001" customHeight="1">
      <c r="D245" s="27">
        <f t="shared" si="48"/>
        <v>0.67222222222222039</v>
      </c>
      <c r="E245" s="16">
        <f t="shared" si="68"/>
        <v>178.81111111111215</v>
      </c>
      <c r="F245" s="16">
        <f t="shared" si="68"/>
        <v>185.53333333333251</v>
      </c>
      <c r="G245" s="16">
        <f t="shared" si="68"/>
        <v>192.25555555555579</v>
      </c>
      <c r="H245" s="17">
        <f t="shared" si="68"/>
        <v>165.36666666666622</v>
      </c>
      <c r="I245" s="17">
        <f t="shared" si="68"/>
        <v>172.08888888888919</v>
      </c>
      <c r="J245" s="17">
        <f t="shared" si="68"/>
        <v>178.81111111111215</v>
      </c>
      <c r="K245" s="18">
        <f t="shared" si="68"/>
        <v>151.92222222222364</v>
      </c>
      <c r="L245" s="18">
        <f t="shared" si="68"/>
        <v>158.64444444444325</v>
      </c>
      <c r="M245" s="18">
        <f t="shared" si="68"/>
        <v>165.36666666666622</v>
      </c>
      <c r="N245" s="19">
        <f t="shared" si="68"/>
        <v>121</v>
      </c>
      <c r="O245" s="19">
        <f t="shared" si="68"/>
        <v>127.72222222222297</v>
      </c>
      <c r="P245" s="19">
        <f t="shared" si="68"/>
        <v>134.44444444444594</v>
      </c>
      <c r="Q245" s="20">
        <f t="shared" si="68"/>
        <v>114.27777777777703</v>
      </c>
      <c r="R245" s="20">
        <f t="shared" si="68"/>
        <v>121</v>
      </c>
      <c r="S245" s="20">
        <f t="shared" si="68"/>
        <v>127.72222222222297</v>
      </c>
      <c r="T245" s="21">
        <f t="shared" si="68"/>
        <v>107.55555555555473</v>
      </c>
      <c r="U245" s="21">
        <f t="shared" si="66"/>
        <v>114.27777777777703</v>
      </c>
      <c r="V245" s="21">
        <f t="shared" si="66"/>
        <v>121</v>
      </c>
      <c r="W245" s="22">
        <f t="shared" si="66"/>
        <v>100.83333333333351</v>
      </c>
      <c r="X245" s="22">
        <f t="shared" si="66"/>
        <v>107.55555555555473</v>
      </c>
      <c r="Y245" s="22">
        <f t="shared" si="66"/>
        <v>114.27777777777703</v>
      </c>
      <c r="Z245" s="23">
        <f t="shared" si="66"/>
        <v>94.111111111111484</v>
      </c>
      <c r="AA245" s="23">
        <f t="shared" si="66"/>
        <v>100.83333333333351</v>
      </c>
      <c r="AB245" s="23">
        <f t="shared" si="66"/>
        <v>107.55555555555473</v>
      </c>
      <c r="AC245" s="24">
        <f t="shared" si="66"/>
        <v>87.388888888888516</v>
      </c>
      <c r="AD245" s="24">
        <f t="shared" si="66"/>
        <v>94.111111111111484</v>
      </c>
      <c r="AE245" s="24">
        <f t="shared" si="66"/>
        <v>100.83333333333351</v>
      </c>
      <c r="AF245" s="25">
        <f t="shared" si="66"/>
        <v>80.666666666667226</v>
      </c>
      <c r="AG245" s="25">
        <f t="shared" si="66"/>
        <v>87.388888888888516</v>
      </c>
      <c r="AH245" s="25">
        <f t="shared" si="66"/>
        <v>94.111111111111484</v>
      </c>
      <c r="AI245" s="26">
        <f t="shared" si="66"/>
        <v>73.944444444444258</v>
      </c>
      <c r="AJ245" s="26">
        <f t="shared" si="66"/>
        <v>80.666666666667226</v>
      </c>
      <c r="AK245" s="26">
        <f t="shared" si="65"/>
        <v>87.388888888888516</v>
      </c>
    </row>
    <row r="246" spans="4:37" ht="20.100000000000001" customHeight="1">
      <c r="D246" s="27">
        <f t="shared" si="48"/>
        <v>0.67499999999999816</v>
      </c>
      <c r="E246" s="16">
        <f t="shared" si="68"/>
        <v>179.55000000000103</v>
      </c>
      <c r="F246" s="16">
        <f t="shared" si="68"/>
        <v>186.29999999999919</v>
      </c>
      <c r="G246" s="16">
        <f t="shared" si="68"/>
        <v>193.05000000000024</v>
      </c>
      <c r="H246" s="17">
        <f t="shared" si="68"/>
        <v>166.04999999999956</v>
      </c>
      <c r="I246" s="17">
        <f t="shared" si="68"/>
        <v>172.8000000000003</v>
      </c>
      <c r="J246" s="17">
        <f t="shared" si="68"/>
        <v>179.55000000000103</v>
      </c>
      <c r="K246" s="18">
        <f t="shared" si="68"/>
        <v>152.5500000000014</v>
      </c>
      <c r="L246" s="18">
        <f t="shared" si="68"/>
        <v>159.29999999999882</v>
      </c>
      <c r="M246" s="18">
        <f t="shared" si="68"/>
        <v>166.04999999999956</v>
      </c>
      <c r="N246" s="19">
        <f t="shared" si="68"/>
        <v>121.5</v>
      </c>
      <c r="O246" s="19">
        <f t="shared" si="68"/>
        <v>128.25000000000074</v>
      </c>
      <c r="P246" s="19">
        <f t="shared" si="68"/>
        <v>135.00000000000148</v>
      </c>
      <c r="Q246" s="20">
        <f t="shared" si="68"/>
        <v>114.74999999999926</v>
      </c>
      <c r="R246" s="20">
        <f t="shared" si="68"/>
        <v>121.5</v>
      </c>
      <c r="S246" s="20">
        <f t="shared" si="68"/>
        <v>128.25000000000074</v>
      </c>
      <c r="T246" s="21">
        <f t="shared" si="68"/>
        <v>107.99999999999918</v>
      </c>
      <c r="U246" s="21">
        <f t="shared" si="66"/>
        <v>114.74999999999926</v>
      </c>
      <c r="V246" s="21">
        <f t="shared" si="66"/>
        <v>121.5</v>
      </c>
      <c r="W246" s="22">
        <f t="shared" si="66"/>
        <v>101.25000000000018</v>
      </c>
      <c r="X246" s="22">
        <f t="shared" si="66"/>
        <v>107.99999999999918</v>
      </c>
      <c r="Y246" s="22">
        <f t="shared" si="66"/>
        <v>114.74999999999926</v>
      </c>
      <c r="Z246" s="23">
        <f t="shared" si="66"/>
        <v>94.500000000000369</v>
      </c>
      <c r="AA246" s="23">
        <f t="shared" si="66"/>
        <v>101.25000000000018</v>
      </c>
      <c r="AB246" s="23">
        <f t="shared" si="66"/>
        <v>107.99999999999918</v>
      </c>
      <c r="AC246" s="24">
        <f t="shared" si="66"/>
        <v>87.749999999999631</v>
      </c>
      <c r="AD246" s="24">
        <f t="shared" si="66"/>
        <v>94.500000000000369</v>
      </c>
      <c r="AE246" s="24">
        <f t="shared" si="66"/>
        <v>101.25000000000018</v>
      </c>
      <c r="AF246" s="25">
        <f t="shared" si="66"/>
        <v>81.000000000000554</v>
      </c>
      <c r="AG246" s="25">
        <f t="shared" si="66"/>
        <v>87.749999999999631</v>
      </c>
      <c r="AH246" s="25">
        <f t="shared" si="66"/>
        <v>94.500000000000369</v>
      </c>
      <c r="AI246" s="26">
        <f t="shared" si="66"/>
        <v>74.249999999999815</v>
      </c>
      <c r="AJ246" s="26">
        <f t="shared" si="66"/>
        <v>81.000000000000554</v>
      </c>
      <c r="AK246" s="26">
        <f t="shared" si="65"/>
        <v>87.749999999999631</v>
      </c>
    </row>
    <row r="247" spans="4:37" ht="20.100000000000001" customHeight="1">
      <c r="D247" s="27">
        <f t="shared" si="48"/>
        <v>0.67777777777777592</v>
      </c>
      <c r="E247" s="16">
        <f t="shared" si="68"/>
        <v>180.28888888888991</v>
      </c>
      <c r="F247" s="16">
        <f t="shared" si="68"/>
        <v>187.06666666666587</v>
      </c>
      <c r="G247" s="16">
        <f t="shared" si="68"/>
        <v>193.84444444444469</v>
      </c>
      <c r="H247" s="17">
        <f t="shared" si="68"/>
        <v>166.73333333333289</v>
      </c>
      <c r="I247" s="17">
        <f t="shared" si="68"/>
        <v>173.5111111111114</v>
      </c>
      <c r="J247" s="17">
        <f t="shared" si="68"/>
        <v>180.28888888888991</v>
      </c>
      <c r="K247" s="18">
        <f t="shared" si="68"/>
        <v>153.17777777777917</v>
      </c>
      <c r="L247" s="18">
        <f t="shared" si="68"/>
        <v>159.95555555555438</v>
      </c>
      <c r="M247" s="18">
        <f t="shared" si="68"/>
        <v>166.73333333333289</v>
      </c>
      <c r="N247" s="19">
        <f t="shared" si="68"/>
        <v>122</v>
      </c>
      <c r="O247" s="19">
        <f t="shared" si="68"/>
        <v>128.77777777777851</v>
      </c>
      <c r="P247" s="19">
        <f t="shared" si="68"/>
        <v>135.55555555555702</v>
      </c>
      <c r="Q247" s="20">
        <f t="shared" si="68"/>
        <v>115.22222222222149</v>
      </c>
      <c r="R247" s="20">
        <f t="shared" si="68"/>
        <v>122</v>
      </c>
      <c r="S247" s="20">
        <f t="shared" si="68"/>
        <v>128.77777777777851</v>
      </c>
      <c r="T247" s="21">
        <f t="shared" si="68"/>
        <v>108.44444444444362</v>
      </c>
      <c r="U247" s="21">
        <f t="shared" si="66"/>
        <v>115.22222222222149</v>
      </c>
      <c r="V247" s="21">
        <f t="shared" si="66"/>
        <v>122</v>
      </c>
      <c r="W247" s="22">
        <f t="shared" si="66"/>
        <v>101.66666666666686</v>
      </c>
      <c r="X247" s="22">
        <f t="shared" si="66"/>
        <v>108.44444444444362</v>
      </c>
      <c r="Y247" s="22">
        <f t="shared" si="66"/>
        <v>115.22222222222149</v>
      </c>
      <c r="Z247" s="23">
        <f t="shared" si="66"/>
        <v>94.888888888889255</v>
      </c>
      <c r="AA247" s="23">
        <f t="shared" si="66"/>
        <v>101.66666666666686</v>
      </c>
      <c r="AB247" s="23">
        <f t="shared" si="66"/>
        <v>108.44444444444362</v>
      </c>
      <c r="AC247" s="24">
        <f t="shared" si="66"/>
        <v>88.111111111110745</v>
      </c>
      <c r="AD247" s="24">
        <f t="shared" si="66"/>
        <v>94.888888888889255</v>
      </c>
      <c r="AE247" s="24">
        <f t="shared" si="66"/>
        <v>101.66666666666686</v>
      </c>
      <c r="AF247" s="25">
        <f t="shared" si="66"/>
        <v>81.333333333333883</v>
      </c>
      <c r="AG247" s="25">
        <f t="shared" si="66"/>
        <v>88.111111111110745</v>
      </c>
      <c r="AH247" s="25">
        <f t="shared" si="66"/>
        <v>94.888888888889255</v>
      </c>
      <c r="AI247" s="26">
        <f t="shared" si="66"/>
        <v>74.555555555555372</v>
      </c>
      <c r="AJ247" s="26">
        <f t="shared" si="66"/>
        <v>81.333333333333883</v>
      </c>
      <c r="AK247" s="26">
        <f t="shared" si="65"/>
        <v>88.111111111110745</v>
      </c>
    </row>
    <row r="248" spans="4:37" ht="20.100000000000001" customHeight="1">
      <c r="D248" s="27">
        <f t="shared" si="48"/>
        <v>0.68055555555555369</v>
      </c>
      <c r="E248" s="16">
        <f t="shared" si="68"/>
        <v>181.02777777777879</v>
      </c>
      <c r="F248" s="16">
        <f t="shared" si="68"/>
        <v>187.83333333333255</v>
      </c>
      <c r="G248" s="16">
        <f t="shared" si="68"/>
        <v>194.63888888888914</v>
      </c>
      <c r="H248" s="17">
        <f t="shared" si="68"/>
        <v>167.41666666666623</v>
      </c>
      <c r="I248" s="17">
        <f t="shared" si="68"/>
        <v>174.22222222222251</v>
      </c>
      <c r="J248" s="17">
        <f t="shared" si="68"/>
        <v>181.02777777777879</v>
      </c>
      <c r="K248" s="18">
        <f t="shared" si="68"/>
        <v>153.80555555555694</v>
      </c>
      <c r="L248" s="18">
        <f t="shared" si="68"/>
        <v>160.61111111110995</v>
      </c>
      <c r="M248" s="18">
        <f t="shared" si="68"/>
        <v>167.41666666666623</v>
      </c>
      <c r="N248" s="19">
        <f t="shared" si="68"/>
        <v>122.5</v>
      </c>
      <c r="O248" s="19">
        <f t="shared" si="68"/>
        <v>129.30555555555628</v>
      </c>
      <c r="P248" s="19">
        <f t="shared" si="68"/>
        <v>136.11111111111256</v>
      </c>
      <c r="Q248" s="20">
        <f t="shared" si="68"/>
        <v>115.69444444444372</v>
      </c>
      <c r="R248" s="20">
        <f t="shared" si="68"/>
        <v>122.5</v>
      </c>
      <c r="S248" s="20">
        <f t="shared" si="68"/>
        <v>129.30555555555628</v>
      </c>
      <c r="T248" s="21">
        <f t="shared" si="68"/>
        <v>108.88888888888806</v>
      </c>
      <c r="U248" s="21">
        <f t="shared" si="66"/>
        <v>115.69444444444372</v>
      </c>
      <c r="V248" s="21">
        <f t="shared" si="66"/>
        <v>122.5</v>
      </c>
      <c r="W248" s="22">
        <f t="shared" si="66"/>
        <v>102.08333333333353</v>
      </c>
      <c r="X248" s="22">
        <f t="shared" si="66"/>
        <v>108.88888888888806</v>
      </c>
      <c r="Y248" s="22">
        <f t="shared" si="66"/>
        <v>115.69444444444372</v>
      </c>
      <c r="Z248" s="23">
        <f t="shared" si="66"/>
        <v>95.277777777778141</v>
      </c>
      <c r="AA248" s="23">
        <f t="shared" si="66"/>
        <v>102.08333333333353</v>
      </c>
      <c r="AB248" s="23">
        <f t="shared" si="66"/>
        <v>108.88888888888806</v>
      </c>
      <c r="AC248" s="24">
        <f t="shared" si="66"/>
        <v>88.472222222221859</v>
      </c>
      <c r="AD248" s="24">
        <f t="shared" si="66"/>
        <v>95.277777777778141</v>
      </c>
      <c r="AE248" s="24">
        <f t="shared" si="66"/>
        <v>102.08333333333353</v>
      </c>
      <c r="AF248" s="25">
        <f t="shared" si="66"/>
        <v>81.666666666667211</v>
      </c>
      <c r="AG248" s="25">
        <f t="shared" si="66"/>
        <v>88.472222222221859</v>
      </c>
      <c r="AH248" s="25">
        <f t="shared" si="66"/>
        <v>95.277777777778141</v>
      </c>
      <c r="AI248" s="26">
        <f t="shared" si="66"/>
        <v>74.86111111111093</v>
      </c>
      <c r="AJ248" s="26">
        <f t="shared" si="66"/>
        <v>81.666666666667211</v>
      </c>
      <c r="AK248" s="26">
        <f t="shared" si="65"/>
        <v>88.472222222221859</v>
      </c>
    </row>
    <row r="249" spans="4:37" ht="20.100000000000001" customHeight="1">
      <c r="D249" s="27">
        <f t="shared" si="48"/>
        <v>0.68333333333333146</v>
      </c>
      <c r="E249" s="16">
        <f t="shared" si="68"/>
        <v>181.76666666666767</v>
      </c>
      <c r="F249" s="16">
        <f t="shared" si="68"/>
        <v>188.59999999999923</v>
      </c>
      <c r="G249" s="16">
        <f t="shared" si="68"/>
        <v>195.43333333333359</v>
      </c>
      <c r="H249" s="17">
        <f t="shared" si="68"/>
        <v>168.09999999999957</v>
      </c>
      <c r="I249" s="17">
        <f t="shared" si="68"/>
        <v>174.93333333333362</v>
      </c>
      <c r="J249" s="17">
        <f t="shared" si="68"/>
        <v>181.76666666666767</v>
      </c>
      <c r="K249" s="18">
        <f t="shared" si="68"/>
        <v>154.4333333333347</v>
      </c>
      <c r="L249" s="18">
        <f t="shared" si="68"/>
        <v>161.26666666666551</v>
      </c>
      <c r="M249" s="18">
        <f t="shared" si="68"/>
        <v>168.09999999999957</v>
      </c>
      <c r="N249" s="19">
        <f t="shared" si="68"/>
        <v>123</v>
      </c>
      <c r="O249" s="19">
        <f t="shared" si="68"/>
        <v>129.83333333333405</v>
      </c>
      <c r="P249" s="19">
        <f t="shared" si="68"/>
        <v>136.66666666666811</v>
      </c>
      <c r="Q249" s="20">
        <f t="shared" si="68"/>
        <v>116.16666666666595</v>
      </c>
      <c r="R249" s="20">
        <f t="shared" si="68"/>
        <v>123</v>
      </c>
      <c r="S249" s="20">
        <f t="shared" si="68"/>
        <v>129.83333333333405</v>
      </c>
      <c r="T249" s="21">
        <f t="shared" si="68"/>
        <v>109.3333333333325</v>
      </c>
      <c r="U249" s="21">
        <f t="shared" si="66"/>
        <v>116.16666666666595</v>
      </c>
      <c r="V249" s="21">
        <f t="shared" si="66"/>
        <v>123</v>
      </c>
      <c r="W249" s="22">
        <f t="shared" si="66"/>
        <v>102.5000000000002</v>
      </c>
      <c r="X249" s="22">
        <f t="shared" si="66"/>
        <v>109.3333333333325</v>
      </c>
      <c r="Y249" s="22">
        <f t="shared" si="66"/>
        <v>116.16666666666595</v>
      </c>
      <c r="Z249" s="23">
        <f t="shared" si="66"/>
        <v>95.666666666667027</v>
      </c>
      <c r="AA249" s="23">
        <f t="shared" si="66"/>
        <v>102.5000000000002</v>
      </c>
      <c r="AB249" s="23">
        <f t="shared" si="66"/>
        <v>109.3333333333325</v>
      </c>
      <c r="AC249" s="24">
        <f t="shared" si="66"/>
        <v>88.833333333332973</v>
      </c>
      <c r="AD249" s="24">
        <f t="shared" si="66"/>
        <v>95.666666666667027</v>
      </c>
      <c r="AE249" s="24">
        <f t="shared" si="66"/>
        <v>102.5000000000002</v>
      </c>
      <c r="AF249" s="25">
        <f t="shared" si="66"/>
        <v>82.00000000000054</v>
      </c>
      <c r="AG249" s="25">
        <f t="shared" si="66"/>
        <v>88.833333333332973</v>
      </c>
      <c r="AH249" s="25">
        <f t="shared" si="66"/>
        <v>95.666666666667027</v>
      </c>
      <c r="AI249" s="26">
        <f t="shared" si="66"/>
        <v>75.166666666666487</v>
      </c>
      <c r="AJ249" s="26">
        <f t="shared" si="66"/>
        <v>82.00000000000054</v>
      </c>
      <c r="AK249" s="26">
        <f t="shared" si="65"/>
        <v>88.833333333332973</v>
      </c>
    </row>
    <row r="250" spans="4:37" ht="20.100000000000001" customHeight="1">
      <c r="D250" s="27">
        <f t="shared" si="48"/>
        <v>0.68611111111110923</v>
      </c>
      <c r="E250" s="16">
        <f t="shared" si="68"/>
        <v>182.50555555555655</v>
      </c>
      <c r="F250" s="16">
        <f t="shared" si="68"/>
        <v>189.36666666666591</v>
      </c>
      <c r="G250" s="16">
        <f t="shared" si="68"/>
        <v>196.22777777777804</v>
      </c>
      <c r="H250" s="17">
        <f t="shared" si="68"/>
        <v>168.78333333333291</v>
      </c>
      <c r="I250" s="17">
        <f t="shared" si="68"/>
        <v>175.64444444444473</v>
      </c>
      <c r="J250" s="17">
        <f t="shared" si="68"/>
        <v>182.50555555555655</v>
      </c>
      <c r="K250" s="18">
        <f t="shared" si="68"/>
        <v>155.06111111111247</v>
      </c>
      <c r="L250" s="18">
        <f t="shared" si="68"/>
        <v>161.92222222222108</v>
      </c>
      <c r="M250" s="18">
        <f t="shared" si="68"/>
        <v>168.78333333333291</v>
      </c>
      <c r="N250" s="19">
        <f t="shared" si="68"/>
        <v>123.5</v>
      </c>
      <c r="O250" s="19">
        <f t="shared" si="68"/>
        <v>130.36111111111182</v>
      </c>
      <c r="P250" s="19">
        <f t="shared" si="68"/>
        <v>137.22222222222365</v>
      </c>
      <c r="Q250" s="20">
        <f t="shared" si="68"/>
        <v>116.63888888888818</v>
      </c>
      <c r="R250" s="20">
        <f t="shared" si="68"/>
        <v>123.5</v>
      </c>
      <c r="S250" s="20">
        <f t="shared" si="68"/>
        <v>130.36111111111182</v>
      </c>
      <c r="T250" s="21">
        <f t="shared" si="68"/>
        <v>109.77777777777695</v>
      </c>
      <c r="U250" s="21">
        <f t="shared" si="66"/>
        <v>116.63888888888818</v>
      </c>
      <c r="V250" s="21">
        <f t="shared" si="66"/>
        <v>123.5</v>
      </c>
      <c r="W250" s="22">
        <f t="shared" si="66"/>
        <v>102.91666666666687</v>
      </c>
      <c r="X250" s="22">
        <f t="shared" si="66"/>
        <v>109.77777777777695</v>
      </c>
      <c r="Y250" s="22">
        <f t="shared" si="66"/>
        <v>116.63888888888818</v>
      </c>
      <c r="Z250" s="23">
        <f t="shared" si="66"/>
        <v>96.055555555555912</v>
      </c>
      <c r="AA250" s="23">
        <f t="shared" si="66"/>
        <v>102.91666666666687</v>
      </c>
      <c r="AB250" s="23">
        <f t="shared" si="66"/>
        <v>109.77777777777695</v>
      </c>
      <c r="AC250" s="24">
        <f t="shared" si="66"/>
        <v>89.194444444444088</v>
      </c>
      <c r="AD250" s="24">
        <f t="shared" si="66"/>
        <v>96.055555555555912</v>
      </c>
      <c r="AE250" s="24">
        <f t="shared" si="66"/>
        <v>102.91666666666687</v>
      </c>
      <c r="AF250" s="25">
        <f t="shared" si="66"/>
        <v>82.333333333333869</v>
      </c>
      <c r="AG250" s="25">
        <f t="shared" si="66"/>
        <v>89.194444444444088</v>
      </c>
      <c r="AH250" s="25">
        <f t="shared" si="66"/>
        <v>96.055555555555912</v>
      </c>
      <c r="AI250" s="26">
        <f t="shared" si="66"/>
        <v>75.472222222222044</v>
      </c>
      <c r="AJ250" s="26">
        <f t="shared" si="66"/>
        <v>82.333333333333869</v>
      </c>
      <c r="AK250" s="26">
        <f t="shared" si="65"/>
        <v>89.194444444444088</v>
      </c>
    </row>
    <row r="251" spans="4:37" ht="20.100000000000001" customHeight="1">
      <c r="D251" s="27">
        <f t="shared" si="48"/>
        <v>0.688888888888887</v>
      </c>
      <c r="E251" s="16">
        <f t="shared" si="68"/>
        <v>183.24444444444543</v>
      </c>
      <c r="F251" s="16">
        <f t="shared" si="68"/>
        <v>190.13333333333259</v>
      </c>
      <c r="G251" s="16">
        <f t="shared" si="68"/>
        <v>197.0222222222225</v>
      </c>
      <c r="H251" s="17">
        <f t="shared" si="68"/>
        <v>169.46666666666624</v>
      </c>
      <c r="I251" s="17">
        <f t="shared" si="68"/>
        <v>176.35555555555584</v>
      </c>
      <c r="J251" s="17">
        <f t="shared" si="68"/>
        <v>183.24444444444543</v>
      </c>
      <c r="K251" s="18">
        <f t="shared" si="68"/>
        <v>155.68888888889023</v>
      </c>
      <c r="L251" s="18">
        <f t="shared" si="68"/>
        <v>162.57777777777665</v>
      </c>
      <c r="M251" s="18">
        <f t="shared" si="68"/>
        <v>169.46666666666624</v>
      </c>
      <c r="N251" s="19">
        <f t="shared" si="68"/>
        <v>124</v>
      </c>
      <c r="O251" s="19">
        <f t="shared" si="68"/>
        <v>130.8888888888896</v>
      </c>
      <c r="P251" s="19">
        <f t="shared" si="68"/>
        <v>137.77777777777919</v>
      </c>
      <c r="Q251" s="20">
        <f t="shared" si="68"/>
        <v>117.1111111111104</v>
      </c>
      <c r="R251" s="20">
        <f t="shared" si="68"/>
        <v>124</v>
      </c>
      <c r="S251" s="20">
        <f t="shared" si="68"/>
        <v>130.8888888888896</v>
      </c>
      <c r="T251" s="21">
        <f t="shared" si="68"/>
        <v>110.22222222222139</v>
      </c>
      <c r="U251" s="21">
        <f t="shared" si="66"/>
        <v>117.1111111111104</v>
      </c>
      <c r="V251" s="21">
        <f t="shared" si="66"/>
        <v>124</v>
      </c>
      <c r="W251" s="22">
        <f t="shared" si="66"/>
        <v>103.33333333333354</v>
      </c>
      <c r="X251" s="22">
        <f t="shared" si="66"/>
        <v>110.22222222222139</v>
      </c>
      <c r="Y251" s="22">
        <f t="shared" si="66"/>
        <v>117.1111111111104</v>
      </c>
      <c r="Z251" s="23">
        <f t="shared" si="66"/>
        <v>96.444444444444798</v>
      </c>
      <c r="AA251" s="23">
        <f t="shared" si="66"/>
        <v>103.33333333333354</v>
      </c>
      <c r="AB251" s="23">
        <f t="shared" si="66"/>
        <v>110.22222222222139</v>
      </c>
      <c r="AC251" s="24">
        <f t="shared" si="66"/>
        <v>89.555555555555202</v>
      </c>
      <c r="AD251" s="24">
        <f t="shared" si="66"/>
        <v>96.444444444444798</v>
      </c>
      <c r="AE251" s="24">
        <f t="shared" si="66"/>
        <v>103.33333333333354</v>
      </c>
      <c r="AF251" s="25">
        <f t="shared" si="66"/>
        <v>82.666666666667197</v>
      </c>
      <c r="AG251" s="25">
        <f t="shared" si="66"/>
        <v>89.555555555555202</v>
      </c>
      <c r="AH251" s="25">
        <f t="shared" si="66"/>
        <v>96.444444444444798</v>
      </c>
      <c r="AI251" s="26">
        <f t="shared" si="66"/>
        <v>75.777777777777601</v>
      </c>
      <c r="AJ251" s="26">
        <f t="shared" si="66"/>
        <v>82.666666666667197</v>
      </c>
      <c r="AK251" s="26">
        <f t="shared" si="65"/>
        <v>89.555555555555202</v>
      </c>
    </row>
    <row r="252" spans="4:37" ht="20.100000000000001" customHeight="1">
      <c r="D252" s="27">
        <f t="shared" si="48"/>
        <v>0.69166666666666476</v>
      </c>
      <c r="E252" s="16">
        <f t="shared" si="68"/>
        <v>183.98333333333431</v>
      </c>
      <c r="F252" s="16">
        <f t="shared" si="68"/>
        <v>190.89999999999927</v>
      </c>
      <c r="G252" s="16">
        <f t="shared" si="68"/>
        <v>197.81666666666695</v>
      </c>
      <c r="H252" s="17">
        <f t="shared" si="68"/>
        <v>170.14999999999958</v>
      </c>
      <c r="I252" s="17">
        <f t="shared" si="68"/>
        <v>177.06666666666695</v>
      </c>
      <c r="J252" s="17">
        <f t="shared" si="68"/>
        <v>183.98333333333431</v>
      </c>
      <c r="K252" s="18">
        <f t="shared" si="68"/>
        <v>156.316666666668</v>
      </c>
      <c r="L252" s="18">
        <f t="shared" si="68"/>
        <v>163.23333333333221</v>
      </c>
      <c r="M252" s="18">
        <f t="shared" si="68"/>
        <v>170.14999999999958</v>
      </c>
      <c r="N252" s="19">
        <f t="shared" si="68"/>
        <v>124.5</v>
      </c>
      <c r="O252" s="19">
        <f t="shared" si="68"/>
        <v>131.41666666666737</v>
      </c>
      <c r="P252" s="19">
        <f t="shared" si="68"/>
        <v>138.33333333333474</v>
      </c>
      <c r="Q252" s="20">
        <f t="shared" si="68"/>
        <v>117.58333333333263</v>
      </c>
      <c r="R252" s="20">
        <f t="shared" si="68"/>
        <v>124.5</v>
      </c>
      <c r="S252" s="20">
        <f t="shared" si="68"/>
        <v>131.41666666666737</v>
      </c>
      <c r="T252" s="21">
        <f t="shared" si="68"/>
        <v>110.66666666666583</v>
      </c>
      <c r="U252" s="21">
        <f t="shared" si="66"/>
        <v>117.58333333333263</v>
      </c>
      <c r="V252" s="21">
        <f t="shared" si="66"/>
        <v>124.5</v>
      </c>
      <c r="W252" s="22">
        <f t="shared" si="66"/>
        <v>103.75000000000021</v>
      </c>
      <c r="X252" s="22">
        <f t="shared" si="66"/>
        <v>110.66666666666583</v>
      </c>
      <c r="Y252" s="22">
        <f t="shared" si="66"/>
        <v>117.58333333333263</v>
      </c>
      <c r="Z252" s="23">
        <f t="shared" si="66"/>
        <v>96.833333333333684</v>
      </c>
      <c r="AA252" s="23">
        <f t="shared" si="66"/>
        <v>103.75000000000021</v>
      </c>
      <c r="AB252" s="23">
        <f t="shared" si="66"/>
        <v>110.66666666666583</v>
      </c>
      <c r="AC252" s="24">
        <f t="shared" si="66"/>
        <v>89.916666666666316</v>
      </c>
      <c r="AD252" s="24">
        <f t="shared" si="66"/>
        <v>96.833333333333684</v>
      </c>
      <c r="AE252" s="24">
        <f t="shared" si="66"/>
        <v>103.75000000000021</v>
      </c>
      <c r="AF252" s="25">
        <f t="shared" si="66"/>
        <v>83.000000000000526</v>
      </c>
      <c r="AG252" s="25">
        <f t="shared" si="66"/>
        <v>89.916666666666316</v>
      </c>
      <c r="AH252" s="25">
        <f t="shared" si="66"/>
        <v>96.833333333333684</v>
      </c>
      <c r="AI252" s="26">
        <f t="shared" si="66"/>
        <v>76.083333333333158</v>
      </c>
      <c r="AJ252" s="26">
        <f t="shared" si="66"/>
        <v>83.000000000000526</v>
      </c>
      <c r="AK252" s="26">
        <f t="shared" si="65"/>
        <v>89.916666666666316</v>
      </c>
    </row>
    <row r="253" spans="4:37" ht="20.100000000000001" customHeight="1">
      <c r="D253" s="27">
        <f t="shared" si="48"/>
        <v>0.69444444444444253</v>
      </c>
      <c r="E253" s="16">
        <f t="shared" si="68"/>
        <v>184.72222222222319</v>
      </c>
      <c r="F253" s="16">
        <f t="shared" si="68"/>
        <v>191.66666666666595</v>
      </c>
      <c r="G253" s="16">
        <f t="shared" si="68"/>
        <v>198.6111111111114</v>
      </c>
      <c r="H253" s="17">
        <f t="shared" si="68"/>
        <v>170.83333333333292</v>
      </c>
      <c r="I253" s="17">
        <f t="shared" si="68"/>
        <v>177.77777777777806</v>
      </c>
      <c r="J253" s="17">
        <f t="shared" si="68"/>
        <v>184.72222222222319</v>
      </c>
      <c r="K253" s="18">
        <f t="shared" si="68"/>
        <v>156.94444444444576</v>
      </c>
      <c r="L253" s="18">
        <f t="shared" si="68"/>
        <v>163.88888888888778</v>
      </c>
      <c r="M253" s="18">
        <f t="shared" si="68"/>
        <v>170.83333333333292</v>
      </c>
      <c r="N253" s="19">
        <f t="shared" si="68"/>
        <v>125</v>
      </c>
      <c r="O253" s="19">
        <f t="shared" si="68"/>
        <v>131.94444444444514</v>
      </c>
      <c r="P253" s="19">
        <f t="shared" si="68"/>
        <v>138.88888888889028</v>
      </c>
      <c r="Q253" s="20">
        <f t="shared" si="68"/>
        <v>118.05555555555486</v>
      </c>
      <c r="R253" s="20">
        <f t="shared" si="68"/>
        <v>125</v>
      </c>
      <c r="S253" s="20">
        <f t="shared" si="68"/>
        <v>131.94444444444514</v>
      </c>
      <c r="T253" s="21">
        <f t="shared" si="68"/>
        <v>111.11111111111028</v>
      </c>
      <c r="U253" s="21">
        <f t="shared" si="66"/>
        <v>118.05555555555486</v>
      </c>
      <c r="V253" s="21">
        <f t="shared" si="66"/>
        <v>125</v>
      </c>
      <c r="W253" s="22">
        <f t="shared" si="66"/>
        <v>104.16666666666688</v>
      </c>
      <c r="X253" s="22">
        <f t="shared" si="66"/>
        <v>111.11111111111028</v>
      </c>
      <c r="Y253" s="22">
        <f t="shared" si="66"/>
        <v>118.05555555555486</v>
      </c>
      <c r="Z253" s="23">
        <f t="shared" si="66"/>
        <v>97.22222222222257</v>
      </c>
      <c r="AA253" s="23">
        <f t="shared" si="66"/>
        <v>104.16666666666688</v>
      </c>
      <c r="AB253" s="23">
        <f t="shared" si="66"/>
        <v>111.11111111111028</v>
      </c>
      <c r="AC253" s="24">
        <f t="shared" si="66"/>
        <v>90.27777777777743</v>
      </c>
      <c r="AD253" s="24">
        <f t="shared" si="66"/>
        <v>97.22222222222257</v>
      </c>
      <c r="AE253" s="24">
        <f t="shared" si="66"/>
        <v>104.16666666666688</v>
      </c>
      <c r="AF253" s="25">
        <f t="shared" si="66"/>
        <v>83.333333333333854</v>
      </c>
      <c r="AG253" s="25">
        <f t="shared" si="66"/>
        <v>90.27777777777743</v>
      </c>
      <c r="AH253" s="25">
        <f t="shared" si="66"/>
        <v>97.22222222222257</v>
      </c>
      <c r="AI253" s="26">
        <f t="shared" si="66"/>
        <v>76.388888888888715</v>
      </c>
      <c r="AJ253" s="26">
        <f t="shared" si="66"/>
        <v>83.333333333333854</v>
      </c>
      <c r="AK253" s="26">
        <f t="shared" si="65"/>
        <v>90.27777777777743</v>
      </c>
    </row>
    <row r="254" spans="4:37" ht="20.100000000000001" customHeight="1">
      <c r="D254" s="27">
        <f t="shared" si="48"/>
        <v>0.6972222222222203</v>
      </c>
      <c r="E254" s="16">
        <f t="shared" si="68"/>
        <v>185.46111111111207</v>
      </c>
      <c r="F254" s="16">
        <f t="shared" si="68"/>
        <v>192.43333333333263</v>
      </c>
      <c r="G254" s="16">
        <f t="shared" si="68"/>
        <v>199.40555555555585</v>
      </c>
      <c r="H254" s="17">
        <f t="shared" si="68"/>
        <v>171.51666666666625</v>
      </c>
      <c r="I254" s="17">
        <f t="shared" si="68"/>
        <v>178.48888888888916</v>
      </c>
      <c r="J254" s="17">
        <f t="shared" si="68"/>
        <v>185.46111111111207</v>
      </c>
      <c r="K254" s="18">
        <f t="shared" si="68"/>
        <v>157.57222222222353</v>
      </c>
      <c r="L254" s="18">
        <f t="shared" si="68"/>
        <v>164.54444444444334</v>
      </c>
      <c r="M254" s="18">
        <f t="shared" si="68"/>
        <v>171.51666666666625</v>
      </c>
      <c r="N254" s="19">
        <f t="shared" si="68"/>
        <v>125.5</v>
      </c>
      <c r="O254" s="19">
        <f t="shared" si="68"/>
        <v>132.47222222222291</v>
      </c>
      <c r="P254" s="19">
        <f t="shared" si="68"/>
        <v>139.44444444444582</v>
      </c>
      <c r="Q254" s="20">
        <f t="shared" si="68"/>
        <v>118.52777777777709</v>
      </c>
      <c r="R254" s="20">
        <f t="shared" si="68"/>
        <v>125.5</v>
      </c>
      <c r="S254" s="20">
        <f t="shared" si="68"/>
        <v>132.47222222222291</v>
      </c>
      <c r="T254" s="21">
        <f t="shared" si="68"/>
        <v>111.55555555555472</v>
      </c>
      <c r="U254" s="21">
        <f t="shared" si="66"/>
        <v>118.52777777777709</v>
      </c>
      <c r="V254" s="21">
        <f t="shared" si="66"/>
        <v>125.5</v>
      </c>
      <c r="W254" s="22">
        <f t="shared" si="66"/>
        <v>104.58333333333356</v>
      </c>
      <c r="X254" s="22">
        <f t="shared" si="66"/>
        <v>111.55555555555472</v>
      </c>
      <c r="Y254" s="22">
        <f t="shared" si="66"/>
        <v>118.52777777777709</v>
      </c>
      <c r="Z254" s="23">
        <f t="shared" si="66"/>
        <v>97.611111111111455</v>
      </c>
      <c r="AA254" s="23">
        <f t="shared" si="66"/>
        <v>104.58333333333356</v>
      </c>
      <c r="AB254" s="23">
        <f t="shared" si="66"/>
        <v>111.55555555555472</v>
      </c>
      <c r="AC254" s="24">
        <f t="shared" si="66"/>
        <v>90.638888888888545</v>
      </c>
      <c r="AD254" s="24">
        <f t="shared" si="66"/>
        <v>97.611111111111455</v>
      </c>
      <c r="AE254" s="24">
        <f t="shared" si="66"/>
        <v>104.58333333333356</v>
      </c>
      <c r="AF254" s="25">
        <f t="shared" si="66"/>
        <v>83.666666666667183</v>
      </c>
      <c r="AG254" s="25">
        <f t="shared" si="66"/>
        <v>90.638888888888545</v>
      </c>
      <c r="AH254" s="25">
        <f t="shared" si="66"/>
        <v>97.611111111111455</v>
      </c>
      <c r="AI254" s="26">
        <f t="shared" si="66"/>
        <v>76.694444444444272</v>
      </c>
      <c r="AJ254" s="26">
        <f t="shared" si="66"/>
        <v>83.666666666667183</v>
      </c>
      <c r="AK254" s="26">
        <f t="shared" si="65"/>
        <v>90.638888888888545</v>
      </c>
    </row>
    <row r="255" spans="4:37" ht="20.100000000000001" customHeight="1">
      <c r="D255" s="27">
        <f t="shared" si="48"/>
        <v>0.69999999999999807</v>
      </c>
      <c r="E255" s="16">
        <f t="shared" si="68"/>
        <v>186.20000000000095</v>
      </c>
      <c r="F255" s="16">
        <f t="shared" si="68"/>
        <v>193.19999999999931</v>
      </c>
      <c r="G255" s="16">
        <f t="shared" si="68"/>
        <v>200.2000000000003</v>
      </c>
      <c r="H255" s="17">
        <f t="shared" si="68"/>
        <v>172.19999999999959</v>
      </c>
      <c r="I255" s="17">
        <f t="shared" si="68"/>
        <v>179.20000000000027</v>
      </c>
      <c r="J255" s="17">
        <f t="shared" si="68"/>
        <v>186.20000000000095</v>
      </c>
      <c r="K255" s="18">
        <f t="shared" si="68"/>
        <v>158.2000000000013</v>
      </c>
      <c r="L255" s="18">
        <f t="shared" si="68"/>
        <v>165.19999999999891</v>
      </c>
      <c r="M255" s="18">
        <f t="shared" si="68"/>
        <v>172.19999999999959</v>
      </c>
      <c r="N255" s="19">
        <f t="shared" si="68"/>
        <v>126</v>
      </c>
      <c r="O255" s="19">
        <f t="shared" si="68"/>
        <v>133.00000000000068</v>
      </c>
      <c r="P255" s="19">
        <f t="shared" si="68"/>
        <v>140.00000000000136</v>
      </c>
      <c r="Q255" s="20">
        <f t="shared" si="68"/>
        <v>118.99999999999932</v>
      </c>
      <c r="R255" s="20">
        <f t="shared" si="68"/>
        <v>126</v>
      </c>
      <c r="S255" s="20">
        <f t="shared" si="68"/>
        <v>133.00000000000068</v>
      </c>
      <c r="T255" s="21">
        <f t="shared" si="68"/>
        <v>111.99999999999916</v>
      </c>
      <c r="U255" s="21">
        <f t="shared" si="66"/>
        <v>118.99999999999932</v>
      </c>
      <c r="V255" s="21">
        <f t="shared" si="66"/>
        <v>126</v>
      </c>
      <c r="W255" s="22">
        <f t="shared" si="66"/>
        <v>105.00000000000023</v>
      </c>
      <c r="X255" s="22">
        <f t="shared" si="66"/>
        <v>111.99999999999916</v>
      </c>
      <c r="Y255" s="22">
        <f t="shared" si="66"/>
        <v>118.99999999999932</v>
      </c>
      <c r="Z255" s="23">
        <f t="shared" si="66"/>
        <v>98.000000000000341</v>
      </c>
      <c r="AA255" s="23">
        <f t="shared" si="66"/>
        <v>105.00000000000023</v>
      </c>
      <c r="AB255" s="23">
        <f t="shared" si="66"/>
        <v>111.99999999999916</v>
      </c>
      <c r="AC255" s="24">
        <f t="shared" si="66"/>
        <v>90.999999999999659</v>
      </c>
      <c r="AD255" s="24">
        <f t="shared" si="66"/>
        <v>98.000000000000341</v>
      </c>
      <c r="AE255" s="24">
        <f t="shared" si="66"/>
        <v>105.00000000000023</v>
      </c>
      <c r="AF255" s="25">
        <f t="shared" si="66"/>
        <v>84.000000000000512</v>
      </c>
      <c r="AG255" s="25">
        <f t="shared" si="66"/>
        <v>90.999999999999659</v>
      </c>
      <c r="AH255" s="25">
        <f t="shared" si="66"/>
        <v>98.000000000000341</v>
      </c>
      <c r="AI255" s="26">
        <f t="shared" si="66"/>
        <v>76.999999999999829</v>
      </c>
      <c r="AJ255" s="26">
        <f t="shared" si="66"/>
        <v>84.000000000000512</v>
      </c>
      <c r="AK255" s="26">
        <f t="shared" si="65"/>
        <v>90.999999999999659</v>
      </c>
    </row>
    <row r="256" spans="4:37" ht="20.100000000000001" customHeight="1">
      <c r="D256" s="27">
        <f t="shared" si="48"/>
        <v>0.70277777777777584</v>
      </c>
      <c r="E256" s="16">
        <f t="shared" si="68"/>
        <v>186.93888888888984</v>
      </c>
      <c r="F256" s="16">
        <f t="shared" si="68"/>
        <v>193.96666666666599</v>
      </c>
      <c r="G256" s="16">
        <f t="shared" si="68"/>
        <v>200.99444444444475</v>
      </c>
      <c r="H256" s="17">
        <f t="shared" si="68"/>
        <v>172.88333333333293</v>
      </c>
      <c r="I256" s="17">
        <f t="shared" si="68"/>
        <v>179.91111111111138</v>
      </c>
      <c r="J256" s="17">
        <f t="shared" si="68"/>
        <v>186.93888888888984</v>
      </c>
      <c r="K256" s="18">
        <f t="shared" si="68"/>
        <v>158.82777777777906</v>
      </c>
      <c r="L256" s="18">
        <f t="shared" si="68"/>
        <v>165.85555555555447</v>
      </c>
      <c r="M256" s="18">
        <f t="shared" si="68"/>
        <v>172.88333333333293</v>
      </c>
      <c r="N256" s="19">
        <f t="shared" si="68"/>
        <v>126.5</v>
      </c>
      <c r="O256" s="19">
        <f t="shared" si="68"/>
        <v>133.52777777777845</v>
      </c>
      <c r="P256" s="19">
        <f t="shared" si="68"/>
        <v>140.55555555555691</v>
      </c>
      <c r="Q256" s="20">
        <f t="shared" si="68"/>
        <v>119.47222222222155</v>
      </c>
      <c r="R256" s="20">
        <f t="shared" si="68"/>
        <v>126.5</v>
      </c>
      <c r="S256" s="20">
        <f t="shared" si="68"/>
        <v>133.52777777777845</v>
      </c>
      <c r="T256" s="21">
        <f t="shared" si="68"/>
        <v>112.4444444444436</v>
      </c>
      <c r="U256" s="21">
        <f t="shared" si="66"/>
        <v>119.47222222222155</v>
      </c>
      <c r="V256" s="21">
        <f t="shared" si="66"/>
        <v>126.5</v>
      </c>
      <c r="W256" s="22">
        <f t="shared" si="66"/>
        <v>105.4166666666669</v>
      </c>
      <c r="X256" s="22">
        <f t="shared" si="66"/>
        <v>112.4444444444436</v>
      </c>
      <c r="Y256" s="22">
        <f t="shared" si="66"/>
        <v>119.47222222222155</v>
      </c>
      <c r="Z256" s="23">
        <f t="shared" si="66"/>
        <v>98.388888888889227</v>
      </c>
      <c r="AA256" s="23">
        <f t="shared" si="66"/>
        <v>105.4166666666669</v>
      </c>
      <c r="AB256" s="23">
        <f t="shared" si="66"/>
        <v>112.4444444444436</v>
      </c>
      <c r="AC256" s="24">
        <f t="shared" si="66"/>
        <v>91.361111111110773</v>
      </c>
      <c r="AD256" s="24">
        <f t="shared" si="66"/>
        <v>98.388888888889227</v>
      </c>
      <c r="AE256" s="24">
        <f t="shared" si="66"/>
        <v>105.4166666666669</v>
      </c>
      <c r="AF256" s="25">
        <f t="shared" si="66"/>
        <v>84.33333333333384</v>
      </c>
      <c r="AG256" s="25">
        <f t="shared" si="66"/>
        <v>91.361111111110773</v>
      </c>
      <c r="AH256" s="25">
        <f t="shared" si="66"/>
        <v>98.388888888889227</v>
      </c>
      <c r="AI256" s="26">
        <f t="shared" si="66"/>
        <v>77.305555555555387</v>
      </c>
      <c r="AJ256" s="26">
        <f t="shared" si="66"/>
        <v>84.33333333333384</v>
      </c>
      <c r="AK256" s="26">
        <f t="shared" si="65"/>
        <v>91.361111111110773</v>
      </c>
    </row>
    <row r="257" spans="4:37" ht="20.100000000000001" customHeight="1">
      <c r="D257" s="27">
        <f t="shared" si="48"/>
        <v>0.7055555555555536</v>
      </c>
      <c r="E257" s="16">
        <f t="shared" si="68"/>
        <v>187.67777777777872</v>
      </c>
      <c r="F257" s="16">
        <f t="shared" si="68"/>
        <v>194.73333333333267</v>
      </c>
      <c r="G257" s="16">
        <f t="shared" si="68"/>
        <v>201.7888888888892</v>
      </c>
      <c r="H257" s="17">
        <f t="shared" si="68"/>
        <v>173.56666666666626</v>
      </c>
      <c r="I257" s="17">
        <f t="shared" si="68"/>
        <v>180.62222222222249</v>
      </c>
      <c r="J257" s="17">
        <f t="shared" si="68"/>
        <v>187.67777777777872</v>
      </c>
      <c r="K257" s="18">
        <f t="shared" si="68"/>
        <v>159.45555555555683</v>
      </c>
      <c r="L257" s="18">
        <f t="shared" si="68"/>
        <v>166.51111111111004</v>
      </c>
      <c r="M257" s="18">
        <f t="shared" si="68"/>
        <v>173.56666666666626</v>
      </c>
      <c r="N257" s="19">
        <f t="shared" si="68"/>
        <v>127</v>
      </c>
      <c r="O257" s="19">
        <f t="shared" si="68"/>
        <v>134.05555555555623</v>
      </c>
      <c r="P257" s="19">
        <f t="shared" si="68"/>
        <v>141.11111111111245</v>
      </c>
      <c r="Q257" s="20">
        <f t="shared" si="68"/>
        <v>119.94444444444377</v>
      </c>
      <c r="R257" s="20">
        <f t="shared" si="68"/>
        <v>127</v>
      </c>
      <c r="S257" s="20">
        <f t="shared" si="68"/>
        <v>134.05555555555623</v>
      </c>
      <c r="T257" s="21">
        <f t="shared" si="68"/>
        <v>112.88888888888805</v>
      </c>
      <c r="U257" s="21">
        <f t="shared" si="66"/>
        <v>119.94444444444377</v>
      </c>
      <c r="V257" s="21">
        <f t="shared" si="66"/>
        <v>127</v>
      </c>
      <c r="W257" s="22">
        <f t="shared" si="66"/>
        <v>105.83333333333357</v>
      </c>
      <c r="X257" s="22">
        <f t="shared" si="66"/>
        <v>112.88888888888805</v>
      </c>
      <c r="Y257" s="22">
        <f t="shared" si="66"/>
        <v>119.94444444444377</v>
      </c>
      <c r="Z257" s="23">
        <f t="shared" si="66"/>
        <v>98.777777777778113</v>
      </c>
      <c r="AA257" s="23">
        <f t="shared" si="66"/>
        <v>105.83333333333357</v>
      </c>
      <c r="AB257" s="23">
        <f t="shared" si="66"/>
        <v>112.88888888888805</v>
      </c>
      <c r="AC257" s="24">
        <f t="shared" si="66"/>
        <v>91.722222222221887</v>
      </c>
      <c r="AD257" s="24">
        <f t="shared" si="66"/>
        <v>98.777777777778113</v>
      </c>
      <c r="AE257" s="24">
        <f t="shared" si="66"/>
        <v>105.83333333333357</v>
      </c>
      <c r="AF257" s="25">
        <f t="shared" si="66"/>
        <v>84.666666666667169</v>
      </c>
      <c r="AG257" s="25">
        <f t="shared" si="66"/>
        <v>91.722222222221887</v>
      </c>
      <c r="AH257" s="25">
        <f t="shared" si="66"/>
        <v>98.777777777778113</v>
      </c>
      <c r="AI257" s="26">
        <f t="shared" si="66"/>
        <v>77.611111111110944</v>
      </c>
      <c r="AJ257" s="26">
        <f t="shared" si="66"/>
        <v>84.666666666667169</v>
      </c>
      <c r="AK257" s="26">
        <f t="shared" si="65"/>
        <v>91.722222222221887</v>
      </c>
    </row>
    <row r="258" spans="4:37" ht="20.100000000000001" customHeight="1">
      <c r="D258" s="27">
        <f t="shared" si="48"/>
        <v>0.70833333333333137</v>
      </c>
      <c r="E258" s="16">
        <f t="shared" si="68"/>
        <v>188.4166666666676</v>
      </c>
      <c r="F258" s="16">
        <f t="shared" si="68"/>
        <v>195.49999999999935</v>
      </c>
      <c r="G258" s="16">
        <f t="shared" si="68"/>
        <v>202.58333333333366</v>
      </c>
      <c r="H258" s="17">
        <f t="shared" si="68"/>
        <v>174.2499999999996</v>
      </c>
      <c r="I258" s="17">
        <f t="shared" si="68"/>
        <v>181.3333333333336</v>
      </c>
      <c r="J258" s="17">
        <f t="shared" si="68"/>
        <v>188.4166666666676</v>
      </c>
      <c r="K258" s="18">
        <f t="shared" si="68"/>
        <v>160.08333333333459</v>
      </c>
      <c r="L258" s="18">
        <f t="shared" si="68"/>
        <v>167.16666666666561</v>
      </c>
      <c r="M258" s="18">
        <f t="shared" si="68"/>
        <v>174.2499999999996</v>
      </c>
      <c r="N258" s="19">
        <f t="shared" si="68"/>
        <v>127.5</v>
      </c>
      <c r="O258" s="19">
        <f t="shared" si="68"/>
        <v>134.583333333334</v>
      </c>
      <c r="P258" s="19">
        <f t="shared" si="68"/>
        <v>141.66666666666799</v>
      </c>
      <c r="Q258" s="20">
        <f t="shared" si="68"/>
        <v>120.416666666666</v>
      </c>
      <c r="R258" s="20">
        <f t="shared" si="68"/>
        <v>127.5</v>
      </c>
      <c r="S258" s="20">
        <f t="shared" si="68"/>
        <v>134.583333333334</v>
      </c>
      <c r="T258" s="21">
        <f t="shared" si="68"/>
        <v>113.33333333333249</v>
      </c>
      <c r="U258" s="21">
        <f t="shared" ref="U258:AJ273" si="69">U259-(U$363/360)</f>
        <v>120.416666666666</v>
      </c>
      <c r="V258" s="21">
        <f t="shared" si="69"/>
        <v>127.5</v>
      </c>
      <c r="W258" s="22">
        <f t="shared" si="69"/>
        <v>106.25000000000024</v>
      </c>
      <c r="X258" s="22">
        <f t="shared" si="69"/>
        <v>113.33333333333249</v>
      </c>
      <c r="Y258" s="22">
        <f t="shared" si="69"/>
        <v>120.416666666666</v>
      </c>
      <c r="Z258" s="23">
        <f t="shared" si="69"/>
        <v>99.166666666666998</v>
      </c>
      <c r="AA258" s="23">
        <f t="shared" si="69"/>
        <v>106.25000000000024</v>
      </c>
      <c r="AB258" s="23">
        <f t="shared" si="69"/>
        <v>113.33333333333249</v>
      </c>
      <c r="AC258" s="24">
        <f t="shared" si="69"/>
        <v>92.083333333333002</v>
      </c>
      <c r="AD258" s="24">
        <f t="shared" si="69"/>
        <v>99.166666666666998</v>
      </c>
      <c r="AE258" s="24">
        <f t="shared" si="69"/>
        <v>106.25000000000024</v>
      </c>
      <c r="AF258" s="25">
        <f t="shared" si="69"/>
        <v>85.000000000000497</v>
      </c>
      <c r="AG258" s="25">
        <f t="shared" si="69"/>
        <v>92.083333333333002</v>
      </c>
      <c r="AH258" s="25">
        <f t="shared" si="69"/>
        <v>99.166666666666998</v>
      </c>
      <c r="AI258" s="26">
        <f t="shared" si="69"/>
        <v>77.916666666666501</v>
      </c>
      <c r="AJ258" s="26">
        <f t="shared" si="69"/>
        <v>85.000000000000497</v>
      </c>
      <c r="AK258" s="26">
        <f t="shared" si="65"/>
        <v>92.083333333333002</v>
      </c>
    </row>
    <row r="259" spans="4:37" ht="20.100000000000001" customHeight="1">
      <c r="D259" s="27">
        <f t="shared" si="48"/>
        <v>0.71111111111110914</v>
      </c>
      <c r="E259" s="16">
        <f t="shared" si="68"/>
        <v>189.15555555555648</v>
      </c>
      <c r="F259" s="16">
        <f t="shared" ref="F259:T259" si="70">F260-(F$363/360)</f>
        <v>196.26666666666603</v>
      </c>
      <c r="G259" s="16">
        <f t="shared" si="70"/>
        <v>203.37777777777811</v>
      </c>
      <c r="H259" s="17">
        <f t="shared" si="70"/>
        <v>174.93333333333294</v>
      </c>
      <c r="I259" s="17">
        <f t="shared" si="70"/>
        <v>182.04444444444471</v>
      </c>
      <c r="J259" s="17">
        <f t="shared" si="70"/>
        <v>189.15555555555648</v>
      </c>
      <c r="K259" s="18">
        <f t="shared" si="70"/>
        <v>160.71111111111236</v>
      </c>
      <c r="L259" s="18">
        <f t="shared" si="70"/>
        <v>167.82222222222117</v>
      </c>
      <c r="M259" s="18">
        <f t="shared" si="70"/>
        <v>174.93333333333294</v>
      </c>
      <c r="N259" s="19">
        <f t="shared" si="70"/>
        <v>128</v>
      </c>
      <c r="O259" s="19">
        <f t="shared" si="70"/>
        <v>135.11111111111177</v>
      </c>
      <c r="P259" s="19">
        <f t="shared" si="70"/>
        <v>142.22222222222354</v>
      </c>
      <c r="Q259" s="20">
        <f t="shared" si="70"/>
        <v>120.88888888888823</v>
      </c>
      <c r="R259" s="20">
        <f t="shared" si="70"/>
        <v>128</v>
      </c>
      <c r="S259" s="20">
        <f t="shared" si="70"/>
        <v>135.11111111111177</v>
      </c>
      <c r="T259" s="21">
        <f t="shared" si="70"/>
        <v>113.77777777777693</v>
      </c>
      <c r="U259" s="21">
        <f t="shared" si="69"/>
        <v>120.88888888888823</v>
      </c>
      <c r="V259" s="21">
        <f t="shared" si="69"/>
        <v>128</v>
      </c>
      <c r="W259" s="22">
        <f t="shared" si="69"/>
        <v>106.66666666666691</v>
      </c>
      <c r="X259" s="22">
        <f t="shared" si="69"/>
        <v>113.77777777777693</v>
      </c>
      <c r="Y259" s="22">
        <f t="shared" si="69"/>
        <v>120.88888888888823</v>
      </c>
      <c r="Z259" s="23">
        <f t="shared" si="69"/>
        <v>99.555555555555884</v>
      </c>
      <c r="AA259" s="23">
        <f t="shared" si="69"/>
        <v>106.66666666666691</v>
      </c>
      <c r="AB259" s="23">
        <f t="shared" si="69"/>
        <v>113.77777777777693</v>
      </c>
      <c r="AC259" s="24">
        <f t="shared" si="69"/>
        <v>92.444444444444116</v>
      </c>
      <c r="AD259" s="24">
        <f t="shared" si="69"/>
        <v>99.555555555555884</v>
      </c>
      <c r="AE259" s="24">
        <f t="shared" si="69"/>
        <v>106.66666666666691</v>
      </c>
      <c r="AF259" s="25">
        <f t="shared" si="69"/>
        <v>85.333333333333826</v>
      </c>
      <c r="AG259" s="25">
        <f t="shared" si="69"/>
        <v>92.444444444444116</v>
      </c>
      <c r="AH259" s="25">
        <f t="shared" si="69"/>
        <v>99.555555555555884</v>
      </c>
      <c r="AI259" s="26">
        <f t="shared" si="69"/>
        <v>78.222222222222058</v>
      </c>
      <c r="AJ259" s="26">
        <f t="shared" si="69"/>
        <v>85.333333333333826</v>
      </c>
      <c r="AK259" s="26">
        <f t="shared" si="65"/>
        <v>92.444444444444116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189.89444444444536</v>
      </c>
      <c r="F260" s="16">
        <f t="shared" si="71"/>
        <v>197.03333333333271</v>
      </c>
      <c r="G260" s="16">
        <f t="shared" si="71"/>
        <v>204.17222222222256</v>
      </c>
      <c r="H260" s="17">
        <f t="shared" si="71"/>
        <v>175.61666666666628</v>
      </c>
      <c r="I260" s="17">
        <f t="shared" si="71"/>
        <v>182.75555555555582</v>
      </c>
      <c r="J260" s="17">
        <f t="shared" si="71"/>
        <v>189.89444444444536</v>
      </c>
      <c r="K260" s="18">
        <f t="shared" si="71"/>
        <v>161.33888888889012</v>
      </c>
      <c r="L260" s="18">
        <f t="shared" si="71"/>
        <v>168.47777777777674</v>
      </c>
      <c r="M260" s="18">
        <f t="shared" si="71"/>
        <v>175.61666666666628</v>
      </c>
      <c r="N260" s="19">
        <f t="shared" si="71"/>
        <v>128.5</v>
      </c>
      <c r="O260" s="19">
        <f t="shared" si="71"/>
        <v>135.63888888888954</v>
      </c>
      <c r="P260" s="19">
        <f t="shared" si="71"/>
        <v>142.77777777777908</v>
      </c>
      <c r="Q260" s="20">
        <f t="shared" si="71"/>
        <v>121.36111111111046</v>
      </c>
      <c r="R260" s="20">
        <f t="shared" si="71"/>
        <v>128.5</v>
      </c>
      <c r="S260" s="20">
        <f t="shared" si="71"/>
        <v>135.63888888888954</v>
      </c>
      <c r="T260" s="21">
        <f t="shared" si="71"/>
        <v>114.22222222222138</v>
      </c>
      <c r="U260" s="21">
        <f t="shared" si="69"/>
        <v>121.36111111111046</v>
      </c>
      <c r="V260" s="21">
        <f t="shared" si="69"/>
        <v>128.5</v>
      </c>
      <c r="W260" s="22">
        <f t="shared" si="69"/>
        <v>107.08333333333358</v>
      </c>
      <c r="X260" s="22">
        <f t="shared" si="69"/>
        <v>114.22222222222138</v>
      </c>
      <c r="Y260" s="22">
        <f t="shared" si="69"/>
        <v>121.36111111111046</v>
      </c>
      <c r="Z260" s="23">
        <f t="shared" si="69"/>
        <v>99.94444444444477</v>
      </c>
      <c r="AA260" s="23">
        <f t="shared" si="69"/>
        <v>107.08333333333358</v>
      </c>
      <c r="AB260" s="23">
        <f t="shared" si="69"/>
        <v>114.22222222222138</v>
      </c>
      <c r="AC260" s="24">
        <f t="shared" si="69"/>
        <v>92.80555555555523</v>
      </c>
      <c r="AD260" s="24">
        <f t="shared" si="69"/>
        <v>99.94444444444477</v>
      </c>
      <c r="AE260" s="24">
        <f t="shared" si="69"/>
        <v>107.08333333333358</v>
      </c>
      <c r="AF260" s="25">
        <f t="shared" si="69"/>
        <v>85.666666666667155</v>
      </c>
      <c r="AG260" s="25">
        <f t="shared" si="69"/>
        <v>92.80555555555523</v>
      </c>
      <c r="AH260" s="25">
        <f t="shared" si="69"/>
        <v>99.94444444444477</v>
      </c>
      <c r="AI260" s="26">
        <f t="shared" si="69"/>
        <v>78.527777777777615</v>
      </c>
      <c r="AJ260" s="26">
        <f t="shared" si="69"/>
        <v>85.666666666667155</v>
      </c>
      <c r="AK260" s="26">
        <f t="shared" si="65"/>
        <v>92.80555555555523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190.63333333333424</v>
      </c>
      <c r="F261" s="16">
        <f t="shared" si="71"/>
        <v>197.79999999999939</v>
      </c>
      <c r="G261" s="16">
        <f t="shared" si="71"/>
        <v>204.96666666666701</v>
      </c>
      <c r="H261" s="17">
        <f t="shared" si="71"/>
        <v>176.29999999999961</v>
      </c>
      <c r="I261" s="17">
        <f t="shared" si="71"/>
        <v>183.46666666666692</v>
      </c>
      <c r="J261" s="17">
        <f t="shared" si="71"/>
        <v>190.63333333333424</v>
      </c>
      <c r="K261" s="18">
        <f t="shared" si="71"/>
        <v>161.96666666666789</v>
      </c>
      <c r="L261" s="18">
        <f t="shared" si="71"/>
        <v>169.1333333333323</v>
      </c>
      <c r="M261" s="18">
        <f t="shared" si="71"/>
        <v>176.29999999999961</v>
      </c>
      <c r="N261" s="19">
        <f t="shared" si="71"/>
        <v>129</v>
      </c>
      <c r="O261" s="19">
        <f t="shared" si="71"/>
        <v>136.16666666666731</v>
      </c>
      <c r="P261" s="19">
        <f t="shared" si="71"/>
        <v>143.33333333333462</v>
      </c>
      <c r="Q261" s="20">
        <f t="shared" si="71"/>
        <v>121.83333333333269</v>
      </c>
      <c r="R261" s="20">
        <f t="shared" si="71"/>
        <v>129</v>
      </c>
      <c r="S261" s="20">
        <f t="shared" si="71"/>
        <v>136.16666666666731</v>
      </c>
      <c r="T261" s="21">
        <f t="shared" si="71"/>
        <v>114.66666666666582</v>
      </c>
      <c r="U261" s="21">
        <f t="shared" si="69"/>
        <v>121.83333333333269</v>
      </c>
      <c r="V261" s="21">
        <f t="shared" si="69"/>
        <v>129</v>
      </c>
      <c r="W261" s="22">
        <f t="shared" si="69"/>
        <v>107.50000000000026</v>
      </c>
      <c r="X261" s="22">
        <f t="shared" si="69"/>
        <v>114.66666666666582</v>
      </c>
      <c r="Y261" s="22">
        <f t="shared" si="69"/>
        <v>121.83333333333269</v>
      </c>
      <c r="Z261" s="23">
        <f t="shared" si="69"/>
        <v>100.33333333333366</v>
      </c>
      <c r="AA261" s="23">
        <f t="shared" si="69"/>
        <v>107.50000000000026</v>
      </c>
      <c r="AB261" s="23">
        <f t="shared" si="69"/>
        <v>114.66666666666582</v>
      </c>
      <c r="AC261" s="24">
        <f t="shared" si="69"/>
        <v>93.166666666666345</v>
      </c>
      <c r="AD261" s="24">
        <f t="shared" si="69"/>
        <v>100.33333333333366</v>
      </c>
      <c r="AE261" s="24">
        <f t="shared" si="69"/>
        <v>107.50000000000026</v>
      </c>
      <c r="AF261" s="25">
        <f t="shared" si="69"/>
        <v>86.000000000000483</v>
      </c>
      <c r="AG261" s="25">
        <f t="shared" si="69"/>
        <v>93.166666666666345</v>
      </c>
      <c r="AH261" s="25">
        <f t="shared" si="69"/>
        <v>100.33333333333366</v>
      </c>
      <c r="AI261" s="26">
        <f t="shared" si="69"/>
        <v>78.833333333333172</v>
      </c>
      <c r="AJ261" s="26">
        <f t="shared" si="69"/>
        <v>86.000000000000483</v>
      </c>
      <c r="AK261" s="26">
        <f t="shared" si="65"/>
        <v>93.166666666666345</v>
      </c>
    </row>
    <row r="262" spans="4:37" ht="20.100000000000001" customHeight="1">
      <c r="D262" s="27">
        <f t="shared" si="72"/>
        <v>0.71944444444444244</v>
      </c>
      <c r="E262" s="16">
        <f t="shared" si="71"/>
        <v>191.37222222222312</v>
      </c>
      <c r="F262" s="16">
        <f t="shared" si="71"/>
        <v>198.56666666666607</v>
      </c>
      <c r="G262" s="16">
        <f t="shared" si="71"/>
        <v>205.76111111111146</v>
      </c>
      <c r="H262" s="17">
        <f t="shared" si="71"/>
        <v>176.98333333333295</v>
      </c>
      <c r="I262" s="17">
        <f t="shared" si="71"/>
        <v>184.17777777777803</v>
      </c>
      <c r="J262" s="17">
        <f t="shared" si="71"/>
        <v>191.37222222222312</v>
      </c>
      <c r="K262" s="18">
        <f t="shared" si="71"/>
        <v>162.59444444444566</v>
      </c>
      <c r="L262" s="18">
        <f t="shared" si="71"/>
        <v>169.78888888888787</v>
      </c>
      <c r="M262" s="18">
        <f t="shared" si="71"/>
        <v>176.98333333333295</v>
      </c>
      <c r="N262" s="19">
        <f t="shared" si="71"/>
        <v>129.5</v>
      </c>
      <c r="O262" s="19">
        <f t="shared" si="71"/>
        <v>136.69444444444508</v>
      </c>
      <c r="P262" s="19">
        <f t="shared" si="71"/>
        <v>143.88888888889016</v>
      </c>
      <c r="Q262" s="20">
        <f t="shared" si="71"/>
        <v>122.30555555555492</v>
      </c>
      <c r="R262" s="20">
        <f t="shared" si="71"/>
        <v>129.5</v>
      </c>
      <c r="S262" s="20">
        <f t="shared" si="71"/>
        <v>136.69444444444508</v>
      </c>
      <c r="T262" s="21">
        <f t="shared" si="71"/>
        <v>115.11111111111026</v>
      </c>
      <c r="U262" s="21">
        <f t="shared" si="69"/>
        <v>122.30555555555492</v>
      </c>
      <c r="V262" s="21">
        <f t="shared" si="69"/>
        <v>129.5</v>
      </c>
      <c r="W262" s="22">
        <f t="shared" si="69"/>
        <v>107.91666666666693</v>
      </c>
      <c r="X262" s="22">
        <f t="shared" si="69"/>
        <v>115.11111111111026</v>
      </c>
      <c r="Y262" s="22">
        <f t="shared" si="69"/>
        <v>122.30555555555492</v>
      </c>
      <c r="Z262" s="23">
        <f t="shared" si="69"/>
        <v>100.72222222222254</v>
      </c>
      <c r="AA262" s="23">
        <f t="shared" si="69"/>
        <v>107.91666666666693</v>
      </c>
      <c r="AB262" s="23">
        <f t="shared" si="69"/>
        <v>115.11111111111026</v>
      </c>
      <c r="AC262" s="24">
        <f t="shared" si="69"/>
        <v>93.527777777777459</v>
      </c>
      <c r="AD262" s="24">
        <f t="shared" si="69"/>
        <v>100.72222222222254</v>
      </c>
      <c r="AE262" s="24">
        <f t="shared" si="69"/>
        <v>107.91666666666693</v>
      </c>
      <c r="AF262" s="25">
        <f t="shared" si="69"/>
        <v>86.333333333333812</v>
      </c>
      <c r="AG262" s="25">
        <f t="shared" si="69"/>
        <v>93.527777777777459</v>
      </c>
      <c r="AH262" s="25">
        <f t="shared" si="69"/>
        <v>100.72222222222254</v>
      </c>
      <c r="AI262" s="26">
        <f t="shared" si="69"/>
        <v>79.138888888888729</v>
      </c>
      <c r="AJ262" s="26">
        <f t="shared" si="69"/>
        <v>86.333333333333812</v>
      </c>
      <c r="AK262" s="26">
        <f t="shared" si="65"/>
        <v>93.527777777777459</v>
      </c>
    </row>
    <row r="263" spans="4:37" ht="20.100000000000001" customHeight="1">
      <c r="D263" s="27">
        <f t="shared" si="72"/>
        <v>0.72222222222222021</v>
      </c>
      <c r="E263" s="16">
        <f t="shared" si="71"/>
        <v>192.111111111112</v>
      </c>
      <c r="F263" s="16">
        <f t="shared" si="71"/>
        <v>199.33333333333275</v>
      </c>
      <c r="G263" s="16">
        <f t="shared" si="71"/>
        <v>206.55555555555591</v>
      </c>
      <c r="H263" s="17">
        <f t="shared" si="71"/>
        <v>177.66666666666629</v>
      </c>
      <c r="I263" s="17">
        <f t="shared" si="71"/>
        <v>184.88888888888914</v>
      </c>
      <c r="J263" s="17">
        <f t="shared" si="71"/>
        <v>192.111111111112</v>
      </c>
      <c r="K263" s="18">
        <f t="shared" si="71"/>
        <v>163.22222222222342</v>
      </c>
      <c r="L263" s="18">
        <f t="shared" si="71"/>
        <v>170.44444444444343</v>
      </c>
      <c r="M263" s="18">
        <f t="shared" si="71"/>
        <v>177.66666666666629</v>
      </c>
      <c r="N263" s="19">
        <f t="shared" si="71"/>
        <v>130</v>
      </c>
      <c r="O263" s="19">
        <f t="shared" si="71"/>
        <v>137.22222222222285</v>
      </c>
      <c r="P263" s="19">
        <f t="shared" si="71"/>
        <v>144.44444444444571</v>
      </c>
      <c r="Q263" s="20">
        <f t="shared" si="71"/>
        <v>122.77777777777715</v>
      </c>
      <c r="R263" s="20">
        <f t="shared" si="71"/>
        <v>130</v>
      </c>
      <c r="S263" s="20">
        <f t="shared" si="71"/>
        <v>137.22222222222285</v>
      </c>
      <c r="T263" s="21">
        <f t="shared" si="71"/>
        <v>115.5555555555547</v>
      </c>
      <c r="U263" s="21">
        <f t="shared" si="69"/>
        <v>122.77777777777715</v>
      </c>
      <c r="V263" s="21">
        <f t="shared" si="69"/>
        <v>130</v>
      </c>
      <c r="W263" s="22">
        <f t="shared" si="69"/>
        <v>108.3333333333336</v>
      </c>
      <c r="X263" s="22">
        <f t="shared" si="69"/>
        <v>115.5555555555547</v>
      </c>
      <c r="Y263" s="22">
        <f t="shared" si="69"/>
        <v>122.77777777777715</v>
      </c>
      <c r="Z263" s="23">
        <f t="shared" si="69"/>
        <v>101.11111111111143</v>
      </c>
      <c r="AA263" s="23">
        <f t="shared" si="69"/>
        <v>108.3333333333336</v>
      </c>
      <c r="AB263" s="23">
        <f t="shared" si="69"/>
        <v>115.5555555555547</v>
      </c>
      <c r="AC263" s="24">
        <f t="shared" si="69"/>
        <v>93.888888888888573</v>
      </c>
      <c r="AD263" s="24">
        <f t="shared" si="69"/>
        <v>101.11111111111143</v>
      </c>
      <c r="AE263" s="24">
        <f t="shared" si="69"/>
        <v>108.3333333333336</v>
      </c>
      <c r="AF263" s="25">
        <f t="shared" si="69"/>
        <v>86.66666666666714</v>
      </c>
      <c r="AG263" s="25">
        <f t="shared" si="69"/>
        <v>93.888888888888573</v>
      </c>
      <c r="AH263" s="25">
        <f t="shared" si="69"/>
        <v>101.11111111111143</v>
      </c>
      <c r="AI263" s="26">
        <f t="shared" si="69"/>
        <v>79.444444444444287</v>
      </c>
      <c r="AJ263" s="26">
        <f t="shared" si="69"/>
        <v>86.66666666666714</v>
      </c>
      <c r="AK263" s="26">
        <f t="shared" si="65"/>
        <v>93.888888888888573</v>
      </c>
    </row>
    <row r="264" spans="4:37" ht="20.100000000000001" customHeight="1">
      <c r="D264" s="27">
        <f t="shared" si="72"/>
        <v>0.72499999999999798</v>
      </c>
      <c r="E264" s="16">
        <f t="shared" si="71"/>
        <v>192.85000000000088</v>
      </c>
      <c r="F264" s="16">
        <f t="shared" si="71"/>
        <v>200.09999999999943</v>
      </c>
      <c r="G264" s="16">
        <f t="shared" si="71"/>
        <v>207.35000000000036</v>
      </c>
      <c r="H264" s="17">
        <f t="shared" si="71"/>
        <v>178.34999999999962</v>
      </c>
      <c r="I264" s="17">
        <f t="shared" si="71"/>
        <v>185.60000000000025</v>
      </c>
      <c r="J264" s="17">
        <f t="shared" si="71"/>
        <v>192.85000000000088</v>
      </c>
      <c r="K264" s="18">
        <f t="shared" si="71"/>
        <v>163.85000000000119</v>
      </c>
      <c r="L264" s="18">
        <f t="shared" si="71"/>
        <v>171.099999999999</v>
      </c>
      <c r="M264" s="18">
        <f t="shared" si="71"/>
        <v>178.34999999999962</v>
      </c>
      <c r="N264" s="19">
        <f t="shared" si="71"/>
        <v>130.5</v>
      </c>
      <c r="O264" s="19">
        <f t="shared" si="71"/>
        <v>137.75000000000063</v>
      </c>
      <c r="P264" s="19">
        <f t="shared" si="71"/>
        <v>145.00000000000125</v>
      </c>
      <c r="Q264" s="20">
        <f t="shared" si="71"/>
        <v>123.24999999999937</v>
      </c>
      <c r="R264" s="20">
        <f t="shared" si="71"/>
        <v>130.5</v>
      </c>
      <c r="S264" s="20">
        <f t="shared" si="71"/>
        <v>137.75000000000063</v>
      </c>
      <c r="T264" s="21">
        <f t="shared" si="71"/>
        <v>115.99999999999915</v>
      </c>
      <c r="U264" s="21">
        <f t="shared" si="69"/>
        <v>123.24999999999937</v>
      </c>
      <c r="V264" s="21">
        <f t="shared" si="69"/>
        <v>130.5</v>
      </c>
      <c r="W264" s="22">
        <f t="shared" si="69"/>
        <v>108.75000000000027</v>
      </c>
      <c r="X264" s="22">
        <f t="shared" si="69"/>
        <v>115.99999999999915</v>
      </c>
      <c r="Y264" s="22">
        <f t="shared" si="69"/>
        <v>123.24999999999937</v>
      </c>
      <c r="Z264" s="23">
        <f t="shared" si="69"/>
        <v>101.50000000000031</v>
      </c>
      <c r="AA264" s="23">
        <f t="shared" si="69"/>
        <v>108.75000000000027</v>
      </c>
      <c r="AB264" s="23">
        <f t="shared" si="69"/>
        <v>115.99999999999915</v>
      </c>
      <c r="AC264" s="24">
        <f t="shared" si="69"/>
        <v>94.249999999999687</v>
      </c>
      <c r="AD264" s="24">
        <f t="shared" si="69"/>
        <v>101.50000000000031</v>
      </c>
      <c r="AE264" s="24">
        <f t="shared" si="69"/>
        <v>108.75000000000027</v>
      </c>
      <c r="AF264" s="25">
        <f t="shared" si="69"/>
        <v>87.000000000000469</v>
      </c>
      <c r="AG264" s="25">
        <f t="shared" si="69"/>
        <v>94.249999999999687</v>
      </c>
      <c r="AH264" s="25">
        <f t="shared" si="69"/>
        <v>101.50000000000031</v>
      </c>
      <c r="AI264" s="26">
        <f t="shared" si="69"/>
        <v>79.749999999999844</v>
      </c>
      <c r="AJ264" s="26">
        <f t="shared" si="69"/>
        <v>87.000000000000469</v>
      </c>
      <c r="AK264" s="26">
        <f t="shared" si="65"/>
        <v>94.249999999999687</v>
      </c>
    </row>
    <row r="265" spans="4:37" ht="20.100000000000001" customHeight="1">
      <c r="D265" s="27">
        <f t="shared" si="72"/>
        <v>0.72777777777777575</v>
      </c>
      <c r="E265" s="16">
        <f t="shared" si="71"/>
        <v>193.58888888888976</v>
      </c>
      <c r="F265" s="16">
        <f t="shared" si="71"/>
        <v>200.86666666666611</v>
      </c>
      <c r="G265" s="16">
        <f t="shared" si="71"/>
        <v>208.14444444444482</v>
      </c>
      <c r="H265" s="17">
        <f t="shared" si="71"/>
        <v>179.03333333333296</v>
      </c>
      <c r="I265" s="17">
        <f t="shared" si="71"/>
        <v>186.31111111111136</v>
      </c>
      <c r="J265" s="17">
        <f t="shared" si="71"/>
        <v>193.58888888888976</v>
      </c>
      <c r="K265" s="18">
        <f t="shared" si="71"/>
        <v>164.47777777777895</v>
      </c>
      <c r="L265" s="18">
        <f t="shared" si="71"/>
        <v>171.75555555555457</v>
      </c>
      <c r="M265" s="18">
        <f t="shared" si="71"/>
        <v>179.03333333333296</v>
      </c>
      <c r="N265" s="19">
        <f t="shared" si="71"/>
        <v>131</v>
      </c>
      <c r="O265" s="19">
        <f t="shared" si="71"/>
        <v>138.2777777777784</v>
      </c>
      <c r="P265" s="19">
        <f t="shared" si="71"/>
        <v>145.55555555555679</v>
      </c>
      <c r="Q265" s="20">
        <f t="shared" si="71"/>
        <v>123.7222222222216</v>
      </c>
      <c r="R265" s="20">
        <f t="shared" si="71"/>
        <v>131</v>
      </c>
      <c r="S265" s="20">
        <f t="shared" si="71"/>
        <v>138.2777777777784</v>
      </c>
      <c r="T265" s="21">
        <f t="shared" si="71"/>
        <v>116.44444444444359</v>
      </c>
      <c r="U265" s="21">
        <f t="shared" si="69"/>
        <v>123.7222222222216</v>
      </c>
      <c r="V265" s="21">
        <f t="shared" si="69"/>
        <v>131</v>
      </c>
      <c r="W265" s="22">
        <f t="shared" si="69"/>
        <v>109.16666666666694</v>
      </c>
      <c r="X265" s="22">
        <f t="shared" si="69"/>
        <v>116.44444444444359</v>
      </c>
      <c r="Y265" s="22">
        <f t="shared" si="69"/>
        <v>123.7222222222216</v>
      </c>
      <c r="Z265" s="23">
        <f t="shared" si="69"/>
        <v>101.8888888888892</v>
      </c>
      <c r="AA265" s="23">
        <f t="shared" si="69"/>
        <v>109.16666666666694</v>
      </c>
      <c r="AB265" s="23">
        <f t="shared" si="69"/>
        <v>116.44444444444359</v>
      </c>
      <c r="AC265" s="24">
        <f t="shared" si="69"/>
        <v>94.611111111110802</v>
      </c>
      <c r="AD265" s="24">
        <f t="shared" si="69"/>
        <v>101.8888888888892</v>
      </c>
      <c r="AE265" s="24">
        <f t="shared" si="69"/>
        <v>109.16666666666694</v>
      </c>
      <c r="AF265" s="25">
        <f t="shared" si="69"/>
        <v>87.333333333333798</v>
      </c>
      <c r="AG265" s="25">
        <f t="shared" si="69"/>
        <v>94.611111111110802</v>
      </c>
      <c r="AH265" s="25">
        <f t="shared" si="69"/>
        <v>101.8888888888892</v>
      </c>
      <c r="AI265" s="26">
        <f t="shared" si="69"/>
        <v>80.055555555555401</v>
      </c>
      <c r="AJ265" s="26">
        <f t="shared" si="69"/>
        <v>87.333333333333798</v>
      </c>
      <c r="AK265" s="26">
        <f t="shared" si="65"/>
        <v>94.611111111110802</v>
      </c>
    </row>
    <row r="266" spans="4:37" ht="20.100000000000001" customHeight="1">
      <c r="D266" s="27">
        <f t="shared" si="72"/>
        <v>0.73055555555555352</v>
      </c>
      <c r="E266" s="16">
        <f t="shared" si="71"/>
        <v>194.32777777777864</v>
      </c>
      <c r="F266" s="16">
        <f t="shared" si="71"/>
        <v>201.63333333333279</v>
      </c>
      <c r="G266" s="16">
        <f t="shared" si="71"/>
        <v>208.93888888888927</v>
      </c>
      <c r="H266" s="17">
        <f t="shared" si="71"/>
        <v>179.7166666666663</v>
      </c>
      <c r="I266" s="17">
        <f t="shared" si="71"/>
        <v>187.02222222222247</v>
      </c>
      <c r="J266" s="17">
        <f t="shared" si="71"/>
        <v>194.32777777777864</v>
      </c>
      <c r="K266" s="18">
        <f t="shared" si="71"/>
        <v>165.10555555555672</v>
      </c>
      <c r="L266" s="18">
        <f t="shared" si="71"/>
        <v>172.41111111111013</v>
      </c>
      <c r="M266" s="18">
        <f t="shared" si="71"/>
        <v>179.7166666666663</v>
      </c>
      <c r="N266" s="19">
        <f t="shared" si="71"/>
        <v>131.5</v>
      </c>
      <c r="O266" s="19">
        <f t="shared" si="71"/>
        <v>138.80555555555617</v>
      </c>
      <c r="P266" s="19">
        <f t="shared" si="71"/>
        <v>146.11111111111234</v>
      </c>
      <c r="Q266" s="20">
        <f t="shared" si="71"/>
        <v>124.19444444444383</v>
      </c>
      <c r="R266" s="20">
        <f t="shared" si="71"/>
        <v>131.5</v>
      </c>
      <c r="S266" s="20">
        <f t="shared" si="71"/>
        <v>138.80555555555617</v>
      </c>
      <c r="T266" s="21">
        <f t="shared" si="71"/>
        <v>116.88888888888803</v>
      </c>
      <c r="U266" s="21">
        <f t="shared" si="69"/>
        <v>124.19444444444383</v>
      </c>
      <c r="V266" s="21">
        <f t="shared" si="69"/>
        <v>131.5</v>
      </c>
      <c r="W266" s="22">
        <f t="shared" si="69"/>
        <v>109.58333333333361</v>
      </c>
      <c r="X266" s="22">
        <f t="shared" si="69"/>
        <v>116.88888888888803</v>
      </c>
      <c r="Y266" s="22">
        <f t="shared" si="69"/>
        <v>124.19444444444383</v>
      </c>
      <c r="Z266" s="23">
        <f t="shared" si="69"/>
        <v>102.27777777777808</v>
      </c>
      <c r="AA266" s="23">
        <f t="shared" si="69"/>
        <v>109.58333333333361</v>
      </c>
      <c r="AB266" s="23">
        <f t="shared" si="69"/>
        <v>116.88888888888803</v>
      </c>
      <c r="AC266" s="24">
        <f t="shared" si="69"/>
        <v>94.972222222221916</v>
      </c>
      <c r="AD266" s="24">
        <f t="shared" si="69"/>
        <v>102.27777777777808</v>
      </c>
      <c r="AE266" s="24">
        <f t="shared" si="69"/>
        <v>109.58333333333361</v>
      </c>
      <c r="AF266" s="25">
        <f t="shared" si="69"/>
        <v>87.666666666667126</v>
      </c>
      <c r="AG266" s="25">
        <f t="shared" si="69"/>
        <v>94.972222222221916</v>
      </c>
      <c r="AH266" s="25">
        <f t="shared" si="69"/>
        <v>102.27777777777808</v>
      </c>
      <c r="AI266" s="26">
        <f t="shared" si="69"/>
        <v>80.361111111110958</v>
      </c>
      <c r="AJ266" s="26">
        <f t="shared" si="69"/>
        <v>87.666666666667126</v>
      </c>
      <c r="AK266" s="26">
        <f t="shared" si="65"/>
        <v>94.972222222221916</v>
      </c>
    </row>
    <row r="267" spans="4:37" ht="20.100000000000001" customHeight="1">
      <c r="D267" s="27">
        <f t="shared" si="72"/>
        <v>0.73333333333333128</v>
      </c>
      <c r="E267" s="16">
        <f t="shared" si="71"/>
        <v>195.06666666666752</v>
      </c>
      <c r="F267" s="16">
        <f t="shared" si="71"/>
        <v>202.39999999999947</v>
      </c>
      <c r="G267" s="16">
        <f t="shared" si="71"/>
        <v>209.73333333333372</v>
      </c>
      <c r="H267" s="17">
        <f t="shared" si="71"/>
        <v>180.39999999999964</v>
      </c>
      <c r="I267" s="17">
        <f t="shared" si="71"/>
        <v>187.73333333333358</v>
      </c>
      <c r="J267" s="17">
        <f t="shared" si="71"/>
        <v>195.06666666666752</v>
      </c>
      <c r="K267" s="18">
        <f t="shared" si="71"/>
        <v>165.73333333333449</v>
      </c>
      <c r="L267" s="18">
        <f t="shared" si="71"/>
        <v>173.0666666666657</v>
      </c>
      <c r="M267" s="18">
        <f t="shared" si="71"/>
        <v>180.39999999999964</v>
      </c>
      <c r="N267" s="19">
        <f t="shared" si="71"/>
        <v>132</v>
      </c>
      <c r="O267" s="19">
        <f t="shared" si="71"/>
        <v>139.33333333333394</v>
      </c>
      <c r="P267" s="19">
        <f t="shared" si="71"/>
        <v>146.66666666666788</v>
      </c>
      <c r="Q267" s="20">
        <f t="shared" si="71"/>
        <v>124.66666666666606</v>
      </c>
      <c r="R267" s="20">
        <f t="shared" si="71"/>
        <v>132</v>
      </c>
      <c r="S267" s="20">
        <f t="shared" si="71"/>
        <v>139.33333333333394</v>
      </c>
      <c r="T267" s="21">
        <f t="shared" si="71"/>
        <v>117.33333333333248</v>
      </c>
      <c r="U267" s="21">
        <f t="shared" si="69"/>
        <v>124.66666666666606</v>
      </c>
      <c r="V267" s="21">
        <f t="shared" si="69"/>
        <v>132</v>
      </c>
      <c r="W267" s="22">
        <f t="shared" si="69"/>
        <v>110.00000000000028</v>
      </c>
      <c r="X267" s="22">
        <f t="shared" si="69"/>
        <v>117.33333333333248</v>
      </c>
      <c r="Y267" s="22">
        <f t="shared" si="69"/>
        <v>124.66666666666606</v>
      </c>
      <c r="Z267" s="23">
        <f t="shared" si="69"/>
        <v>102.66666666666697</v>
      </c>
      <c r="AA267" s="23">
        <f t="shared" si="69"/>
        <v>110.00000000000028</v>
      </c>
      <c r="AB267" s="23">
        <f t="shared" si="69"/>
        <v>117.33333333333248</v>
      </c>
      <c r="AC267" s="24">
        <f t="shared" si="69"/>
        <v>95.33333333333303</v>
      </c>
      <c r="AD267" s="24">
        <f t="shared" si="69"/>
        <v>102.66666666666697</v>
      </c>
      <c r="AE267" s="24">
        <f t="shared" si="69"/>
        <v>110.00000000000028</v>
      </c>
      <c r="AF267" s="25">
        <f t="shared" si="69"/>
        <v>88.000000000000455</v>
      </c>
      <c r="AG267" s="25">
        <f t="shared" si="69"/>
        <v>95.33333333333303</v>
      </c>
      <c r="AH267" s="25">
        <f t="shared" si="69"/>
        <v>102.66666666666697</v>
      </c>
      <c r="AI267" s="26">
        <f t="shared" si="69"/>
        <v>80.666666666666515</v>
      </c>
      <c r="AJ267" s="26">
        <f t="shared" si="69"/>
        <v>88.000000000000455</v>
      </c>
      <c r="AK267" s="26">
        <f t="shared" si="65"/>
        <v>95.33333333333303</v>
      </c>
    </row>
    <row r="268" spans="4:37" ht="20.100000000000001" customHeight="1">
      <c r="D268" s="27">
        <f t="shared" si="72"/>
        <v>0.73611111111110905</v>
      </c>
      <c r="E268" s="16">
        <f t="shared" si="71"/>
        <v>195.8055555555564</v>
      </c>
      <c r="F268" s="16">
        <f t="shared" si="71"/>
        <v>203.16666666666615</v>
      </c>
      <c r="G268" s="16">
        <f t="shared" si="71"/>
        <v>210.52777777777817</v>
      </c>
      <c r="H268" s="17">
        <f t="shared" si="71"/>
        <v>181.08333333333297</v>
      </c>
      <c r="I268" s="17">
        <f t="shared" si="71"/>
        <v>188.44444444444468</v>
      </c>
      <c r="J268" s="17">
        <f t="shared" si="71"/>
        <v>195.8055555555564</v>
      </c>
      <c r="K268" s="18">
        <f t="shared" si="71"/>
        <v>166.36111111111225</v>
      </c>
      <c r="L268" s="18">
        <f t="shared" si="71"/>
        <v>173.72222222222126</v>
      </c>
      <c r="M268" s="18">
        <f t="shared" si="71"/>
        <v>181.08333333333297</v>
      </c>
      <c r="N268" s="19">
        <f t="shared" si="71"/>
        <v>132.5</v>
      </c>
      <c r="O268" s="19">
        <f t="shared" si="71"/>
        <v>139.86111111111171</v>
      </c>
      <c r="P268" s="19">
        <f t="shared" si="71"/>
        <v>147.22222222222342</v>
      </c>
      <c r="Q268" s="20">
        <f t="shared" si="71"/>
        <v>125.13888888888829</v>
      </c>
      <c r="R268" s="20">
        <f t="shared" si="71"/>
        <v>132.5</v>
      </c>
      <c r="S268" s="20">
        <f t="shared" si="71"/>
        <v>139.86111111111171</v>
      </c>
      <c r="T268" s="21">
        <f t="shared" si="71"/>
        <v>117.77777777777692</v>
      </c>
      <c r="U268" s="21">
        <f t="shared" si="69"/>
        <v>125.13888888888829</v>
      </c>
      <c r="V268" s="21">
        <f t="shared" si="69"/>
        <v>132.5</v>
      </c>
      <c r="W268" s="22">
        <f t="shared" si="69"/>
        <v>110.41666666666696</v>
      </c>
      <c r="X268" s="22">
        <f t="shared" si="69"/>
        <v>117.77777777777692</v>
      </c>
      <c r="Y268" s="22">
        <f t="shared" si="69"/>
        <v>125.13888888888829</v>
      </c>
      <c r="Z268" s="23">
        <f t="shared" si="69"/>
        <v>103.05555555555586</v>
      </c>
      <c r="AA268" s="23">
        <f t="shared" si="69"/>
        <v>110.41666666666696</v>
      </c>
      <c r="AB268" s="23">
        <f t="shared" si="69"/>
        <v>117.77777777777692</v>
      </c>
      <c r="AC268" s="24">
        <f t="shared" si="69"/>
        <v>95.694444444444144</v>
      </c>
      <c r="AD268" s="24">
        <f t="shared" si="69"/>
        <v>103.05555555555586</v>
      </c>
      <c r="AE268" s="24">
        <f t="shared" si="69"/>
        <v>110.41666666666696</v>
      </c>
      <c r="AF268" s="25">
        <f t="shared" si="69"/>
        <v>88.333333333333783</v>
      </c>
      <c r="AG268" s="25">
        <f t="shared" si="69"/>
        <v>95.694444444444144</v>
      </c>
      <c r="AH268" s="25">
        <f t="shared" si="69"/>
        <v>103.05555555555586</v>
      </c>
      <c r="AI268" s="26">
        <f t="shared" si="69"/>
        <v>80.972222222222072</v>
      </c>
      <c r="AJ268" s="26">
        <f t="shared" si="69"/>
        <v>88.333333333333783</v>
      </c>
      <c r="AK268" s="26">
        <f t="shared" si="65"/>
        <v>95.694444444444144</v>
      </c>
    </row>
    <row r="269" spans="4:37" ht="20.100000000000001" customHeight="1">
      <c r="D269" s="27">
        <f t="shared" si="72"/>
        <v>0.73888888888888682</v>
      </c>
      <c r="E269" s="16">
        <f t="shared" si="71"/>
        <v>196.54444444444528</v>
      </c>
      <c r="F269" s="16">
        <f t="shared" si="71"/>
        <v>203.93333333333283</v>
      </c>
      <c r="G269" s="16">
        <f t="shared" si="71"/>
        <v>211.32222222222262</v>
      </c>
      <c r="H269" s="17">
        <f t="shared" si="71"/>
        <v>181.76666666666631</v>
      </c>
      <c r="I269" s="17">
        <f t="shared" si="71"/>
        <v>189.15555555555579</v>
      </c>
      <c r="J269" s="17">
        <f t="shared" si="71"/>
        <v>196.54444444444528</v>
      </c>
      <c r="K269" s="18">
        <f t="shared" si="71"/>
        <v>166.98888888889002</v>
      </c>
      <c r="L269" s="18">
        <f t="shared" si="71"/>
        <v>174.37777777777683</v>
      </c>
      <c r="M269" s="18">
        <f t="shared" si="71"/>
        <v>181.76666666666631</v>
      </c>
      <c r="N269" s="19">
        <f t="shared" si="71"/>
        <v>133</v>
      </c>
      <c r="O269" s="19">
        <f t="shared" si="71"/>
        <v>140.38888888888948</v>
      </c>
      <c r="P269" s="19">
        <f t="shared" si="71"/>
        <v>147.77777777777897</v>
      </c>
      <c r="Q269" s="20">
        <f t="shared" si="71"/>
        <v>125.61111111111052</v>
      </c>
      <c r="R269" s="20">
        <f t="shared" si="71"/>
        <v>133</v>
      </c>
      <c r="S269" s="20">
        <f t="shared" si="71"/>
        <v>140.38888888888948</v>
      </c>
      <c r="T269" s="21">
        <f t="shared" si="71"/>
        <v>118.22222222222136</v>
      </c>
      <c r="U269" s="21">
        <f t="shared" si="69"/>
        <v>125.61111111111052</v>
      </c>
      <c r="V269" s="21">
        <f t="shared" si="69"/>
        <v>133</v>
      </c>
      <c r="W269" s="22">
        <f t="shared" si="69"/>
        <v>110.83333333333363</v>
      </c>
      <c r="X269" s="22">
        <f t="shared" si="69"/>
        <v>118.22222222222136</v>
      </c>
      <c r="Y269" s="22">
        <f t="shared" si="69"/>
        <v>125.61111111111052</v>
      </c>
      <c r="Z269" s="23">
        <f t="shared" si="69"/>
        <v>103.44444444444474</v>
      </c>
      <c r="AA269" s="23">
        <f t="shared" si="69"/>
        <v>110.83333333333363</v>
      </c>
      <c r="AB269" s="23">
        <f t="shared" si="69"/>
        <v>118.22222222222136</v>
      </c>
      <c r="AC269" s="24">
        <f t="shared" si="69"/>
        <v>96.055555555555259</v>
      </c>
      <c r="AD269" s="24">
        <f t="shared" si="69"/>
        <v>103.44444444444474</v>
      </c>
      <c r="AE269" s="24">
        <f t="shared" si="69"/>
        <v>110.83333333333363</v>
      </c>
      <c r="AF269" s="25">
        <f t="shared" si="69"/>
        <v>88.666666666667112</v>
      </c>
      <c r="AG269" s="25">
        <f t="shared" si="69"/>
        <v>96.055555555555259</v>
      </c>
      <c r="AH269" s="25">
        <f t="shared" si="69"/>
        <v>103.44444444444474</v>
      </c>
      <c r="AI269" s="26">
        <f t="shared" si="69"/>
        <v>81.277777777777629</v>
      </c>
      <c r="AJ269" s="26">
        <f t="shared" si="69"/>
        <v>88.666666666667112</v>
      </c>
      <c r="AK269" s="26">
        <f t="shared" si="65"/>
        <v>96.055555555555259</v>
      </c>
    </row>
    <row r="270" spans="4:37" ht="20.100000000000001" customHeight="1">
      <c r="D270" s="27">
        <f t="shared" si="72"/>
        <v>0.74166666666666459</v>
      </c>
      <c r="E270" s="16">
        <f t="shared" si="71"/>
        <v>197.28333333333416</v>
      </c>
      <c r="F270" s="16">
        <f t="shared" si="71"/>
        <v>204.69999999999951</v>
      </c>
      <c r="G270" s="16">
        <f t="shared" si="71"/>
        <v>212.11666666666707</v>
      </c>
      <c r="H270" s="17">
        <f t="shared" si="71"/>
        <v>182.44999999999965</v>
      </c>
      <c r="I270" s="17">
        <f t="shared" si="71"/>
        <v>189.8666666666669</v>
      </c>
      <c r="J270" s="17">
        <f t="shared" si="71"/>
        <v>197.28333333333416</v>
      </c>
      <c r="K270" s="18">
        <f t="shared" si="71"/>
        <v>167.61666666666778</v>
      </c>
      <c r="L270" s="18">
        <f t="shared" si="71"/>
        <v>175.03333333333239</v>
      </c>
      <c r="M270" s="18">
        <f t="shared" si="71"/>
        <v>182.44999999999965</v>
      </c>
      <c r="N270" s="19">
        <f t="shared" si="71"/>
        <v>133.5</v>
      </c>
      <c r="O270" s="19">
        <f t="shared" si="71"/>
        <v>140.91666666666725</v>
      </c>
      <c r="P270" s="19">
        <f t="shared" si="71"/>
        <v>148.33333333333451</v>
      </c>
      <c r="Q270" s="20">
        <f t="shared" si="71"/>
        <v>126.08333333333275</v>
      </c>
      <c r="R270" s="20">
        <f t="shared" si="71"/>
        <v>133.5</v>
      </c>
      <c r="S270" s="20">
        <f t="shared" si="71"/>
        <v>140.91666666666725</v>
      </c>
      <c r="T270" s="21">
        <f t="shared" si="71"/>
        <v>118.6666666666658</v>
      </c>
      <c r="U270" s="21">
        <f t="shared" si="69"/>
        <v>126.08333333333275</v>
      </c>
      <c r="V270" s="21">
        <f t="shared" si="69"/>
        <v>133.5</v>
      </c>
      <c r="W270" s="22">
        <f t="shared" si="69"/>
        <v>111.2500000000003</v>
      </c>
      <c r="X270" s="22">
        <f t="shared" si="69"/>
        <v>118.6666666666658</v>
      </c>
      <c r="Y270" s="22">
        <f t="shared" si="69"/>
        <v>126.08333333333275</v>
      </c>
      <c r="Z270" s="23">
        <f t="shared" si="69"/>
        <v>103.83333333333363</v>
      </c>
      <c r="AA270" s="23">
        <f t="shared" si="69"/>
        <v>111.2500000000003</v>
      </c>
      <c r="AB270" s="23">
        <f t="shared" si="69"/>
        <v>118.6666666666658</v>
      </c>
      <c r="AC270" s="24">
        <f t="shared" si="69"/>
        <v>96.416666666666373</v>
      </c>
      <c r="AD270" s="24">
        <f t="shared" si="69"/>
        <v>103.83333333333363</v>
      </c>
      <c r="AE270" s="24">
        <f t="shared" si="69"/>
        <v>111.2500000000003</v>
      </c>
      <c r="AF270" s="25">
        <f t="shared" si="69"/>
        <v>89.000000000000441</v>
      </c>
      <c r="AG270" s="25">
        <f t="shared" si="69"/>
        <v>96.416666666666373</v>
      </c>
      <c r="AH270" s="25">
        <f t="shared" si="69"/>
        <v>103.83333333333363</v>
      </c>
      <c r="AI270" s="26">
        <f t="shared" si="69"/>
        <v>81.583333333333186</v>
      </c>
      <c r="AJ270" s="26">
        <f t="shared" si="69"/>
        <v>89.000000000000441</v>
      </c>
      <c r="AK270" s="26">
        <f t="shared" si="65"/>
        <v>96.416666666666373</v>
      </c>
    </row>
    <row r="271" spans="4:37" ht="20.100000000000001" customHeight="1">
      <c r="D271" s="27">
        <f t="shared" si="72"/>
        <v>0.74444444444444235</v>
      </c>
      <c r="E271" s="16">
        <f t="shared" si="71"/>
        <v>198.02222222222304</v>
      </c>
      <c r="F271" s="16">
        <f t="shared" si="71"/>
        <v>205.46666666666619</v>
      </c>
      <c r="G271" s="16">
        <f t="shared" si="71"/>
        <v>212.91111111111152</v>
      </c>
      <c r="H271" s="17">
        <f t="shared" si="71"/>
        <v>183.13333333333298</v>
      </c>
      <c r="I271" s="17">
        <f t="shared" si="71"/>
        <v>190.57777777777801</v>
      </c>
      <c r="J271" s="17">
        <f t="shared" si="71"/>
        <v>198.02222222222304</v>
      </c>
      <c r="K271" s="18">
        <f t="shared" si="71"/>
        <v>168.24444444444555</v>
      </c>
      <c r="L271" s="18">
        <f t="shared" si="71"/>
        <v>175.68888888888796</v>
      </c>
      <c r="M271" s="18">
        <f t="shared" si="71"/>
        <v>183.13333333333298</v>
      </c>
      <c r="N271" s="19">
        <f t="shared" si="71"/>
        <v>134</v>
      </c>
      <c r="O271" s="19">
        <f t="shared" si="71"/>
        <v>141.44444444444503</v>
      </c>
      <c r="P271" s="19">
        <f t="shared" si="71"/>
        <v>148.88888888889005</v>
      </c>
      <c r="Q271" s="20">
        <f t="shared" si="71"/>
        <v>126.55555555555497</v>
      </c>
      <c r="R271" s="20">
        <f t="shared" si="71"/>
        <v>134</v>
      </c>
      <c r="S271" s="20">
        <f t="shared" si="71"/>
        <v>141.44444444444503</v>
      </c>
      <c r="T271" s="21">
        <f t="shared" si="71"/>
        <v>119.11111111111025</v>
      </c>
      <c r="U271" s="21">
        <f t="shared" si="69"/>
        <v>126.55555555555497</v>
      </c>
      <c r="V271" s="21">
        <f t="shared" si="69"/>
        <v>134</v>
      </c>
      <c r="W271" s="22">
        <f t="shared" si="69"/>
        <v>111.66666666666697</v>
      </c>
      <c r="X271" s="22">
        <f t="shared" si="69"/>
        <v>119.11111111111025</v>
      </c>
      <c r="Y271" s="22">
        <f t="shared" si="69"/>
        <v>126.55555555555497</v>
      </c>
      <c r="Z271" s="23">
        <f t="shared" si="69"/>
        <v>104.22222222222251</v>
      </c>
      <c r="AA271" s="23">
        <f t="shared" si="69"/>
        <v>111.66666666666697</v>
      </c>
      <c r="AB271" s="23">
        <f t="shared" si="69"/>
        <v>119.11111111111025</v>
      </c>
      <c r="AC271" s="24">
        <f t="shared" si="69"/>
        <v>96.777777777777487</v>
      </c>
      <c r="AD271" s="24">
        <f t="shared" si="69"/>
        <v>104.22222222222251</v>
      </c>
      <c r="AE271" s="24">
        <f t="shared" si="69"/>
        <v>111.66666666666697</v>
      </c>
      <c r="AF271" s="25">
        <f t="shared" si="69"/>
        <v>89.333333333333769</v>
      </c>
      <c r="AG271" s="25">
        <f t="shared" si="69"/>
        <v>96.777777777777487</v>
      </c>
      <c r="AH271" s="25">
        <f t="shared" si="69"/>
        <v>104.22222222222251</v>
      </c>
      <c r="AI271" s="26">
        <f t="shared" si="69"/>
        <v>81.888888888888744</v>
      </c>
      <c r="AJ271" s="26">
        <f t="shared" si="69"/>
        <v>89.333333333333769</v>
      </c>
      <c r="AK271" s="26">
        <f t="shared" si="65"/>
        <v>96.777777777777487</v>
      </c>
    </row>
    <row r="272" spans="4:37" ht="20.100000000000001" customHeight="1">
      <c r="D272" s="27">
        <f t="shared" si="72"/>
        <v>0.74722222222222012</v>
      </c>
      <c r="E272" s="16">
        <f t="shared" si="71"/>
        <v>198.76111111111192</v>
      </c>
      <c r="F272" s="16">
        <f t="shared" si="71"/>
        <v>206.23333333333287</v>
      </c>
      <c r="G272" s="16">
        <f t="shared" si="71"/>
        <v>213.70555555555597</v>
      </c>
      <c r="H272" s="17">
        <f t="shared" si="71"/>
        <v>183.81666666666632</v>
      </c>
      <c r="I272" s="17">
        <f t="shared" si="71"/>
        <v>191.28888888888912</v>
      </c>
      <c r="J272" s="17">
        <f t="shared" si="71"/>
        <v>198.76111111111192</v>
      </c>
      <c r="K272" s="18">
        <f t="shared" si="71"/>
        <v>168.87222222222331</v>
      </c>
      <c r="L272" s="18">
        <f t="shared" si="71"/>
        <v>176.34444444444352</v>
      </c>
      <c r="M272" s="18">
        <f t="shared" si="71"/>
        <v>183.81666666666632</v>
      </c>
      <c r="N272" s="19">
        <f t="shared" si="71"/>
        <v>134.5</v>
      </c>
      <c r="O272" s="19">
        <f t="shared" si="71"/>
        <v>141.9722222222228</v>
      </c>
      <c r="P272" s="19">
        <f t="shared" si="71"/>
        <v>149.44444444444559</v>
      </c>
      <c r="Q272" s="20">
        <f t="shared" si="71"/>
        <v>127.0277777777772</v>
      </c>
      <c r="R272" s="20">
        <f t="shared" si="71"/>
        <v>134.5</v>
      </c>
      <c r="S272" s="20">
        <f t="shared" si="71"/>
        <v>141.9722222222228</v>
      </c>
      <c r="T272" s="21">
        <f t="shared" si="71"/>
        <v>119.55555555555469</v>
      </c>
      <c r="U272" s="21">
        <f t="shared" si="69"/>
        <v>127.0277777777772</v>
      </c>
      <c r="V272" s="21">
        <f t="shared" si="69"/>
        <v>134.5</v>
      </c>
      <c r="W272" s="22">
        <f t="shared" si="69"/>
        <v>112.08333333333364</v>
      </c>
      <c r="X272" s="22">
        <f t="shared" si="69"/>
        <v>119.55555555555469</v>
      </c>
      <c r="Y272" s="22">
        <f t="shared" si="69"/>
        <v>127.0277777777772</v>
      </c>
      <c r="Z272" s="23">
        <f t="shared" si="69"/>
        <v>104.6111111111114</v>
      </c>
      <c r="AA272" s="23">
        <f t="shared" si="69"/>
        <v>112.08333333333364</v>
      </c>
      <c r="AB272" s="23">
        <f t="shared" si="69"/>
        <v>119.55555555555469</v>
      </c>
      <c r="AC272" s="24">
        <f t="shared" si="69"/>
        <v>97.138888888888602</v>
      </c>
      <c r="AD272" s="24">
        <f t="shared" si="69"/>
        <v>104.6111111111114</v>
      </c>
      <c r="AE272" s="24">
        <f t="shared" si="69"/>
        <v>112.08333333333364</v>
      </c>
      <c r="AF272" s="25">
        <f t="shared" si="69"/>
        <v>89.666666666667098</v>
      </c>
      <c r="AG272" s="25">
        <f t="shared" si="69"/>
        <v>97.138888888888602</v>
      </c>
      <c r="AH272" s="25">
        <f t="shared" si="69"/>
        <v>104.6111111111114</v>
      </c>
      <c r="AI272" s="26">
        <f t="shared" si="69"/>
        <v>82.194444444444301</v>
      </c>
      <c r="AJ272" s="26">
        <f t="shared" si="69"/>
        <v>89.666666666667098</v>
      </c>
      <c r="AK272" s="26">
        <f t="shared" si="65"/>
        <v>97.138888888888602</v>
      </c>
    </row>
    <row r="273" spans="4:37" ht="20.100000000000001" customHeight="1">
      <c r="D273" s="27">
        <f t="shared" si="72"/>
        <v>0.74999999999999789</v>
      </c>
      <c r="E273" s="16">
        <f t="shared" si="71"/>
        <v>199.5000000000008</v>
      </c>
      <c r="F273" s="16">
        <f t="shared" si="71"/>
        <v>206.99999999999955</v>
      </c>
      <c r="G273" s="16">
        <f t="shared" si="71"/>
        <v>214.50000000000043</v>
      </c>
      <c r="H273" s="17">
        <f t="shared" si="71"/>
        <v>184.49999999999966</v>
      </c>
      <c r="I273" s="17">
        <f t="shared" si="71"/>
        <v>192.00000000000023</v>
      </c>
      <c r="J273" s="17">
        <f t="shared" si="71"/>
        <v>199.5000000000008</v>
      </c>
      <c r="K273" s="18">
        <f t="shared" si="71"/>
        <v>169.50000000000108</v>
      </c>
      <c r="L273" s="18">
        <f t="shared" si="71"/>
        <v>176.99999999999909</v>
      </c>
      <c r="M273" s="18">
        <f t="shared" si="71"/>
        <v>184.49999999999966</v>
      </c>
      <c r="N273" s="19">
        <f t="shared" si="71"/>
        <v>135</v>
      </c>
      <c r="O273" s="19">
        <f t="shared" si="71"/>
        <v>142.50000000000057</v>
      </c>
      <c r="P273" s="19">
        <f t="shared" si="71"/>
        <v>150.00000000000114</v>
      </c>
      <c r="Q273" s="20">
        <f t="shared" si="71"/>
        <v>127.49999999999943</v>
      </c>
      <c r="R273" s="20">
        <f t="shared" si="71"/>
        <v>135</v>
      </c>
      <c r="S273" s="20">
        <f t="shared" si="71"/>
        <v>142.50000000000057</v>
      </c>
      <c r="T273" s="21">
        <f t="shared" si="71"/>
        <v>119.99999999999913</v>
      </c>
      <c r="U273" s="21">
        <f t="shared" si="69"/>
        <v>127.49999999999943</v>
      </c>
      <c r="V273" s="21">
        <f t="shared" si="69"/>
        <v>135</v>
      </c>
      <c r="W273" s="22">
        <f t="shared" si="69"/>
        <v>112.50000000000031</v>
      </c>
      <c r="X273" s="22">
        <f t="shared" si="69"/>
        <v>119.99999999999913</v>
      </c>
      <c r="Y273" s="22">
        <f t="shared" si="69"/>
        <v>127.49999999999943</v>
      </c>
      <c r="Z273" s="23">
        <f t="shared" si="69"/>
        <v>105.00000000000028</v>
      </c>
      <c r="AA273" s="23">
        <f t="shared" si="69"/>
        <v>112.50000000000031</v>
      </c>
      <c r="AB273" s="23">
        <f t="shared" si="69"/>
        <v>119.99999999999913</v>
      </c>
      <c r="AC273" s="24">
        <f t="shared" si="69"/>
        <v>97.499999999999716</v>
      </c>
      <c r="AD273" s="24">
        <f t="shared" si="69"/>
        <v>105.00000000000028</v>
      </c>
      <c r="AE273" s="24">
        <f t="shared" si="69"/>
        <v>112.50000000000031</v>
      </c>
      <c r="AF273" s="25">
        <f t="shared" si="69"/>
        <v>90.000000000000426</v>
      </c>
      <c r="AG273" s="25">
        <f t="shared" si="69"/>
        <v>97.499999999999716</v>
      </c>
      <c r="AH273" s="25">
        <f t="shared" si="69"/>
        <v>105.00000000000028</v>
      </c>
      <c r="AI273" s="26">
        <f t="shared" si="69"/>
        <v>82.499999999999858</v>
      </c>
      <c r="AJ273" s="26">
        <f t="shared" ref="AJ273:AJ281" si="73">AJ274-(AJ$363/360)</f>
        <v>90.000000000000426</v>
      </c>
      <c r="AK273" s="26">
        <f t="shared" si="65"/>
        <v>97.499999999999716</v>
      </c>
    </row>
    <row r="274" spans="4:37" ht="20.100000000000001" customHeight="1">
      <c r="D274" s="27">
        <f t="shared" si="72"/>
        <v>0.75277777777777566</v>
      </c>
      <c r="E274" s="16">
        <f t="shared" si="71"/>
        <v>200.23888888888968</v>
      </c>
      <c r="F274" s="16">
        <f t="shared" si="71"/>
        <v>207.76666666666623</v>
      </c>
      <c r="G274" s="16">
        <f t="shared" si="71"/>
        <v>215.29444444444488</v>
      </c>
      <c r="H274" s="17">
        <f t="shared" si="71"/>
        <v>185.183333333333</v>
      </c>
      <c r="I274" s="17">
        <f t="shared" si="71"/>
        <v>192.71111111111134</v>
      </c>
      <c r="J274" s="17">
        <f t="shared" si="71"/>
        <v>200.23888888888968</v>
      </c>
      <c r="K274" s="18">
        <f t="shared" si="71"/>
        <v>170.12777777777885</v>
      </c>
      <c r="L274" s="18">
        <f t="shared" si="71"/>
        <v>177.65555555555466</v>
      </c>
      <c r="M274" s="18">
        <f t="shared" si="71"/>
        <v>185.183333333333</v>
      </c>
      <c r="N274" s="19">
        <f t="shared" si="71"/>
        <v>135.5</v>
      </c>
      <c r="O274" s="19">
        <f t="shared" si="71"/>
        <v>143.02777777777834</v>
      </c>
      <c r="P274" s="19">
        <f t="shared" si="71"/>
        <v>150.55555555555668</v>
      </c>
      <c r="Q274" s="20">
        <f t="shared" si="71"/>
        <v>127.97222222222166</v>
      </c>
      <c r="R274" s="20">
        <f t="shared" si="71"/>
        <v>135.5</v>
      </c>
      <c r="S274" s="20">
        <f t="shared" si="71"/>
        <v>143.02777777777834</v>
      </c>
      <c r="T274" s="21">
        <f t="shared" si="71"/>
        <v>120.44444444444358</v>
      </c>
      <c r="U274" s="21">
        <f t="shared" ref="U274:AI274" si="74">U275-(U$363/360)</f>
        <v>127.97222222222166</v>
      </c>
      <c r="V274" s="21">
        <f t="shared" si="74"/>
        <v>135.5</v>
      </c>
      <c r="W274" s="22">
        <f t="shared" si="74"/>
        <v>112.91666666666698</v>
      </c>
      <c r="X274" s="22">
        <f t="shared" si="74"/>
        <v>120.44444444444358</v>
      </c>
      <c r="Y274" s="22">
        <f t="shared" si="74"/>
        <v>127.97222222222166</v>
      </c>
      <c r="Z274" s="23">
        <f t="shared" si="74"/>
        <v>105.38888888888917</v>
      </c>
      <c r="AA274" s="23">
        <f t="shared" si="74"/>
        <v>112.91666666666698</v>
      </c>
      <c r="AB274" s="23">
        <f t="shared" si="74"/>
        <v>120.44444444444358</v>
      </c>
      <c r="AC274" s="24">
        <f t="shared" si="74"/>
        <v>97.86111111111083</v>
      </c>
      <c r="AD274" s="24">
        <f t="shared" si="74"/>
        <v>105.38888888888917</v>
      </c>
      <c r="AE274" s="24">
        <f t="shared" si="74"/>
        <v>112.91666666666698</v>
      </c>
      <c r="AF274" s="25">
        <f t="shared" si="74"/>
        <v>90.333333333333755</v>
      </c>
      <c r="AG274" s="25">
        <f t="shared" si="74"/>
        <v>97.86111111111083</v>
      </c>
      <c r="AH274" s="25">
        <f t="shared" si="74"/>
        <v>105.38888888888917</v>
      </c>
      <c r="AI274" s="26">
        <f t="shared" si="74"/>
        <v>82.805555555555415</v>
      </c>
      <c r="AJ274" s="26">
        <f t="shared" si="73"/>
        <v>90.333333333333755</v>
      </c>
      <c r="AK274" s="26">
        <f t="shared" si="65"/>
        <v>97.86111111111083</v>
      </c>
    </row>
    <row r="275" spans="4:37" ht="20.100000000000001" customHeight="1">
      <c r="D275" s="27">
        <f t="shared" si="72"/>
        <v>0.75555555555555343</v>
      </c>
      <c r="E275" s="16">
        <f t="shared" si="71"/>
        <v>200.97777777777856</v>
      </c>
      <c r="F275" s="16">
        <f t="shared" si="71"/>
        <v>208.53333333333291</v>
      </c>
      <c r="G275" s="16">
        <f t="shared" si="71"/>
        <v>216.08888888888933</v>
      </c>
      <c r="H275" s="17">
        <f t="shared" si="71"/>
        <v>185.86666666666633</v>
      </c>
      <c r="I275" s="17">
        <f t="shared" si="71"/>
        <v>193.42222222222244</v>
      </c>
      <c r="J275" s="17">
        <f t="shared" si="71"/>
        <v>200.97777777777856</v>
      </c>
      <c r="K275" s="18">
        <f t="shared" si="71"/>
        <v>170.75555555555661</v>
      </c>
      <c r="L275" s="18">
        <f t="shared" si="71"/>
        <v>178.31111111111022</v>
      </c>
      <c r="M275" s="18">
        <f t="shared" si="71"/>
        <v>185.86666666666633</v>
      </c>
      <c r="N275" s="19">
        <f t="shared" si="71"/>
        <v>136</v>
      </c>
      <c r="O275" s="19">
        <f t="shared" si="71"/>
        <v>143.55555555555611</v>
      </c>
      <c r="P275" s="19">
        <f t="shared" si="71"/>
        <v>151.11111111111222</v>
      </c>
      <c r="Q275" s="20">
        <f t="shared" si="71"/>
        <v>128.44444444444389</v>
      </c>
      <c r="R275" s="20">
        <f t="shared" si="71"/>
        <v>136</v>
      </c>
      <c r="S275" s="20">
        <f t="shared" si="71"/>
        <v>143.55555555555611</v>
      </c>
      <c r="T275" s="21">
        <f t="shared" ref="T275:AI290" si="75">T276-(T$363/360)</f>
        <v>120.88888888888802</v>
      </c>
      <c r="U275" s="21">
        <f t="shared" si="75"/>
        <v>128.44444444444389</v>
      </c>
      <c r="V275" s="21">
        <f t="shared" si="75"/>
        <v>136</v>
      </c>
      <c r="W275" s="22">
        <f t="shared" si="75"/>
        <v>113.33333333333366</v>
      </c>
      <c r="X275" s="22">
        <f t="shared" si="75"/>
        <v>120.88888888888802</v>
      </c>
      <c r="Y275" s="22">
        <f t="shared" si="75"/>
        <v>128.44444444444389</v>
      </c>
      <c r="Z275" s="23">
        <f t="shared" si="75"/>
        <v>105.77777777777806</v>
      </c>
      <c r="AA275" s="23">
        <f t="shared" si="75"/>
        <v>113.33333333333366</v>
      </c>
      <c r="AB275" s="23">
        <f t="shared" si="75"/>
        <v>120.88888888888802</v>
      </c>
      <c r="AC275" s="24">
        <f t="shared" si="75"/>
        <v>98.222222222221944</v>
      </c>
      <c r="AD275" s="24">
        <f t="shared" si="75"/>
        <v>105.77777777777806</v>
      </c>
      <c r="AE275" s="24">
        <f t="shared" si="75"/>
        <v>113.33333333333366</v>
      </c>
      <c r="AF275" s="25">
        <f t="shared" si="75"/>
        <v>90.666666666667084</v>
      </c>
      <c r="AG275" s="25">
        <f t="shared" si="75"/>
        <v>98.222222222221944</v>
      </c>
      <c r="AH275" s="25">
        <f t="shared" si="75"/>
        <v>105.77777777777806</v>
      </c>
      <c r="AI275" s="26">
        <f t="shared" si="75"/>
        <v>83.111111111110972</v>
      </c>
      <c r="AJ275" s="26">
        <f t="shared" si="73"/>
        <v>90.666666666667084</v>
      </c>
      <c r="AK275" s="26">
        <f t="shared" si="65"/>
        <v>98.222222222221944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201.71666666666744</v>
      </c>
      <c r="F276" s="16">
        <f t="shared" si="76"/>
        <v>209.29999999999959</v>
      </c>
      <c r="G276" s="16">
        <f t="shared" si="76"/>
        <v>216.88333333333378</v>
      </c>
      <c r="H276" s="17">
        <f t="shared" si="76"/>
        <v>186.54999999999967</v>
      </c>
      <c r="I276" s="17">
        <f t="shared" si="76"/>
        <v>194.13333333333355</v>
      </c>
      <c r="J276" s="17">
        <f t="shared" si="76"/>
        <v>201.71666666666744</v>
      </c>
      <c r="K276" s="18">
        <f t="shared" si="76"/>
        <v>171.38333333333438</v>
      </c>
      <c r="L276" s="18">
        <f t="shared" si="76"/>
        <v>178.96666666666579</v>
      </c>
      <c r="M276" s="18">
        <f t="shared" si="76"/>
        <v>186.54999999999967</v>
      </c>
      <c r="N276" s="19">
        <f t="shared" si="76"/>
        <v>136.5</v>
      </c>
      <c r="O276" s="19">
        <f t="shared" si="76"/>
        <v>144.08333333333388</v>
      </c>
      <c r="P276" s="19">
        <f t="shared" si="76"/>
        <v>151.66666666666777</v>
      </c>
      <c r="Q276" s="20">
        <f t="shared" si="76"/>
        <v>128.91666666666612</v>
      </c>
      <c r="R276" s="20">
        <f t="shared" si="76"/>
        <v>136.5</v>
      </c>
      <c r="S276" s="20">
        <f t="shared" si="76"/>
        <v>144.08333333333388</v>
      </c>
      <c r="T276" s="21">
        <f t="shared" si="76"/>
        <v>121.33333333333246</v>
      </c>
      <c r="U276" s="21">
        <f t="shared" si="75"/>
        <v>128.91666666666612</v>
      </c>
      <c r="V276" s="21">
        <f t="shared" si="75"/>
        <v>136.5</v>
      </c>
      <c r="W276" s="22">
        <f t="shared" si="75"/>
        <v>113.75000000000033</v>
      </c>
      <c r="X276" s="22">
        <f t="shared" si="75"/>
        <v>121.33333333333246</v>
      </c>
      <c r="Y276" s="22">
        <f t="shared" si="75"/>
        <v>128.91666666666612</v>
      </c>
      <c r="Z276" s="23">
        <f t="shared" si="75"/>
        <v>106.16666666666694</v>
      </c>
      <c r="AA276" s="23">
        <f t="shared" si="75"/>
        <v>113.75000000000033</v>
      </c>
      <c r="AB276" s="23">
        <f t="shared" si="75"/>
        <v>121.33333333333246</v>
      </c>
      <c r="AC276" s="24">
        <f t="shared" si="75"/>
        <v>98.583333333333059</v>
      </c>
      <c r="AD276" s="24">
        <f t="shared" si="75"/>
        <v>106.16666666666694</v>
      </c>
      <c r="AE276" s="24">
        <f t="shared" si="75"/>
        <v>113.75000000000033</v>
      </c>
      <c r="AF276" s="25">
        <f t="shared" si="75"/>
        <v>91.000000000000412</v>
      </c>
      <c r="AG276" s="25">
        <f t="shared" si="75"/>
        <v>98.583333333333059</v>
      </c>
      <c r="AH276" s="25">
        <f t="shared" si="75"/>
        <v>106.16666666666694</v>
      </c>
      <c r="AI276" s="26">
        <f t="shared" si="75"/>
        <v>83.416666666666529</v>
      </c>
      <c r="AJ276" s="26">
        <f t="shared" si="73"/>
        <v>91.000000000000412</v>
      </c>
      <c r="AK276" s="26">
        <f t="shared" si="65"/>
        <v>98.583333333333059</v>
      </c>
    </row>
    <row r="277" spans="4:37" ht="20.100000000000001" customHeight="1">
      <c r="D277" s="27">
        <f t="shared" si="72"/>
        <v>0.76111111111110896</v>
      </c>
      <c r="E277" s="16">
        <f t="shared" si="76"/>
        <v>202.45555555555632</v>
      </c>
      <c r="F277" s="16">
        <f t="shared" si="76"/>
        <v>210.06666666666626</v>
      </c>
      <c r="G277" s="16">
        <f t="shared" si="76"/>
        <v>217.67777777777823</v>
      </c>
      <c r="H277" s="17">
        <f t="shared" si="76"/>
        <v>187.23333333333301</v>
      </c>
      <c r="I277" s="17">
        <f t="shared" si="76"/>
        <v>194.84444444444466</v>
      </c>
      <c r="J277" s="17">
        <f t="shared" si="76"/>
        <v>202.45555555555632</v>
      </c>
      <c r="K277" s="18">
        <f t="shared" si="76"/>
        <v>172.01111111111214</v>
      </c>
      <c r="L277" s="18">
        <f t="shared" si="76"/>
        <v>179.62222222222135</v>
      </c>
      <c r="M277" s="18">
        <f t="shared" si="76"/>
        <v>187.23333333333301</v>
      </c>
      <c r="N277" s="19">
        <f t="shared" si="76"/>
        <v>137</v>
      </c>
      <c r="O277" s="19">
        <f t="shared" si="76"/>
        <v>144.61111111111165</v>
      </c>
      <c r="P277" s="19">
        <f t="shared" si="76"/>
        <v>152.22222222222331</v>
      </c>
      <c r="Q277" s="20">
        <f t="shared" si="76"/>
        <v>129.38888888888835</v>
      </c>
      <c r="R277" s="20">
        <f t="shared" si="76"/>
        <v>137</v>
      </c>
      <c r="S277" s="20">
        <f t="shared" si="76"/>
        <v>144.61111111111165</v>
      </c>
      <c r="T277" s="21">
        <f t="shared" si="76"/>
        <v>121.7777777777769</v>
      </c>
      <c r="U277" s="21">
        <f t="shared" si="75"/>
        <v>129.38888888888835</v>
      </c>
      <c r="V277" s="21">
        <f t="shared" si="75"/>
        <v>137</v>
      </c>
      <c r="W277" s="22">
        <f t="shared" si="75"/>
        <v>114.166666666667</v>
      </c>
      <c r="X277" s="22">
        <f t="shared" si="75"/>
        <v>121.7777777777769</v>
      </c>
      <c r="Y277" s="22">
        <f t="shared" si="75"/>
        <v>129.38888888888835</v>
      </c>
      <c r="Z277" s="23">
        <f t="shared" si="75"/>
        <v>106.55555555555583</v>
      </c>
      <c r="AA277" s="23">
        <f t="shared" si="75"/>
        <v>114.166666666667</v>
      </c>
      <c r="AB277" s="23">
        <f t="shared" si="75"/>
        <v>121.7777777777769</v>
      </c>
      <c r="AC277" s="24">
        <f t="shared" si="75"/>
        <v>98.944444444444173</v>
      </c>
      <c r="AD277" s="24">
        <f t="shared" si="75"/>
        <v>106.55555555555583</v>
      </c>
      <c r="AE277" s="24">
        <f t="shared" si="75"/>
        <v>114.166666666667</v>
      </c>
      <c r="AF277" s="25">
        <f t="shared" si="75"/>
        <v>91.333333333333741</v>
      </c>
      <c r="AG277" s="25">
        <f t="shared" si="75"/>
        <v>98.944444444444173</v>
      </c>
      <c r="AH277" s="25">
        <f t="shared" si="75"/>
        <v>106.55555555555583</v>
      </c>
      <c r="AI277" s="26">
        <f t="shared" si="75"/>
        <v>83.722222222222086</v>
      </c>
      <c r="AJ277" s="26">
        <f t="shared" si="73"/>
        <v>91.333333333333741</v>
      </c>
      <c r="AK277" s="26">
        <f t="shared" ref="AJ277:AK299" si="77">AK278-(AK$363/360)</f>
        <v>98.944444444444173</v>
      </c>
    </row>
    <row r="278" spans="4:37" ht="20.100000000000001" customHeight="1">
      <c r="D278" s="27">
        <f t="shared" si="72"/>
        <v>0.76388888888888673</v>
      </c>
      <c r="E278" s="16">
        <f t="shared" si="76"/>
        <v>203.1944444444452</v>
      </c>
      <c r="F278" s="16">
        <f t="shared" si="76"/>
        <v>210.83333333333294</v>
      </c>
      <c r="G278" s="16">
        <f t="shared" si="76"/>
        <v>218.47222222222268</v>
      </c>
      <c r="H278" s="17">
        <f t="shared" si="76"/>
        <v>187.91666666666634</v>
      </c>
      <c r="I278" s="17">
        <f t="shared" si="76"/>
        <v>195.55555555555577</v>
      </c>
      <c r="J278" s="17">
        <f t="shared" si="76"/>
        <v>203.1944444444452</v>
      </c>
      <c r="K278" s="18">
        <f t="shared" si="76"/>
        <v>172.63888888888991</v>
      </c>
      <c r="L278" s="18">
        <f t="shared" si="76"/>
        <v>180.27777777777692</v>
      </c>
      <c r="M278" s="18">
        <f t="shared" si="76"/>
        <v>187.91666666666634</v>
      </c>
      <c r="N278" s="19">
        <f t="shared" si="76"/>
        <v>137.5</v>
      </c>
      <c r="O278" s="19">
        <f t="shared" si="76"/>
        <v>145.13888888888943</v>
      </c>
      <c r="P278" s="19">
        <f t="shared" si="76"/>
        <v>152.77777777777885</v>
      </c>
      <c r="Q278" s="20">
        <f t="shared" si="76"/>
        <v>129.86111111111057</v>
      </c>
      <c r="R278" s="20">
        <f t="shared" si="76"/>
        <v>137.5</v>
      </c>
      <c r="S278" s="20">
        <f t="shared" si="76"/>
        <v>145.13888888888943</v>
      </c>
      <c r="T278" s="21">
        <f t="shared" si="76"/>
        <v>122.22222222222135</v>
      </c>
      <c r="U278" s="21">
        <f t="shared" si="75"/>
        <v>129.86111111111057</v>
      </c>
      <c r="V278" s="21">
        <f t="shared" si="75"/>
        <v>137.5</v>
      </c>
      <c r="W278" s="22">
        <f t="shared" si="75"/>
        <v>114.58333333333367</v>
      </c>
      <c r="X278" s="22">
        <f t="shared" si="75"/>
        <v>122.22222222222135</v>
      </c>
      <c r="Y278" s="22">
        <f t="shared" si="75"/>
        <v>129.86111111111057</v>
      </c>
      <c r="Z278" s="23">
        <f t="shared" si="75"/>
        <v>106.94444444444471</v>
      </c>
      <c r="AA278" s="23">
        <f t="shared" si="75"/>
        <v>114.58333333333367</v>
      </c>
      <c r="AB278" s="23">
        <f t="shared" si="75"/>
        <v>122.22222222222135</v>
      </c>
      <c r="AC278" s="24">
        <f t="shared" si="75"/>
        <v>99.305555555555287</v>
      </c>
      <c r="AD278" s="24">
        <f t="shared" si="75"/>
        <v>106.94444444444471</v>
      </c>
      <c r="AE278" s="24">
        <f t="shared" si="75"/>
        <v>114.58333333333367</v>
      </c>
      <c r="AF278" s="25">
        <f t="shared" si="75"/>
        <v>91.666666666667069</v>
      </c>
      <c r="AG278" s="25">
        <f t="shared" si="75"/>
        <v>99.305555555555287</v>
      </c>
      <c r="AH278" s="25">
        <f t="shared" si="75"/>
        <v>106.94444444444471</v>
      </c>
      <c r="AI278" s="26">
        <f t="shared" si="75"/>
        <v>84.027777777777644</v>
      </c>
      <c r="AJ278" s="26">
        <f t="shared" si="73"/>
        <v>91.666666666667069</v>
      </c>
      <c r="AK278" s="26">
        <f t="shared" si="77"/>
        <v>99.305555555555287</v>
      </c>
    </row>
    <row r="279" spans="4:37" ht="20.100000000000001" customHeight="1">
      <c r="D279" s="27">
        <f t="shared" si="72"/>
        <v>0.7666666666666645</v>
      </c>
      <c r="E279" s="16">
        <f t="shared" si="76"/>
        <v>203.93333333333408</v>
      </c>
      <c r="F279" s="16">
        <f t="shared" si="76"/>
        <v>211.59999999999962</v>
      </c>
      <c r="G279" s="16">
        <f t="shared" si="76"/>
        <v>219.26666666666713</v>
      </c>
      <c r="H279" s="17">
        <f t="shared" si="76"/>
        <v>188.59999999999968</v>
      </c>
      <c r="I279" s="17">
        <f t="shared" si="76"/>
        <v>196.26666666666688</v>
      </c>
      <c r="J279" s="17">
        <f t="shared" si="76"/>
        <v>203.93333333333408</v>
      </c>
      <c r="K279" s="18">
        <f t="shared" si="76"/>
        <v>173.26666666666767</v>
      </c>
      <c r="L279" s="18">
        <f t="shared" si="76"/>
        <v>180.93333333333248</v>
      </c>
      <c r="M279" s="18">
        <f t="shared" si="76"/>
        <v>188.59999999999968</v>
      </c>
      <c r="N279" s="19">
        <f t="shared" si="76"/>
        <v>138</v>
      </c>
      <c r="O279" s="19">
        <f t="shared" si="76"/>
        <v>145.6666666666672</v>
      </c>
      <c r="P279" s="19">
        <f t="shared" si="76"/>
        <v>153.33333333333439</v>
      </c>
      <c r="Q279" s="20">
        <f t="shared" si="76"/>
        <v>130.3333333333328</v>
      </c>
      <c r="R279" s="20">
        <f t="shared" si="76"/>
        <v>138</v>
      </c>
      <c r="S279" s="20">
        <f t="shared" si="76"/>
        <v>145.6666666666672</v>
      </c>
      <c r="T279" s="21">
        <f t="shared" si="76"/>
        <v>122.66666666666579</v>
      </c>
      <c r="U279" s="21">
        <f t="shared" si="75"/>
        <v>130.3333333333328</v>
      </c>
      <c r="V279" s="21">
        <f t="shared" si="75"/>
        <v>138</v>
      </c>
      <c r="W279" s="22">
        <f t="shared" si="75"/>
        <v>115.00000000000034</v>
      </c>
      <c r="X279" s="22">
        <f t="shared" si="75"/>
        <v>122.66666666666579</v>
      </c>
      <c r="Y279" s="22">
        <f t="shared" si="75"/>
        <v>130.3333333333328</v>
      </c>
      <c r="Z279" s="23">
        <f t="shared" si="75"/>
        <v>107.3333333333336</v>
      </c>
      <c r="AA279" s="23">
        <f t="shared" si="75"/>
        <v>115.00000000000034</v>
      </c>
      <c r="AB279" s="23">
        <f t="shared" si="75"/>
        <v>122.66666666666579</v>
      </c>
      <c r="AC279" s="24">
        <f t="shared" si="75"/>
        <v>99.666666666666401</v>
      </c>
      <c r="AD279" s="24">
        <f t="shared" si="75"/>
        <v>107.3333333333336</v>
      </c>
      <c r="AE279" s="24">
        <f t="shared" si="75"/>
        <v>115.00000000000034</v>
      </c>
      <c r="AF279" s="25">
        <f t="shared" si="75"/>
        <v>92.000000000000398</v>
      </c>
      <c r="AG279" s="25">
        <f t="shared" si="75"/>
        <v>99.666666666666401</v>
      </c>
      <c r="AH279" s="25">
        <f t="shared" si="75"/>
        <v>107.3333333333336</v>
      </c>
      <c r="AI279" s="26">
        <f t="shared" si="75"/>
        <v>84.333333333333201</v>
      </c>
      <c r="AJ279" s="26">
        <f t="shared" si="73"/>
        <v>92.000000000000398</v>
      </c>
      <c r="AK279" s="26">
        <f t="shared" si="77"/>
        <v>99.666666666666401</v>
      </c>
    </row>
    <row r="280" spans="4:37" ht="20.100000000000001" customHeight="1">
      <c r="D280" s="27">
        <f t="shared" si="72"/>
        <v>0.76944444444444227</v>
      </c>
      <c r="E280" s="16">
        <f t="shared" si="76"/>
        <v>204.67222222222296</v>
      </c>
      <c r="F280" s="16">
        <f t="shared" si="76"/>
        <v>212.3666666666663</v>
      </c>
      <c r="G280" s="16">
        <f t="shared" si="76"/>
        <v>220.06111111111159</v>
      </c>
      <c r="H280" s="17">
        <f t="shared" si="76"/>
        <v>189.28333333333302</v>
      </c>
      <c r="I280" s="17">
        <f t="shared" si="76"/>
        <v>196.97777777777799</v>
      </c>
      <c r="J280" s="17">
        <f t="shared" si="76"/>
        <v>204.67222222222296</v>
      </c>
      <c r="K280" s="18">
        <f t="shared" si="76"/>
        <v>173.89444444444544</v>
      </c>
      <c r="L280" s="18">
        <f t="shared" si="76"/>
        <v>181.58888888888805</v>
      </c>
      <c r="M280" s="18">
        <f t="shared" si="76"/>
        <v>189.28333333333302</v>
      </c>
      <c r="N280" s="19">
        <f t="shared" si="76"/>
        <v>138.5</v>
      </c>
      <c r="O280" s="19">
        <f t="shared" si="76"/>
        <v>146.19444444444497</v>
      </c>
      <c r="P280" s="19">
        <f t="shared" si="76"/>
        <v>153.88888888888994</v>
      </c>
      <c r="Q280" s="20">
        <f t="shared" si="76"/>
        <v>130.80555555555503</v>
      </c>
      <c r="R280" s="20">
        <f t="shared" si="76"/>
        <v>138.5</v>
      </c>
      <c r="S280" s="20">
        <f t="shared" si="76"/>
        <v>146.19444444444497</v>
      </c>
      <c r="T280" s="21">
        <f t="shared" si="76"/>
        <v>123.11111111111023</v>
      </c>
      <c r="U280" s="21">
        <f t="shared" si="75"/>
        <v>130.80555555555503</v>
      </c>
      <c r="V280" s="21">
        <f t="shared" si="75"/>
        <v>138.5</v>
      </c>
      <c r="W280" s="22">
        <f t="shared" si="75"/>
        <v>115.41666666666701</v>
      </c>
      <c r="X280" s="22">
        <f t="shared" si="75"/>
        <v>123.11111111111023</v>
      </c>
      <c r="Y280" s="22">
        <f t="shared" si="75"/>
        <v>130.80555555555503</v>
      </c>
      <c r="Z280" s="23">
        <f t="shared" si="75"/>
        <v>107.72222222222248</v>
      </c>
      <c r="AA280" s="23">
        <f t="shared" si="75"/>
        <v>115.41666666666701</v>
      </c>
      <c r="AB280" s="23">
        <f t="shared" si="75"/>
        <v>123.11111111111023</v>
      </c>
      <c r="AC280" s="24">
        <f t="shared" si="75"/>
        <v>100.02777777777752</v>
      </c>
      <c r="AD280" s="24">
        <f t="shared" si="75"/>
        <v>107.72222222222248</v>
      </c>
      <c r="AE280" s="24">
        <f t="shared" si="75"/>
        <v>115.41666666666701</v>
      </c>
      <c r="AF280" s="25">
        <f t="shared" si="75"/>
        <v>92.333333333333727</v>
      </c>
      <c r="AG280" s="25">
        <f t="shared" si="75"/>
        <v>100.02777777777752</v>
      </c>
      <c r="AH280" s="25">
        <f t="shared" si="75"/>
        <v>107.72222222222248</v>
      </c>
      <c r="AI280" s="26">
        <f t="shared" si="75"/>
        <v>84.638888888888758</v>
      </c>
      <c r="AJ280" s="26">
        <f t="shared" si="73"/>
        <v>92.333333333333727</v>
      </c>
      <c r="AK280" s="26">
        <f t="shared" si="77"/>
        <v>100.02777777777752</v>
      </c>
    </row>
    <row r="281" spans="4:37" ht="20.100000000000001" customHeight="1">
      <c r="D281" s="27">
        <f t="shared" si="72"/>
        <v>0.77222222222222003</v>
      </c>
      <c r="E281" s="16">
        <f t="shared" si="76"/>
        <v>205.41111111111184</v>
      </c>
      <c r="F281" s="16">
        <f t="shared" si="76"/>
        <v>213.13333333333298</v>
      </c>
      <c r="G281" s="16">
        <f t="shared" si="76"/>
        <v>220.85555555555604</v>
      </c>
      <c r="H281" s="17">
        <f t="shared" si="76"/>
        <v>189.96666666666636</v>
      </c>
      <c r="I281" s="17">
        <f t="shared" si="76"/>
        <v>197.6888888888891</v>
      </c>
      <c r="J281" s="17">
        <f t="shared" si="76"/>
        <v>205.41111111111184</v>
      </c>
      <c r="K281" s="18">
        <f t="shared" si="76"/>
        <v>174.52222222222321</v>
      </c>
      <c r="L281" s="18">
        <f t="shared" si="76"/>
        <v>182.24444444444362</v>
      </c>
      <c r="M281" s="18">
        <f t="shared" si="76"/>
        <v>189.96666666666636</v>
      </c>
      <c r="N281" s="19">
        <f t="shared" si="76"/>
        <v>139</v>
      </c>
      <c r="O281" s="19">
        <f t="shared" si="76"/>
        <v>146.72222222222274</v>
      </c>
      <c r="P281" s="19">
        <f t="shared" si="76"/>
        <v>154.44444444444548</v>
      </c>
      <c r="Q281" s="20">
        <f t="shared" si="76"/>
        <v>131.27777777777726</v>
      </c>
      <c r="R281" s="20">
        <f t="shared" si="76"/>
        <v>139</v>
      </c>
      <c r="S281" s="20">
        <f t="shared" si="76"/>
        <v>146.72222222222274</v>
      </c>
      <c r="T281" s="21">
        <f t="shared" si="76"/>
        <v>123.55555555555468</v>
      </c>
      <c r="U281" s="21">
        <f t="shared" si="75"/>
        <v>131.27777777777726</v>
      </c>
      <c r="V281" s="21">
        <f t="shared" si="75"/>
        <v>139</v>
      </c>
      <c r="W281" s="22">
        <f t="shared" si="75"/>
        <v>115.83333333333368</v>
      </c>
      <c r="X281" s="22">
        <f t="shared" si="75"/>
        <v>123.55555555555468</v>
      </c>
      <c r="Y281" s="22">
        <f t="shared" si="75"/>
        <v>131.27777777777726</v>
      </c>
      <c r="Z281" s="23">
        <f t="shared" si="75"/>
        <v>108.11111111111137</v>
      </c>
      <c r="AA281" s="23">
        <f t="shared" si="75"/>
        <v>115.83333333333368</v>
      </c>
      <c r="AB281" s="23">
        <f t="shared" si="75"/>
        <v>123.55555555555468</v>
      </c>
      <c r="AC281" s="24">
        <f t="shared" si="75"/>
        <v>100.38888888888863</v>
      </c>
      <c r="AD281" s="24">
        <f t="shared" si="75"/>
        <v>108.11111111111137</v>
      </c>
      <c r="AE281" s="24">
        <f t="shared" si="75"/>
        <v>115.83333333333368</v>
      </c>
      <c r="AF281" s="25">
        <f t="shared" si="75"/>
        <v>92.666666666667055</v>
      </c>
      <c r="AG281" s="25">
        <f t="shared" si="75"/>
        <v>100.38888888888863</v>
      </c>
      <c r="AH281" s="25">
        <f t="shared" si="75"/>
        <v>108.11111111111137</v>
      </c>
      <c r="AI281" s="26">
        <f t="shared" si="75"/>
        <v>84.944444444444315</v>
      </c>
      <c r="AJ281" s="26">
        <f t="shared" si="73"/>
        <v>92.666666666667055</v>
      </c>
      <c r="AK281" s="26">
        <f t="shared" si="77"/>
        <v>100.38888888888863</v>
      </c>
    </row>
    <row r="282" spans="4:37" ht="20.100000000000001" customHeight="1">
      <c r="D282" s="27">
        <f t="shared" si="72"/>
        <v>0.7749999999999978</v>
      </c>
      <c r="E282" s="16">
        <f t="shared" si="76"/>
        <v>206.15000000000072</v>
      </c>
      <c r="F282" s="16">
        <f t="shared" si="76"/>
        <v>213.89999999999966</v>
      </c>
      <c r="G282" s="16">
        <f t="shared" si="76"/>
        <v>221.65000000000049</v>
      </c>
      <c r="H282" s="17">
        <f t="shared" si="76"/>
        <v>190.64999999999969</v>
      </c>
      <c r="I282" s="17">
        <f t="shared" si="76"/>
        <v>198.4000000000002</v>
      </c>
      <c r="J282" s="17">
        <f t="shared" si="76"/>
        <v>206.15000000000072</v>
      </c>
      <c r="K282" s="18">
        <f t="shared" si="76"/>
        <v>175.15000000000097</v>
      </c>
      <c r="L282" s="18">
        <f t="shared" si="76"/>
        <v>182.89999999999918</v>
      </c>
      <c r="M282" s="18">
        <f t="shared" si="76"/>
        <v>190.64999999999969</v>
      </c>
      <c r="N282" s="19">
        <f t="shared" si="76"/>
        <v>139.5</v>
      </c>
      <c r="O282" s="19">
        <f t="shared" si="76"/>
        <v>147.25000000000051</v>
      </c>
      <c r="P282" s="19">
        <f t="shared" si="76"/>
        <v>155.00000000000102</v>
      </c>
      <c r="Q282" s="20">
        <f t="shared" si="76"/>
        <v>131.74999999999949</v>
      </c>
      <c r="R282" s="20">
        <f t="shared" si="76"/>
        <v>139.5</v>
      </c>
      <c r="S282" s="20">
        <f t="shared" si="76"/>
        <v>147.25000000000051</v>
      </c>
      <c r="T282" s="21">
        <f t="shared" si="76"/>
        <v>123.99999999999912</v>
      </c>
      <c r="U282" s="21">
        <f t="shared" si="75"/>
        <v>131.74999999999949</v>
      </c>
      <c r="V282" s="21">
        <f t="shared" si="75"/>
        <v>139.5</v>
      </c>
      <c r="W282" s="22">
        <f t="shared" si="75"/>
        <v>116.25000000000036</v>
      </c>
      <c r="X282" s="22">
        <f t="shared" si="75"/>
        <v>123.99999999999912</v>
      </c>
      <c r="Y282" s="22">
        <f t="shared" si="75"/>
        <v>131.74999999999949</v>
      </c>
      <c r="Z282" s="23">
        <f t="shared" si="75"/>
        <v>108.50000000000026</v>
      </c>
      <c r="AA282" s="23">
        <f t="shared" si="75"/>
        <v>116.25000000000036</v>
      </c>
      <c r="AB282" s="23">
        <f t="shared" si="75"/>
        <v>123.99999999999912</v>
      </c>
      <c r="AC282" s="24">
        <f t="shared" si="75"/>
        <v>100.74999999999974</v>
      </c>
      <c r="AD282" s="24">
        <f t="shared" si="75"/>
        <v>108.50000000000026</v>
      </c>
      <c r="AE282" s="24">
        <f t="shared" si="75"/>
        <v>116.25000000000036</v>
      </c>
      <c r="AF282" s="25">
        <f t="shared" si="75"/>
        <v>93.000000000000384</v>
      </c>
      <c r="AG282" s="25">
        <f t="shared" si="75"/>
        <v>100.74999999999974</v>
      </c>
      <c r="AH282" s="25">
        <f t="shared" si="75"/>
        <v>108.50000000000026</v>
      </c>
      <c r="AI282" s="26">
        <f t="shared" si="75"/>
        <v>85.249999999999872</v>
      </c>
      <c r="AJ282" s="26">
        <f t="shared" si="77"/>
        <v>93.000000000000384</v>
      </c>
      <c r="AK282" s="26">
        <f t="shared" si="77"/>
        <v>100.74999999999974</v>
      </c>
    </row>
    <row r="283" spans="4:37" ht="20.100000000000001" customHeight="1">
      <c r="D283" s="27">
        <f t="shared" si="72"/>
        <v>0.77777777777777557</v>
      </c>
      <c r="E283" s="16">
        <f t="shared" si="76"/>
        <v>206.8888888888896</v>
      </c>
      <c r="F283" s="16">
        <f t="shared" si="76"/>
        <v>214.66666666666634</v>
      </c>
      <c r="G283" s="16">
        <f t="shared" si="76"/>
        <v>222.44444444444494</v>
      </c>
      <c r="H283" s="17">
        <f t="shared" si="76"/>
        <v>191.33333333333303</v>
      </c>
      <c r="I283" s="17">
        <f t="shared" si="76"/>
        <v>199.11111111111131</v>
      </c>
      <c r="J283" s="17">
        <f t="shared" si="76"/>
        <v>206.8888888888896</v>
      </c>
      <c r="K283" s="18">
        <f t="shared" si="76"/>
        <v>175.77777777777874</v>
      </c>
      <c r="L283" s="18">
        <f t="shared" si="76"/>
        <v>183.55555555555475</v>
      </c>
      <c r="M283" s="18">
        <f t="shared" si="76"/>
        <v>191.33333333333303</v>
      </c>
      <c r="N283" s="19">
        <f t="shared" si="76"/>
        <v>140</v>
      </c>
      <c r="O283" s="19">
        <f t="shared" si="76"/>
        <v>147.77777777777828</v>
      </c>
      <c r="P283" s="19">
        <f t="shared" si="76"/>
        <v>155.55555555555657</v>
      </c>
      <c r="Q283" s="20">
        <f t="shared" si="76"/>
        <v>132.22222222222172</v>
      </c>
      <c r="R283" s="20">
        <f t="shared" si="76"/>
        <v>140</v>
      </c>
      <c r="S283" s="20">
        <f t="shared" si="76"/>
        <v>147.77777777777828</v>
      </c>
      <c r="T283" s="21">
        <f t="shared" si="76"/>
        <v>124.44444444444356</v>
      </c>
      <c r="U283" s="21">
        <f t="shared" si="75"/>
        <v>132.22222222222172</v>
      </c>
      <c r="V283" s="21">
        <f t="shared" si="75"/>
        <v>140</v>
      </c>
      <c r="W283" s="22">
        <f t="shared" si="75"/>
        <v>116.66666666666703</v>
      </c>
      <c r="X283" s="22">
        <f t="shared" si="75"/>
        <v>124.44444444444356</v>
      </c>
      <c r="Y283" s="22">
        <f t="shared" si="75"/>
        <v>132.22222222222172</v>
      </c>
      <c r="Z283" s="23">
        <f t="shared" si="75"/>
        <v>108.88888888888914</v>
      </c>
      <c r="AA283" s="23">
        <f t="shared" si="75"/>
        <v>116.66666666666703</v>
      </c>
      <c r="AB283" s="23">
        <f t="shared" si="75"/>
        <v>124.44444444444356</v>
      </c>
      <c r="AC283" s="24">
        <f t="shared" si="75"/>
        <v>101.11111111111086</v>
      </c>
      <c r="AD283" s="24">
        <f t="shared" si="75"/>
        <v>108.88888888888914</v>
      </c>
      <c r="AE283" s="24">
        <f t="shared" si="75"/>
        <v>116.66666666666703</v>
      </c>
      <c r="AF283" s="25">
        <f t="shared" si="75"/>
        <v>93.333333333333712</v>
      </c>
      <c r="AG283" s="25">
        <f t="shared" si="75"/>
        <v>101.11111111111086</v>
      </c>
      <c r="AH283" s="25">
        <f t="shared" si="75"/>
        <v>108.88888888888914</v>
      </c>
      <c r="AI283" s="26">
        <f t="shared" si="75"/>
        <v>85.555555555555429</v>
      </c>
      <c r="AJ283" s="26">
        <f t="shared" si="77"/>
        <v>93.333333333333712</v>
      </c>
      <c r="AK283" s="26">
        <f t="shared" si="77"/>
        <v>101.11111111111086</v>
      </c>
    </row>
    <row r="284" spans="4:37" ht="20.100000000000001" customHeight="1">
      <c r="D284" s="27">
        <f t="shared" si="72"/>
        <v>0.78055555555555334</v>
      </c>
      <c r="E284" s="16">
        <f t="shared" si="76"/>
        <v>207.62777777777848</v>
      </c>
      <c r="F284" s="16">
        <f t="shared" si="76"/>
        <v>215.43333333333302</v>
      </c>
      <c r="G284" s="16">
        <f t="shared" si="76"/>
        <v>223.23888888888939</v>
      </c>
      <c r="H284" s="17">
        <f t="shared" si="76"/>
        <v>192.01666666666637</v>
      </c>
      <c r="I284" s="17">
        <f t="shared" si="76"/>
        <v>199.82222222222242</v>
      </c>
      <c r="J284" s="17">
        <f t="shared" si="76"/>
        <v>207.62777777777848</v>
      </c>
      <c r="K284" s="18">
        <f t="shared" si="76"/>
        <v>176.4055555555565</v>
      </c>
      <c r="L284" s="18">
        <f t="shared" si="76"/>
        <v>184.21111111111031</v>
      </c>
      <c r="M284" s="18">
        <f t="shared" si="76"/>
        <v>192.01666666666637</v>
      </c>
      <c r="N284" s="19">
        <f t="shared" si="76"/>
        <v>140.5</v>
      </c>
      <c r="O284" s="19">
        <f t="shared" si="76"/>
        <v>148.30555555555605</v>
      </c>
      <c r="P284" s="19">
        <f t="shared" si="76"/>
        <v>156.11111111111211</v>
      </c>
      <c r="Q284" s="20">
        <f t="shared" si="76"/>
        <v>132.69444444444395</v>
      </c>
      <c r="R284" s="20">
        <f t="shared" si="76"/>
        <v>140.5</v>
      </c>
      <c r="S284" s="20">
        <f t="shared" si="76"/>
        <v>148.30555555555605</v>
      </c>
      <c r="T284" s="21">
        <f t="shared" si="76"/>
        <v>124.888888888888</v>
      </c>
      <c r="U284" s="21">
        <f t="shared" si="75"/>
        <v>132.69444444444395</v>
      </c>
      <c r="V284" s="21">
        <f t="shared" si="75"/>
        <v>140.5</v>
      </c>
      <c r="W284" s="22">
        <f t="shared" si="75"/>
        <v>117.0833333333337</v>
      </c>
      <c r="X284" s="22">
        <f t="shared" si="75"/>
        <v>124.888888888888</v>
      </c>
      <c r="Y284" s="22">
        <f t="shared" si="75"/>
        <v>132.69444444444395</v>
      </c>
      <c r="Z284" s="23">
        <f t="shared" si="75"/>
        <v>109.27777777777803</v>
      </c>
      <c r="AA284" s="23">
        <f t="shared" si="75"/>
        <v>117.0833333333337</v>
      </c>
      <c r="AB284" s="23">
        <f t="shared" si="75"/>
        <v>124.888888888888</v>
      </c>
      <c r="AC284" s="24">
        <f t="shared" si="75"/>
        <v>101.47222222222197</v>
      </c>
      <c r="AD284" s="24">
        <f t="shared" si="75"/>
        <v>109.27777777777803</v>
      </c>
      <c r="AE284" s="24">
        <f t="shared" si="75"/>
        <v>117.0833333333337</v>
      </c>
      <c r="AF284" s="25">
        <f t="shared" si="75"/>
        <v>93.666666666667041</v>
      </c>
      <c r="AG284" s="25">
        <f t="shared" si="75"/>
        <v>101.47222222222197</v>
      </c>
      <c r="AH284" s="25">
        <f t="shared" si="75"/>
        <v>109.27777777777803</v>
      </c>
      <c r="AI284" s="26">
        <f t="shared" si="75"/>
        <v>85.861111111110986</v>
      </c>
      <c r="AJ284" s="26">
        <f t="shared" si="77"/>
        <v>93.666666666667041</v>
      </c>
      <c r="AK284" s="26">
        <f t="shared" si="77"/>
        <v>101.47222222222197</v>
      </c>
    </row>
    <row r="285" spans="4:37" ht="20.100000000000001" customHeight="1">
      <c r="D285" s="27">
        <f t="shared" si="72"/>
        <v>0.78333333333333111</v>
      </c>
      <c r="E285" s="16">
        <f t="shared" si="76"/>
        <v>208.36666666666736</v>
      </c>
      <c r="F285" s="16">
        <f t="shared" si="76"/>
        <v>216.1999999999997</v>
      </c>
      <c r="G285" s="16">
        <f t="shared" si="76"/>
        <v>224.03333333333384</v>
      </c>
      <c r="H285" s="17">
        <f t="shared" si="76"/>
        <v>192.6999999999997</v>
      </c>
      <c r="I285" s="17">
        <f t="shared" si="76"/>
        <v>200.53333333333353</v>
      </c>
      <c r="J285" s="17">
        <f t="shared" si="76"/>
        <v>208.36666666666736</v>
      </c>
      <c r="K285" s="18">
        <f t="shared" si="76"/>
        <v>177.03333333333427</v>
      </c>
      <c r="L285" s="18">
        <f t="shared" si="76"/>
        <v>184.86666666666588</v>
      </c>
      <c r="M285" s="18">
        <f t="shared" si="76"/>
        <v>192.6999999999997</v>
      </c>
      <c r="N285" s="19">
        <f t="shared" si="76"/>
        <v>141</v>
      </c>
      <c r="O285" s="19">
        <f t="shared" si="76"/>
        <v>148.83333333333383</v>
      </c>
      <c r="P285" s="19">
        <f t="shared" si="76"/>
        <v>156.66666666666765</v>
      </c>
      <c r="Q285" s="20">
        <f t="shared" si="76"/>
        <v>133.16666666666617</v>
      </c>
      <c r="R285" s="20">
        <f t="shared" si="76"/>
        <v>141</v>
      </c>
      <c r="S285" s="20">
        <f t="shared" si="76"/>
        <v>148.83333333333383</v>
      </c>
      <c r="T285" s="21">
        <f t="shared" si="76"/>
        <v>125.33333333333245</v>
      </c>
      <c r="U285" s="21">
        <f t="shared" si="75"/>
        <v>133.16666666666617</v>
      </c>
      <c r="V285" s="21">
        <f t="shared" si="75"/>
        <v>141</v>
      </c>
      <c r="W285" s="22">
        <f t="shared" si="75"/>
        <v>117.50000000000037</v>
      </c>
      <c r="X285" s="22">
        <f t="shared" si="75"/>
        <v>125.33333333333245</v>
      </c>
      <c r="Y285" s="22">
        <f t="shared" si="75"/>
        <v>133.16666666666617</v>
      </c>
      <c r="Z285" s="23">
        <f t="shared" si="75"/>
        <v>109.66666666666691</v>
      </c>
      <c r="AA285" s="23">
        <f t="shared" si="75"/>
        <v>117.50000000000037</v>
      </c>
      <c r="AB285" s="23">
        <f t="shared" si="75"/>
        <v>125.33333333333245</v>
      </c>
      <c r="AC285" s="24">
        <f t="shared" si="75"/>
        <v>101.83333333333309</v>
      </c>
      <c r="AD285" s="24">
        <f t="shared" si="75"/>
        <v>109.66666666666691</v>
      </c>
      <c r="AE285" s="24">
        <f t="shared" si="75"/>
        <v>117.50000000000037</v>
      </c>
      <c r="AF285" s="25">
        <f t="shared" si="75"/>
        <v>94.000000000000369</v>
      </c>
      <c r="AG285" s="25">
        <f t="shared" si="75"/>
        <v>101.83333333333309</v>
      </c>
      <c r="AH285" s="25">
        <f t="shared" si="75"/>
        <v>109.66666666666691</v>
      </c>
      <c r="AI285" s="26">
        <f t="shared" si="75"/>
        <v>86.166666666666544</v>
      </c>
      <c r="AJ285" s="26">
        <f t="shared" si="77"/>
        <v>94.000000000000369</v>
      </c>
      <c r="AK285" s="26">
        <f t="shared" si="77"/>
        <v>101.83333333333309</v>
      </c>
    </row>
    <row r="286" spans="4:37" ht="20.100000000000001" customHeight="1">
      <c r="D286" s="27">
        <f t="shared" si="72"/>
        <v>0.78611111111110887</v>
      </c>
      <c r="E286" s="16">
        <f t="shared" si="76"/>
        <v>209.10555555555624</v>
      </c>
      <c r="F286" s="16">
        <f t="shared" si="76"/>
        <v>216.96666666666638</v>
      </c>
      <c r="G286" s="16">
        <f t="shared" si="76"/>
        <v>224.82777777777829</v>
      </c>
      <c r="H286" s="17">
        <f t="shared" si="76"/>
        <v>193.38333333333304</v>
      </c>
      <c r="I286" s="17">
        <f t="shared" si="76"/>
        <v>201.24444444444464</v>
      </c>
      <c r="J286" s="17">
        <f t="shared" si="76"/>
        <v>209.10555555555624</v>
      </c>
      <c r="K286" s="18">
        <f t="shared" si="76"/>
        <v>177.66111111111204</v>
      </c>
      <c r="L286" s="18">
        <f t="shared" si="76"/>
        <v>185.52222222222144</v>
      </c>
      <c r="M286" s="18">
        <f t="shared" si="76"/>
        <v>193.38333333333304</v>
      </c>
      <c r="N286" s="19">
        <f t="shared" si="76"/>
        <v>141.5</v>
      </c>
      <c r="O286" s="19">
        <f t="shared" si="76"/>
        <v>149.3611111111116</v>
      </c>
      <c r="P286" s="19">
        <f t="shared" si="76"/>
        <v>157.22222222222319</v>
      </c>
      <c r="Q286" s="20">
        <f t="shared" si="76"/>
        <v>133.6388888888884</v>
      </c>
      <c r="R286" s="20">
        <f t="shared" si="76"/>
        <v>141.5</v>
      </c>
      <c r="S286" s="20">
        <f t="shared" si="76"/>
        <v>149.3611111111116</v>
      </c>
      <c r="T286" s="21">
        <f t="shared" si="76"/>
        <v>125.77777777777689</v>
      </c>
      <c r="U286" s="21">
        <f t="shared" si="75"/>
        <v>133.6388888888884</v>
      </c>
      <c r="V286" s="21">
        <f t="shared" si="75"/>
        <v>141.5</v>
      </c>
      <c r="W286" s="22">
        <f t="shared" si="75"/>
        <v>117.91666666666704</v>
      </c>
      <c r="X286" s="22">
        <f t="shared" si="75"/>
        <v>125.77777777777689</v>
      </c>
      <c r="Y286" s="22">
        <f t="shared" si="75"/>
        <v>133.6388888888884</v>
      </c>
      <c r="Z286" s="23">
        <f t="shared" si="75"/>
        <v>110.0555555555558</v>
      </c>
      <c r="AA286" s="23">
        <f t="shared" si="75"/>
        <v>117.91666666666704</v>
      </c>
      <c r="AB286" s="23">
        <f t="shared" si="75"/>
        <v>125.77777777777689</v>
      </c>
      <c r="AC286" s="24">
        <f t="shared" si="75"/>
        <v>102.1944444444442</v>
      </c>
      <c r="AD286" s="24">
        <f t="shared" si="75"/>
        <v>110.0555555555558</v>
      </c>
      <c r="AE286" s="24">
        <f t="shared" si="75"/>
        <v>117.91666666666704</v>
      </c>
      <c r="AF286" s="25">
        <f t="shared" si="75"/>
        <v>94.333333333333698</v>
      </c>
      <c r="AG286" s="25">
        <f t="shared" si="75"/>
        <v>102.1944444444442</v>
      </c>
      <c r="AH286" s="25">
        <f t="shared" si="75"/>
        <v>110.0555555555558</v>
      </c>
      <c r="AI286" s="26">
        <f t="shared" si="75"/>
        <v>86.472222222222101</v>
      </c>
      <c r="AJ286" s="26">
        <f t="shared" si="77"/>
        <v>94.333333333333698</v>
      </c>
      <c r="AK286" s="26">
        <f t="shared" si="77"/>
        <v>102.1944444444442</v>
      </c>
    </row>
    <row r="287" spans="4:37" ht="20.100000000000001" customHeight="1">
      <c r="D287" s="27">
        <f t="shared" si="72"/>
        <v>0.78888888888888664</v>
      </c>
      <c r="E287" s="16">
        <f t="shared" si="76"/>
        <v>209.84444444444512</v>
      </c>
      <c r="F287" s="16">
        <f t="shared" si="76"/>
        <v>217.73333333333306</v>
      </c>
      <c r="G287" s="16">
        <f t="shared" si="76"/>
        <v>225.62222222222275</v>
      </c>
      <c r="H287" s="17">
        <f t="shared" si="76"/>
        <v>194.06666666666638</v>
      </c>
      <c r="I287" s="17">
        <f t="shared" si="76"/>
        <v>201.95555555555575</v>
      </c>
      <c r="J287" s="17">
        <f t="shared" si="76"/>
        <v>209.84444444444512</v>
      </c>
      <c r="K287" s="18">
        <f t="shared" si="76"/>
        <v>178.2888888888898</v>
      </c>
      <c r="L287" s="18">
        <f t="shared" si="76"/>
        <v>186.17777777777701</v>
      </c>
      <c r="M287" s="18">
        <f t="shared" si="76"/>
        <v>194.06666666666638</v>
      </c>
      <c r="N287" s="19">
        <f t="shared" si="76"/>
        <v>142</v>
      </c>
      <c r="O287" s="19">
        <f t="shared" si="76"/>
        <v>149.88888888888937</v>
      </c>
      <c r="P287" s="19">
        <f t="shared" si="76"/>
        <v>157.77777777777874</v>
      </c>
      <c r="Q287" s="20">
        <f t="shared" si="76"/>
        <v>134.11111111111063</v>
      </c>
      <c r="R287" s="20">
        <f t="shared" si="76"/>
        <v>142</v>
      </c>
      <c r="S287" s="20">
        <f t="shared" si="76"/>
        <v>149.88888888888937</v>
      </c>
      <c r="T287" s="21">
        <f t="shared" si="76"/>
        <v>126.22222222222133</v>
      </c>
      <c r="U287" s="21">
        <f t="shared" si="75"/>
        <v>134.11111111111063</v>
      </c>
      <c r="V287" s="21">
        <f t="shared" si="75"/>
        <v>142</v>
      </c>
      <c r="W287" s="22">
        <f t="shared" si="75"/>
        <v>118.33333333333371</v>
      </c>
      <c r="X287" s="22">
        <f t="shared" si="75"/>
        <v>126.22222222222133</v>
      </c>
      <c r="Y287" s="22">
        <f t="shared" si="75"/>
        <v>134.11111111111063</v>
      </c>
      <c r="Z287" s="23">
        <f t="shared" si="75"/>
        <v>110.44444444444468</v>
      </c>
      <c r="AA287" s="23">
        <f t="shared" si="75"/>
        <v>118.33333333333371</v>
      </c>
      <c r="AB287" s="23">
        <f t="shared" si="75"/>
        <v>126.22222222222133</v>
      </c>
      <c r="AC287" s="24">
        <f t="shared" si="75"/>
        <v>102.55555555555532</v>
      </c>
      <c r="AD287" s="24">
        <f t="shared" si="75"/>
        <v>110.44444444444468</v>
      </c>
      <c r="AE287" s="24">
        <f t="shared" si="75"/>
        <v>118.33333333333371</v>
      </c>
      <c r="AF287" s="25">
        <f t="shared" si="75"/>
        <v>94.666666666667027</v>
      </c>
      <c r="AG287" s="25">
        <f t="shared" si="75"/>
        <v>102.55555555555532</v>
      </c>
      <c r="AH287" s="25">
        <f t="shared" si="75"/>
        <v>110.44444444444468</v>
      </c>
      <c r="AI287" s="26">
        <f t="shared" si="75"/>
        <v>86.777777777777658</v>
      </c>
      <c r="AJ287" s="26">
        <f t="shared" si="77"/>
        <v>94.666666666667027</v>
      </c>
      <c r="AK287" s="26">
        <f t="shared" si="77"/>
        <v>102.55555555555532</v>
      </c>
    </row>
    <row r="288" spans="4:37" ht="20.100000000000001" customHeight="1">
      <c r="D288" s="27">
        <f t="shared" si="72"/>
        <v>0.79166666666666441</v>
      </c>
      <c r="E288" s="16">
        <f t="shared" si="76"/>
        <v>210.583333333334</v>
      </c>
      <c r="F288" s="16">
        <f t="shared" si="76"/>
        <v>218.49999999999974</v>
      </c>
      <c r="G288" s="16">
        <f t="shared" si="76"/>
        <v>226.4166666666672</v>
      </c>
      <c r="H288" s="17">
        <f t="shared" si="76"/>
        <v>194.74999999999972</v>
      </c>
      <c r="I288" s="17">
        <f t="shared" si="76"/>
        <v>202.66666666666686</v>
      </c>
      <c r="J288" s="17">
        <f t="shared" si="76"/>
        <v>210.583333333334</v>
      </c>
      <c r="K288" s="18">
        <f t="shared" si="76"/>
        <v>178.91666666666757</v>
      </c>
      <c r="L288" s="18">
        <f t="shared" si="76"/>
        <v>186.83333333333258</v>
      </c>
      <c r="M288" s="18">
        <f t="shared" si="76"/>
        <v>194.74999999999972</v>
      </c>
      <c r="N288" s="19">
        <f t="shared" si="76"/>
        <v>142.5</v>
      </c>
      <c r="O288" s="19">
        <f t="shared" si="76"/>
        <v>150.41666666666714</v>
      </c>
      <c r="P288" s="19">
        <f t="shared" si="76"/>
        <v>158.33333333333428</v>
      </c>
      <c r="Q288" s="20">
        <f t="shared" si="76"/>
        <v>134.58333333333286</v>
      </c>
      <c r="R288" s="20">
        <f t="shared" si="76"/>
        <v>142.5</v>
      </c>
      <c r="S288" s="20">
        <f t="shared" si="76"/>
        <v>150.41666666666714</v>
      </c>
      <c r="T288" s="21">
        <f t="shared" si="76"/>
        <v>126.66666666666578</v>
      </c>
      <c r="U288" s="21">
        <f t="shared" si="75"/>
        <v>134.58333333333286</v>
      </c>
      <c r="V288" s="21">
        <f t="shared" si="75"/>
        <v>142.5</v>
      </c>
      <c r="W288" s="22">
        <f t="shared" si="75"/>
        <v>118.75000000000038</v>
      </c>
      <c r="X288" s="22">
        <f t="shared" si="75"/>
        <v>126.66666666666578</v>
      </c>
      <c r="Y288" s="22">
        <f t="shared" si="75"/>
        <v>134.58333333333286</v>
      </c>
      <c r="Z288" s="23">
        <f t="shared" si="75"/>
        <v>110.83333333333357</v>
      </c>
      <c r="AA288" s="23">
        <f t="shared" si="75"/>
        <v>118.75000000000038</v>
      </c>
      <c r="AB288" s="23">
        <f t="shared" si="75"/>
        <v>126.66666666666578</v>
      </c>
      <c r="AC288" s="24">
        <f t="shared" si="75"/>
        <v>102.91666666666643</v>
      </c>
      <c r="AD288" s="24">
        <f t="shared" si="75"/>
        <v>110.83333333333357</v>
      </c>
      <c r="AE288" s="24">
        <f t="shared" si="75"/>
        <v>118.75000000000038</v>
      </c>
      <c r="AF288" s="25">
        <f t="shared" si="75"/>
        <v>95.000000000000355</v>
      </c>
      <c r="AG288" s="25">
        <f t="shared" si="75"/>
        <v>102.91666666666643</v>
      </c>
      <c r="AH288" s="25">
        <f t="shared" si="75"/>
        <v>110.83333333333357</v>
      </c>
      <c r="AI288" s="26">
        <f t="shared" si="75"/>
        <v>87.083333333333215</v>
      </c>
      <c r="AJ288" s="26">
        <f t="shared" si="77"/>
        <v>95.000000000000355</v>
      </c>
      <c r="AK288" s="26">
        <f t="shared" si="77"/>
        <v>102.91666666666643</v>
      </c>
    </row>
    <row r="289" spans="4:37" ht="20.100000000000001" customHeight="1">
      <c r="D289" s="27">
        <f t="shared" si="72"/>
        <v>0.79444444444444218</v>
      </c>
      <c r="E289" s="16">
        <f t="shared" si="76"/>
        <v>211.32222222222288</v>
      </c>
      <c r="F289" s="16">
        <f t="shared" si="76"/>
        <v>219.26666666666642</v>
      </c>
      <c r="G289" s="16">
        <f t="shared" si="76"/>
        <v>227.21111111111165</v>
      </c>
      <c r="H289" s="17">
        <f t="shared" si="76"/>
        <v>195.43333333333305</v>
      </c>
      <c r="I289" s="17">
        <f t="shared" si="76"/>
        <v>203.37777777777796</v>
      </c>
      <c r="J289" s="17">
        <f t="shared" si="76"/>
        <v>211.32222222222288</v>
      </c>
      <c r="K289" s="18">
        <f t="shared" si="76"/>
        <v>179.54444444444533</v>
      </c>
      <c r="L289" s="18">
        <f t="shared" si="76"/>
        <v>187.48888888888814</v>
      </c>
      <c r="M289" s="18">
        <f t="shared" si="76"/>
        <v>195.43333333333305</v>
      </c>
      <c r="N289" s="19">
        <f t="shared" si="76"/>
        <v>143</v>
      </c>
      <c r="O289" s="19">
        <f t="shared" si="76"/>
        <v>150.94444444444491</v>
      </c>
      <c r="P289" s="19">
        <f t="shared" si="76"/>
        <v>158.88888888888982</v>
      </c>
      <c r="Q289" s="20">
        <f t="shared" si="76"/>
        <v>135.05555555555509</v>
      </c>
      <c r="R289" s="20">
        <f t="shared" si="76"/>
        <v>143</v>
      </c>
      <c r="S289" s="20">
        <f t="shared" si="76"/>
        <v>150.94444444444491</v>
      </c>
      <c r="T289" s="21">
        <f t="shared" si="76"/>
        <v>127.11111111111022</v>
      </c>
      <c r="U289" s="21">
        <f t="shared" si="75"/>
        <v>135.05555555555509</v>
      </c>
      <c r="V289" s="21">
        <f t="shared" si="75"/>
        <v>143</v>
      </c>
      <c r="W289" s="22">
        <f t="shared" si="75"/>
        <v>119.16666666666706</v>
      </c>
      <c r="X289" s="22">
        <f t="shared" si="75"/>
        <v>127.11111111111022</v>
      </c>
      <c r="Y289" s="22">
        <f t="shared" si="75"/>
        <v>135.05555555555509</v>
      </c>
      <c r="Z289" s="23">
        <f t="shared" si="75"/>
        <v>111.22222222222246</v>
      </c>
      <c r="AA289" s="23">
        <f t="shared" si="75"/>
        <v>119.16666666666706</v>
      </c>
      <c r="AB289" s="23">
        <f t="shared" si="75"/>
        <v>127.11111111111022</v>
      </c>
      <c r="AC289" s="24">
        <f t="shared" si="75"/>
        <v>103.27777777777754</v>
      </c>
      <c r="AD289" s="24">
        <f t="shared" si="75"/>
        <v>111.22222222222246</v>
      </c>
      <c r="AE289" s="24">
        <f t="shared" si="75"/>
        <v>119.16666666666706</v>
      </c>
      <c r="AF289" s="25">
        <f t="shared" si="75"/>
        <v>95.333333333333684</v>
      </c>
      <c r="AG289" s="25">
        <f t="shared" si="75"/>
        <v>103.27777777777754</v>
      </c>
      <c r="AH289" s="25">
        <f t="shared" si="75"/>
        <v>111.22222222222246</v>
      </c>
      <c r="AI289" s="26">
        <f t="shared" si="75"/>
        <v>87.388888888888772</v>
      </c>
      <c r="AJ289" s="26">
        <f t="shared" si="77"/>
        <v>95.333333333333684</v>
      </c>
      <c r="AK289" s="26">
        <f t="shared" si="77"/>
        <v>103.27777777777754</v>
      </c>
    </row>
    <row r="290" spans="4:37" ht="20.100000000000001" customHeight="1">
      <c r="D290" s="27">
        <f t="shared" si="72"/>
        <v>0.79722222222221995</v>
      </c>
      <c r="E290" s="16">
        <f t="shared" si="76"/>
        <v>212.06111111111176</v>
      </c>
      <c r="F290" s="16">
        <f t="shared" si="76"/>
        <v>220.0333333333331</v>
      </c>
      <c r="G290" s="16">
        <f t="shared" si="76"/>
        <v>228.0055555555561</v>
      </c>
      <c r="H290" s="17">
        <f t="shared" si="76"/>
        <v>196.11666666666639</v>
      </c>
      <c r="I290" s="17">
        <f t="shared" si="76"/>
        <v>204.08888888888907</v>
      </c>
      <c r="J290" s="17">
        <f t="shared" si="76"/>
        <v>212.06111111111176</v>
      </c>
      <c r="K290" s="18">
        <f t="shared" si="76"/>
        <v>180.1722222222231</v>
      </c>
      <c r="L290" s="18">
        <f t="shared" si="76"/>
        <v>188.14444444444371</v>
      </c>
      <c r="M290" s="18">
        <f t="shared" si="76"/>
        <v>196.11666666666639</v>
      </c>
      <c r="N290" s="19">
        <f t="shared" si="76"/>
        <v>143.5</v>
      </c>
      <c r="O290" s="19">
        <f t="shared" si="76"/>
        <v>151.47222222222268</v>
      </c>
      <c r="P290" s="19">
        <f t="shared" si="76"/>
        <v>159.44444444444537</v>
      </c>
      <c r="Q290" s="20">
        <f t="shared" si="76"/>
        <v>135.52777777777732</v>
      </c>
      <c r="R290" s="20">
        <f t="shared" si="76"/>
        <v>143.5</v>
      </c>
      <c r="S290" s="20">
        <f t="shared" si="76"/>
        <v>151.47222222222268</v>
      </c>
      <c r="T290" s="21">
        <f t="shared" si="76"/>
        <v>127.55555555555466</v>
      </c>
      <c r="U290" s="21">
        <f t="shared" si="75"/>
        <v>135.52777777777732</v>
      </c>
      <c r="V290" s="21">
        <f t="shared" si="75"/>
        <v>143.5</v>
      </c>
      <c r="W290" s="22">
        <f t="shared" si="75"/>
        <v>119.58333333333373</v>
      </c>
      <c r="X290" s="22">
        <f t="shared" si="75"/>
        <v>127.55555555555466</v>
      </c>
      <c r="Y290" s="22">
        <f t="shared" si="75"/>
        <v>135.52777777777732</v>
      </c>
      <c r="Z290" s="23">
        <f t="shared" si="75"/>
        <v>111.61111111111134</v>
      </c>
      <c r="AA290" s="23">
        <f t="shared" si="75"/>
        <v>119.58333333333373</v>
      </c>
      <c r="AB290" s="23">
        <f t="shared" si="75"/>
        <v>127.55555555555466</v>
      </c>
      <c r="AC290" s="24">
        <f t="shared" si="75"/>
        <v>103.63888888888866</v>
      </c>
      <c r="AD290" s="24">
        <f t="shared" si="75"/>
        <v>111.61111111111134</v>
      </c>
      <c r="AE290" s="24">
        <f t="shared" si="75"/>
        <v>119.58333333333373</v>
      </c>
      <c r="AF290" s="25">
        <f t="shared" si="75"/>
        <v>95.666666666667012</v>
      </c>
      <c r="AG290" s="25">
        <f t="shared" si="75"/>
        <v>103.63888888888866</v>
      </c>
      <c r="AH290" s="25">
        <f t="shared" si="75"/>
        <v>111.61111111111134</v>
      </c>
      <c r="AI290" s="26">
        <f t="shared" si="75"/>
        <v>87.694444444444329</v>
      </c>
      <c r="AJ290" s="26">
        <f t="shared" si="77"/>
        <v>95.666666666667012</v>
      </c>
      <c r="AK290" s="26">
        <f t="shared" si="77"/>
        <v>103.63888888888866</v>
      </c>
    </row>
    <row r="291" spans="4:37" ht="20.100000000000001" customHeight="1">
      <c r="D291" s="27">
        <f t="shared" si="72"/>
        <v>0.79999999999999771</v>
      </c>
      <c r="E291" s="16">
        <f t="shared" si="76"/>
        <v>212.80000000000064</v>
      </c>
      <c r="F291" s="16">
        <f t="shared" si="76"/>
        <v>220.79999999999978</v>
      </c>
      <c r="G291" s="16">
        <f t="shared" si="76"/>
        <v>228.80000000000055</v>
      </c>
      <c r="H291" s="17">
        <f t="shared" si="76"/>
        <v>196.79999999999973</v>
      </c>
      <c r="I291" s="17">
        <f t="shared" si="76"/>
        <v>204.80000000000018</v>
      </c>
      <c r="J291" s="17">
        <f t="shared" si="76"/>
        <v>212.80000000000064</v>
      </c>
      <c r="K291" s="18">
        <f t="shared" si="76"/>
        <v>180.80000000000086</v>
      </c>
      <c r="L291" s="18">
        <f t="shared" si="76"/>
        <v>188.79999999999927</v>
      </c>
      <c r="M291" s="18">
        <f t="shared" si="76"/>
        <v>196.79999999999973</v>
      </c>
      <c r="N291" s="19">
        <f t="shared" si="76"/>
        <v>144</v>
      </c>
      <c r="O291" s="19">
        <f t="shared" si="76"/>
        <v>152.00000000000045</v>
      </c>
      <c r="P291" s="19">
        <f t="shared" si="76"/>
        <v>160.00000000000091</v>
      </c>
      <c r="Q291" s="20">
        <f t="shared" si="76"/>
        <v>135.99999999999955</v>
      </c>
      <c r="R291" s="20">
        <f t="shared" si="76"/>
        <v>144</v>
      </c>
      <c r="S291" s="20">
        <f t="shared" si="76"/>
        <v>152.00000000000045</v>
      </c>
      <c r="T291" s="21">
        <f t="shared" ref="T291:AI306" si="78">T292-(T$363/360)</f>
        <v>127.9999999999991</v>
      </c>
      <c r="U291" s="21">
        <f t="shared" si="78"/>
        <v>135.99999999999955</v>
      </c>
      <c r="V291" s="21">
        <f t="shared" si="78"/>
        <v>144</v>
      </c>
      <c r="W291" s="22">
        <f t="shared" si="78"/>
        <v>120.0000000000004</v>
      </c>
      <c r="X291" s="22">
        <f t="shared" si="78"/>
        <v>127.9999999999991</v>
      </c>
      <c r="Y291" s="22">
        <f t="shared" si="78"/>
        <v>135.99999999999955</v>
      </c>
      <c r="Z291" s="23">
        <f t="shared" si="78"/>
        <v>112.00000000000023</v>
      </c>
      <c r="AA291" s="23">
        <f t="shared" si="78"/>
        <v>120.0000000000004</v>
      </c>
      <c r="AB291" s="23">
        <f t="shared" si="78"/>
        <v>127.9999999999991</v>
      </c>
      <c r="AC291" s="24">
        <f t="shared" si="78"/>
        <v>103.99999999999977</v>
      </c>
      <c r="AD291" s="24">
        <f t="shared" si="78"/>
        <v>112.00000000000023</v>
      </c>
      <c r="AE291" s="24">
        <f t="shared" si="78"/>
        <v>120.0000000000004</v>
      </c>
      <c r="AF291" s="25">
        <f t="shared" si="78"/>
        <v>96.000000000000341</v>
      </c>
      <c r="AG291" s="25">
        <f t="shared" si="78"/>
        <v>103.99999999999977</v>
      </c>
      <c r="AH291" s="25">
        <f t="shared" si="78"/>
        <v>112.00000000000023</v>
      </c>
      <c r="AI291" s="26">
        <f t="shared" si="78"/>
        <v>87.999999999999886</v>
      </c>
      <c r="AJ291" s="26">
        <f t="shared" si="77"/>
        <v>96.000000000000341</v>
      </c>
      <c r="AK291" s="26">
        <f t="shared" si="77"/>
        <v>103.99999999999977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213.53888888888952</v>
      </c>
      <c r="F292" s="16">
        <f t="shared" si="79"/>
        <v>221.56666666666646</v>
      </c>
      <c r="G292" s="16">
        <f t="shared" si="79"/>
        <v>229.594444444445</v>
      </c>
      <c r="H292" s="17">
        <f t="shared" si="79"/>
        <v>197.48333333333306</v>
      </c>
      <c r="I292" s="17">
        <f t="shared" si="79"/>
        <v>205.51111111111129</v>
      </c>
      <c r="J292" s="17">
        <f t="shared" si="79"/>
        <v>213.53888888888952</v>
      </c>
      <c r="K292" s="18">
        <f t="shared" si="79"/>
        <v>181.42777777777863</v>
      </c>
      <c r="L292" s="18">
        <f t="shared" si="79"/>
        <v>189.45555555555484</v>
      </c>
      <c r="M292" s="18">
        <f t="shared" si="79"/>
        <v>197.48333333333306</v>
      </c>
      <c r="N292" s="19">
        <f t="shared" si="79"/>
        <v>144.5</v>
      </c>
      <c r="O292" s="19">
        <f t="shared" si="79"/>
        <v>152.52777777777823</v>
      </c>
      <c r="P292" s="19">
        <f t="shared" si="79"/>
        <v>160.55555555555645</v>
      </c>
      <c r="Q292" s="20">
        <f t="shared" si="79"/>
        <v>136.47222222222177</v>
      </c>
      <c r="R292" s="20">
        <f t="shared" si="79"/>
        <v>144.5</v>
      </c>
      <c r="S292" s="20">
        <f t="shared" si="79"/>
        <v>152.52777777777823</v>
      </c>
      <c r="T292" s="21">
        <f t="shared" si="79"/>
        <v>128.44444444444355</v>
      </c>
      <c r="U292" s="21">
        <f t="shared" si="78"/>
        <v>136.47222222222177</v>
      </c>
      <c r="V292" s="21">
        <f t="shared" si="78"/>
        <v>144.5</v>
      </c>
      <c r="W292" s="22">
        <f t="shared" si="78"/>
        <v>120.41666666666707</v>
      </c>
      <c r="X292" s="22">
        <f t="shared" si="78"/>
        <v>128.44444444444355</v>
      </c>
      <c r="Y292" s="22">
        <f t="shared" si="78"/>
        <v>136.47222222222177</v>
      </c>
      <c r="Z292" s="23">
        <f t="shared" si="78"/>
        <v>112.38888888888911</v>
      </c>
      <c r="AA292" s="23">
        <f t="shared" si="78"/>
        <v>120.41666666666707</v>
      </c>
      <c r="AB292" s="23">
        <f t="shared" si="78"/>
        <v>128.44444444444355</v>
      </c>
      <c r="AC292" s="24">
        <f t="shared" si="78"/>
        <v>104.36111111111089</v>
      </c>
      <c r="AD292" s="24">
        <f t="shared" si="78"/>
        <v>112.38888888888911</v>
      </c>
      <c r="AE292" s="24">
        <f t="shared" si="78"/>
        <v>120.41666666666707</v>
      </c>
      <c r="AF292" s="25">
        <f t="shared" si="78"/>
        <v>96.33333333333367</v>
      </c>
      <c r="AG292" s="25">
        <f t="shared" si="78"/>
        <v>104.36111111111089</v>
      </c>
      <c r="AH292" s="25">
        <f t="shared" si="78"/>
        <v>112.38888888888911</v>
      </c>
      <c r="AI292" s="26">
        <f t="shared" si="78"/>
        <v>88.305555555555443</v>
      </c>
      <c r="AJ292" s="26">
        <f t="shared" si="77"/>
        <v>96.33333333333367</v>
      </c>
      <c r="AK292" s="26">
        <f t="shared" si="77"/>
        <v>104.36111111111089</v>
      </c>
    </row>
    <row r="293" spans="4:37" ht="20.100000000000001" customHeight="1">
      <c r="D293" s="27">
        <f t="shared" si="72"/>
        <v>0.80555555555555325</v>
      </c>
      <c r="E293" s="16">
        <f t="shared" si="79"/>
        <v>214.2777777777784</v>
      </c>
      <c r="F293" s="16">
        <f t="shared" si="79"/>
        <v>222.33333333333314</v>
      </c>
      <c r="G293" s="16">
        <f t="shared" si="79"/>
        <v>230.38888888888945</v>
      </c>
      <c r="H293" s="17">
        <f t="shared" si="79"/>
        <v>198.1666666666664</v>
      </c>
      <c r="I293" s="17">
        <f t="shared" si="79"/>
        <v>206.2222222222224</v>
      </c>
      <c r="J293" s="17">
        <f t="shared" si="79"/>
        <v>214.2777777777784</v>
      </c>
      <c r="K293" s="18">
        <f t="shared" si="79"/>
        <v>182.0555555555564</v>
      </c>
      <c r="L293" s="18">
        <f t="shared" si="79"/>
        <v>190.1111111111104</v>
      </c>
      <c r="M293" s="18">
        <f t="shared" si="79"/>
        <v>198.1666666666664</v>
      </c>
      <c r="N293" s="19">
        <f t="shared" si="79"/>
        <v>145</v>
      </c>
      <c r="O293" s="19">
        <f t="shared" si="79"/>
        <v>153.055555555556</v>
      </c>
      <c r="P293" s="19">
        <f t="shared" si="79"/>
        <v>161.111111111112</v>
      </c>
      <c r="Q293" s="20">
        <f t="shared" si="79"/>
        <v>136.944444444444</v>
      </c>
      <c r="R293" s="20">
        <f t="shared" si="79"/>
        <v>145</v>
      </c>
      <c r="S293" s="20">
        <f t="shared" si="79"/>
        <v>153.055555555556</v>
      </c>
      <c r="T293" s="21">
        <f t="shared" si="79"/>
        <v>128.888888888888</v>
      </c>
      <c r="U293" s="21">
        <f t="shared" si="78"/>
        <v>136.944444444444</v>
      </c>
      <c r="V293" s="21">
        <f t="shared" si="78"/>
        <v>145</v>
      </c>
      <c r="W293" s="22">
        <f t="shared" si="78"/>
        <v>120.83333333333374</v>
      </c>
      <c r="X293" s="22">
        <f t="shared" si="78"/>
        <v>128.888888888888</v>
      </c>
      <c r="Y293" s="22">
        <f t="shared" si="78"/>
        <v>136.944444444444</v>
      </c>
      <c r="Z293" s="23">
        <f t="shared" si="78"/>
        <v>112.777777777778</v>
      </c>
      <c r="AA293" s="23">
        <f t="shared" si="78"/>
        <v>120.83333333333374</v>
      </c>
      <c r="AB293" s="23">
        <f t="shared" si="78"/>
        <v>128.888888888888</v>
      </c>
      <c r="AC293" s="24">
        <f t="shared" si="78"/>
        <v>104.722222222222</v>
      </c>
      <c r="AD293" s="24">
        <f t="shared" si="78"/>
        <v>112.777777777778</v>
      </c>
      <c r="AE293" s="24">
        <f t="shared" si="78"/>
        <v>120.83333333333374</v>
      </c>
      <c r="AF293" s="25">
        <f t="shared" si="78"/>
        <v>96.666666666666998</v>
      </c>
      <c r="AG293" s="25">
        <f t="shared" si="78"/>
        <v>104.722222222222</v>
      </c>
      <c r="AH293" s="25">
        <f t="shared" si="78"/>
        <v>112.777777777778</v>
      </c>
      <c r="AI293" s="26">
        <f t="shared" si="78"/>
        <v>88.611111111111001</v>
      </c>
      <c r="AJ293" s="26">
        <f t="shared" si="77"/>
        <v>96.666666666666998</v>
      </c>
      <c r="AK293" s="26">
        <f t="shared" si="77"/>
        <v>104.722222222222</v>
      </c>
    </row>
    <row r="294" spans="4:37" ht="20.100000000000001" customHeight="1">
      <c r="D294" s="27">
        <f t="shared" si="72"/>
        <v>0.80833333333333102</v>
      </c>
      <c r="E294" s="16">
        <f t="shared" si="79"/>
        <v>215.01666666666728</v>
      </c>
      <c r="F294" s="16">
        <f t="shared" si="79"/>
        <v>223.09999999999982</v>
      </c>
      <c r="G294" s="16">
        <f t="shared" si="79"/>
        <v>231.18333333333391</v>
      </c>
      <c r="H294" s="17">
        <f t="shared" si="79"/>
        <v>198.84999999999974</v>
      </c>
      <c r="I294" s="17">
        <f t="shared" si="79"/>
        <v>206.93333333333351</v>
      </c>
      <c r="J294" s="17">
        <f t="shared" si="79"/>
        <v>215.01666666666728</v>
      </c>
      <c r="K294" s="18">
        <f t="shared" si="79"/>
        <v>182.68333333333416</v>
      </c>
      <c r="L294" s="18">
        <f t="shared" si="79"/>
        <v>190.76666666666597</v>
      </c>
      <c r="M294" s="18">
        <f t="shared" si="79"/>
        <v>198.84999999999974</v>
      </c>
      <c r="N294" s="19">
        <f t="shared" si="79"/>
        <v>145.5</v>
      </c>
      <c r="O294" s="19">
        <f t="shared" si="79"/>
        <v>153.58333333333377</v>
      </c>
      <c r="P294" s="19">
        <f t="shared" si="79"/>
        <v>161.66666666666754</v>
      </c>
      <c r="Q294" s="20">
        <f t="shared" si="79"/>
        <v>137.41666666666623</v>
      </c>
      <c r="R294" s="20">
        <f t="shared" si="79"/>
        <v>145.5</v>
      </c>
      <c r="S294" s="20">
        <f t="shared" si="79"/>
        <v>153.58333333333377</v>
      </c>
      <c r="T294" s="21">
        <f t="shared" si="79"/>
        <v>129.33333333333246</v>
      </c>
      <c r="U294" s="21">
        <f t="shared" si="78"/>
        <v>137.41666666666623</v>
      </c>
      <c r="V294" s="21">
        <f t="shared" si="78"/>
        <v>145.5</v>
      </c>
      <c r="W294" s="22">
        <f t="shared" si="78"/>
        <v>121.25000000000041</v>
      </c>
      <c r="X294" s="22">
        <f t="shared" si="78"/>
        <v>129.33333333333246</v>
      </c>
      <c r="Y294" s="22">
        <f t="shared" si="78"/>
        <v>137.41666666666623</v>
      </c>
      <c r="Z294" s="23">
        <f t="shared" si="78"/>
        <v>113.16666666666688</v>
      </c>
      <c r="AA294" s="23">
        <f t="shared" si="78"/>
        <v>121.25000000000041</v>
      </c>
      <c r="AB294" s="23">
        <f t="shared" si="78"/>
        <v>129.33333333333246</v>
      </c>
      <c r="AC294" s="24">
        <f t="shared" si="78"/>
        <v>105.08333333333312</v>
      </c>
      <c r="AD294" s="24">
        <f t="shared" si="78"/>
        <v>113.16666666666688</v>
      </c>
      <c r="AE294" s="24">
        <f t="shared" si="78"/>
        <v>121.25000000000041</v>
      </c>
      <c r="AF294" s="25">
        <f t="shared" si="78"/>
        <v>97.000000000000327</v>
      </c>
      <c r="AG294" s="25">
        <f t="shared" si="78"/>
        <v>105.08333333333312</v>
      </c>
      <c r="AH294" s="25">
        <f t="shared" si="78"/>
        <v>113.16666666666688</v>
      </c>
      <c r="AI294" s="26">
        <f t="shared" si="78"/>
        <v>88.916666666666558</v>
      </c>
      <c r="AJ294" s="26">
        <f t="shared" si="77"/>
        <v>97.000000000000327</v>
      </c>
      <c r="AK294" s="26">
        <f t="shared" si="77"/>
        <v>105.08333333333312</v>
      </c>
    </row>
    <row r="295" spans="4:37" ht="20.100000000000001" customHeight="1">
      <c r="D295" s="27">
        <f t="shared" si="72"/>
        <v>0.81111111111110878</v>
      </c>
      <c r="E295" s="16">
        <f t="shared" si="79"/>
        <v>215.75555555555616</v>
      </c>
      <c r="F295" s="16">
        <f t="shared" si="79"/>
        <v>223.8666666666665</v>
      </c>
      <c r="G295" s="16">
        <f t="shared" si="79"/>
        <v>231.97777777777836</v>
      </c>
      <c r="H295" s="17">
        <f t="shared" si="79"/>
        <v>199.53333333333308</v>
      </c>
      <c r="I295" s="17">
        <f t="shared" si="79"/>
        <v>207.64444444444462</v>
      </c>
      <c r="J295" s="17">
        <f t="shared" si="79"/>
        <v>215.75555555555616</v>
      </c>
      <c r="K295" s="18">
        <f t="shared" si="79"/>
        <v>183.31111111111193</v>
      </c>
      <c r="L295" s="18">
        <f t="shared" si="79"/>
        <v>191.42222222222154</v>
      </c>
      <c r="M295" s="18">
        <f t="shared" si="79"/>
        <v>199.53333333333308</v>
      </c>
      <c r="N295" s="19">
        <f t="shared" si="79"/>
        <v>146</v>
      </c>
      <c r="O295" s="19">
        <f t="shared" si="79"/>
        <v>154.11111111111154</v>
      </c>
      <c r="P295" s="19">
        <f t="shared" si="79"/>
        <v>162.22222222222308</v>
      </c>
      <c r="Q295" s="20">
        <f t="shared" si="79"/>
        <v>137.88888888888846</v>
      </c>
      <c r="R295" s="20">
        <f t="shared" si="79"/>
        <v>146</v>
      </c>
      <c r="S295" s="20">
        <f t="shared" si="79"/>
        <v>154.11111111111154</v>
      </c>
      <c r="T295" s="21">
        <f t="shared" si="79"/>
        <v>129.77777777777692</v>
      </c>
      <c r="U295" s="21">
        <f t="shared" si="78"/>
        <v>137.88888888888846</v>
      </c>
      <c r="V295" s="21">
        <f t="shared" si="78"/>
        <v>146</v>
      </c>
      <c r="W295" s="22">
        <f t="shared" si="78"/>
        <v>121.66666666666708</v>
      </c>
      <c r="X295" s="22">
        <f t="shared" si="78"/>
        <v>129.77777777777692</v>
      </c>
      <c r="Y295" s="22">
        <f t="shared" si="78"/>
        <v>137.88888888888846</v>
      </c>
      <c r="Z295" s="23">
        <f t="shared" si="78"/>
        <v>113.55555555555577</v>
      </c>
      <c r="AA295" s="23">
        <f t="shared" si="78"/>
        <v>121.66666666666708</v>
      </c>
      <c r="AB295" s="23">
        <f t="shared" si="78"/>
        <v>129.77777777777692</v>
      </c>
      <c r="AC295" s="24">
        <f t="shared" si="78"/>
        <v>105.44444444444423</v>
      </c>
      <c r="AD295" s="24">
        <f t="shared" si="78"/>
        <v>113.55555555555577</v>
      </c>
      <c r="AE295" s="24">
        <f t="shared" si="78"/>
        <v>121.66666666666708</v>
      </c>
      <c r="AF295" s="25">
        <f t="shared" si="78"/>
        <v>97.333333333333655</v>
      </c>
      <c r="AG295" s="25">
        <f t="shared" si="78"/>
        <v>105.44444444444423</v>
      </c>
      <c r="AH295" s="25">
        <f t="shared" si="78"/>
        <v>113.55555555555577</v>
      </c>
      <c r="AI295" s="26">
        <f t="shared" si="78"/>
        <v>89.222222222222115</v>
      </c>
      <c r="AJ295" s="26">
        <f t="shared" si="77"/>
        <v>97.333333333333655</v>
      </c>
      <c r="AK295" s="26">
        <f t="shared" si="77"/>
        <v>105.44444444444423</v>
      </c>
    </row>
    <row r="296" spans="4:37" ht="20.100000000000001" customHeight="1">
      <c r="D296" s="27">
        <f t="shared" si="72"/>
        <v>0.81388888888888655</v>
      </c>
      <c r="E296" s="16">
        <f t="shared" si="79"/>
        <v>216.49444444444504</v>
      </c>
      <c r="F296" s="16">
        <f t="shared" si="79"/>
        <v>224.63333333333318</v>
      </c>
      <c r="G296" s="16">
        <f t="shared" si="79"/>
        <v>232.77222222222281</v>
      </c>
      <c r="H296" s="17">
        <f t="shared" si="79"/>
        <v>200.21666666666641</v>
      </c>
      <c r="I296" s="17">
        <f t="shared" si="79"/>
        <v>208.35555555555572</v>
      </c>
      <c r="J296" s="17">
        <f t="shared" si="79"/>
        <v>216.49444444444504</v>
      </c>
      <c r="K296" s="18">
        <f t="shared" si="79"/>
        <v>183.93888888888969</v>
      </c>
      <c r="L296" s="18">
        <f t="shared" si="79"/>
        <v>192.0777777777771</v>
      </c>
      <c r="M296" s="18">
        <f t="shared" si="79"/>
        <v>200.21666666666641</v>
      </c>
      <c r="N296" s="19">
        <f t="shared" si="79"/>
        <v>146.5</v>
      </c>
      <c r="O296" s="19">
        <f t="shared" si="79"/>
        <v>154.63888888888931</v>
      </c>
      <c r="P296" s="19">
        <f t="shared" si="79"/>
        <v>162.77777777777862</v>
      </c>
      <c r="Q296" s="20">
        <f t="shared" si="79"/>
        <v>138.36111111111069</v>
      </c>
      <c r="R296" s="20">
        <f t="shared" si="79"/>
        <v>146.5</v>
      </c>
      <c r="S296" s="20">
        <f t="shared" si="79"/>
        <v>154.63888888888931</v>
      </c>
      <c r="T296" s="21">
        <f t="shared" si="79"/>
        <v>130.22222222222138</v>
      </c>
      <c r="U296" s="21">
        <f t="shared" si="78"/>
        <v>138.36111111111069</v>
      </c>
      <c r="V296" s="21">
        <f t="shared" si="78"/>
        <v>146.5</v>
      </c>
      <c r="W296" s="22">
        <f t="shared" si="78"/>
        <v>122.08333333333375</v>
      </c>
      <c r="X296" s="22">
        <f t="shared" si="78"/>
        <v>130.22222222222138</v>
      </c>
      <c r="Y296" s="22">
        <f t="shared" si="78"/>
        <v>138.36111111111069</v>
      </c>
      <c r="Z296" s="23">
        <f t="shared" si="78"/>
        <v>113.94444444444466</v>
      </c>
      <c r="AA296" s="23">
        <f t="shared" si="78"/>
        <v>122.08333333333375</v>
      </c>
      <c r="AB296" s="23">
        <f t="shared" si="78"/>
        <v>130.22222222222138</v>
      </c>
      <c r="AC296" s="24">
        <f t="shared" si="78"/>
        <v>105.80555555555534</v>
      </c>
      <c r="AD296" s="24">
        <f t="shared" si="78"/>
        <v>113.94444444444466</v>
      </c>
      <c r="AE296" s="24">
        <f t="shared" si="78"/>
        <v>122.08333333333375</v>
      </c>
      <c r="AF296" s="25">
        <f t="shared" si="78"/>
        <v>97.666666666666984</v>
      </c>
      <c r="AG296" s="25">
        <f t="shared" si="78"/>
        <v>105.80555555555534</v>
      </c>
      <c r="AH296" s="25">
        <f t="shared" si="78"/>
        <v>113.94444444444466</v>
      </c>
      <c r="AI296" s="26">
        <f t="shared" si="78"/>
        <v>89.527777777777672</v>
      </c>
      <c r="AJ296" s="26">
        <f t="shared" si="77"/>
        <v>97.666666666666984</v>
      </c>
      <c r="AK296" s="26">
        <f t="shared" si="77"/>
        <v>105.80555555555534</v>
      </c>
    </row>
    <row r="297" spans="4:37" ht="20.100000000000001" customHeight="1">
      <c r="D297" s="27">
        <f t="shared" si="72"/>
        <v>0.81666666666666432</v>
      </c>
      <c r="E297" s="16">
        <f t="shared" si="79"/>
        <v>217.23333333333392</v>
      </c>
      <c r="F297" s="16">
        <f t="shared" si="79"/>
        <v>225.39999999999986</v>
      </c>
      <c r="G297" s="16">
        <f t="shared" si="79"/>
        <v>233.56666666666726</v>
      </c>
      <c r="H297" s="17">
        <f t="shared" si="79"/>
        <v>200.89999999999975</v>
      </c>
      <c r="I297" s="17">
        <f t="shared" si="79"/>
        <v>209.06666666666683</v>
      </c>
      <c r="J297" s="17">
        <f t="shared" si="79"/>
        <v>217.23333333333392</v>
      </c>
      <c r="K297" s="18">
        <f t="shared" si="79"/>
        <v>184.56666666666746</v>
      </c>
      <c r="L297" s="18">
        <f t="shared" si="79"/>
        <v>192.73333333333267</v>
      </c>
      <c r="M297" s="18">
        <f t="shared" si="79"/>
        <v>200.89999999999975</v>
      </c>
      <c r="N297" s="19">
        <f t="shared" si="79"/>
        <v>147</v>
      </c>
      <c r="O297" s="19">
        <f t="shared" si="79"/>
        <v>155.16666666666708</v>
      </c>
      <c r="P297" s="19">
        <f t="shared" si="79"/>
        <v>163.33333333333417</v>
      </c>
      <c r="Q297" s="20">
        <f t="shared" si="79"/>
        <v>138.83333333333292</v>
      </c>
      <c r="R297" s="20">
        <f t="shared" si="79"/>
        <v>147</v>
      </c>
      <c r="S297" s="20">
        <f t="shared" si="79"/>
        <v>155.16666666666708</v>
      </c>
      <c r="T297" s="21">
        <f t="shared" si="79"/>
        <v>130.66666666666583</v>
      </c>
      <c r="U297" s="21">
        <f t="shared" si="78"/>
        <v>138.83333333333292</v>
      </c>
      <c r="V297" s="21">
        <f t="shared" si="78"/>
        <v>147</v>
      </c>
      <c r="W297" s="22">
        <f t="shared" si="78"/>
        <v>122.50000000000043</v>
      </c>
      <c r="X297" s="22">
        <f t="shared" si="78"/>
        <v>130.66666666666583</v>
      </c>
      <c r="Y297" s="22">
        <f t="shared" si="78"/>
        <v>138.83333333333292</v>
      </c>
      <c r="Z297" s="23">
        <f t="shared" si="78"/>
        <v>114.33333333333354</v>
      </c>
      <c r="AA297" s="23">
        <f t="shared" si="78"/>
        <v>122.50000000000043</v>
      </c>
      <c r="AB297" s="23">
        <f t="shared" si="78"/>
        <v>130.66666666666583</v>
      </c>
      <c r="AC297" s="24">
        <f t="shared" si="78"/>
        <v>106.16666666666646</v>
      </c>
      <c r="AD297" s="24">
        <f t="shared" si="78"/>
        <v>114.33333333333354</v>
      </c>
      <c r="AE297" s="24">
        <f t="shared" si="78"/>
        <v>122.50000000000043</v>
      </c>
      <c r="AF297" s="25">
        <f t="shared" si="78"/>
        <v>98.000000000000313</v>
      </c>
      <c r="AG297" s="25">
        <f t="shared" si="78"/>
        <v>106.16666666666646</v>
      </c>
      <c r="AH297" s="25">
        <f t="shared" si="78"/>
        <v>114.33333333333354</v>
      </c>
      <c r="AI297" s="26">
        <f t="shared" si="78"/>
        <v>89.833333333333229</v>
      </c>
      <c r="AJ297" s="26">
        <f t="shared" si="77"/>
        <v>98.000000000000313</v>
      </c>
      <c r="AK297" s="26">
        <f t="shared" si="77"/>
        <v>106.16666666666646</v>
      </c>
    </row>
    <row r="298" spans="4:37" ht="20.100000000000001" customHeight="1">
      <c r="D298" s="27">
        <f t="shared" si="72"/>
        <v>0.81944444444444209</v>
      </c>
      <c r="E298" s="16">
        <f t="shared" si="79"/>
        <v>217.9722222222228</v>
      </c>
      <c r="F298" s="16">
        <f t="shared" si="79"/>
        <v>226.16666666666654</v>
      </c>
      <c r="G298" s="16">
        <f t="shared" si="79"/>
        <v>234.36111111111171</v>
      </c>
      <c r="H298" s="17">
        <f t="shared" si="79"/>
        <v>201.58333333333309</v>
      </c>
      <c r="I298" s="17">
        <f t="shared" si="79"/>
        <v>209.77777777777794</v>
      </c>
      <c r="J298" s="17">
        <f t="shared" si="79"/>
        <v>217.9722222222228</v>
      </c>
      <c r="K298" s="18">
        <f t="shared" si="79"/>
        <v>185.19444444444522</v>
      </c>
      <c r="L298" s="18">
        <f t="shared" si="79"/>
        <v>193.38888888888823</v>
      </c>
      <c r="M298" s="18">
        <f t="shared" si="79"/>
        <v>201.58333333333309</v>
      </c>
      <c r="N298" s="19">
        <f t="shared" si="79"/>
        <v>147.5</v>
      </c>
      <c r="O298" s="19">
        <f t="shared" si="79"/>
        <v>155.69444444444485</v>
      </c>
      <c r="P298" s="19">
        <f t="shared" si="79"/>
        <v>163.88888888888971</v>
      </c>
      <c r="Q298" s="20">
        <f t="shared" si="79"/>
        <v>139.30555555555515</v>
      </c>
      <c r="R298" s="20">
        <f t="shared" si="79"/>
        <v>147.5</v>
      </c>
      <c r="S298" s="20">
        <f t="shared" si="79"/>
        <v>155.69444444444485</v>
      </c>
      <c r="T298" s="21">
        <f t="shared" si="79"/>
        <v>131.11111111111029</v>
      </c>
      <c r="U298" s="21">
        <f t="shared" si="78"/>
        <v>139.30555555555515</v>
      </c>
      <c r="V298" s="21">
        <f t="shared" si="78"/>
        <v>147.5</v>
      </c>
      <c r="W298" s="22">
        <f t="shared" si="78"/>
        <v>122.9166666666671</v>
      </c>
      <c r="X298" s="22">
        <f t="shared" si="78"/>
        <v>131.11111111111029</v>
      </c>
      <c r="Y298" s="22">
        <f t="shared" si="78"/>
        <v>139.30555555555515</v>
      </c>
      <c r="Z298" s="23">
        <f t="shared" si="78"/>
        <v>114.72222222222243</v>
      </c>
      <c r="AA298" s="23">
        <f t="shared" si="78"/>
        <v>122.9166666666671</v>
      </c>
      <c r="AB298" s="23">
        <f t="shared" si="78"/>
        <v>131.11111111111029</v>
      </c>
      <c r="AC298" s="24">
        <f t="shared" si="78"/>
        <v>106.52777777777757</v>
      </c>
      <c r="AD298" s="24">
        <f t="shared" si="78"/>
        <v>114.72222222222243</v>
      </c>
      <c r="AE298" s="24">
        <f t="shared" si="78"/>
        <v>122.9166666666671</v>
      </c>
      <c r="AF298" s="25">
        <f t="shared" si="78"/>
        <v>98.333333333333641</v>
      </c>
      <c r="AG298" s="25">
        <f t="shared" si="78"/>
        <v>106.52777777777757</v>
      </c>
      <c r="AH298" s="25">
        <f t="shared" si="78"/>
        <v>114.72222222222243</v>
      </c>
      <c r="AI298" s="26">
        <f t="shared" si="78"/>
        <v>90.138888888888786</v>
      </c>
      <c r="AJ298" s="26">
        <f t="shared" si="77"/>
        <v>98.333333333333641</v>
      </c>
      <c r="AK298" s="26">
        <f t="shared" si="77"/>
        <v>106.52777777777757</v>
      </c>
    </row>
    <row r="299" spans="4:37" ht="20.100000000000001" customHeight="1">
      <c r="D299" s="27">
        <f t="shared" si="72"/>
        <v>0.82222222222221986</v>
      </c>
      <c r="E299" s="16">
        <f t="shared" si="79"/>
        <v>218.71111111111168</v>
      </c>
      <c r="F299" s="16">
        <f t="shared" si="79"/>
        <v>226.93333333333322</v>
      </c>
      <c r="G299" s="16">
        <f t="shared" si="79"/>
        <v>235.15555555555616</v>
      </c>
      <c r="H299" s="17">
        <f t="shared" si="79"/>
        <v>202.26666666666642</v>
      </c>
      <c r="I299" s="17">
        <f t="shared" si="79"/>
        <v>210.48888888888905</v>
      </c>
      <c r="J299" s="17">
        <f t="shared" si="79"/>
        <v>218.71111111111168</v>
      </c>
      <c r="K299" s="18">
        <f t="shared" si="79"/>
        <v>185.82222222222299</v>
      </c>
      <c r="L299" s="18">
        <f t="shared" si="79"/>
        <v>194.0444444444438</v>
      </c>
      <c r="M299" s="18">
        <f t="shared" si="79"/>
        <v>202.26666666666642</v>
      </c>
      <c r="N299" s="19">
        <f t="shared" si="79"/>
        <v>148</v>
      </c>
      <c r="O299" s="19">
        <f t="shared" si="79"/>
        <v>156.22222222222263</v>
      </c>
      <c r="P299" s="19">
        <f t="shared" si="79"/>
        <v>164.44444444444525</v>
      </c>
      <c r="Q299" s="20">
        <f t="shared" si="79"/>
        <v>139.77777777777737</v>
      </c>
      <c r="R299" s="20">
        <f t="shared" si="79"/>
        <v>148</v>
      </c>
      <c r="S299" s="20">
        <f t="shared" si="79"/>
        <v>156.22222222222263</v>
      </c>
      <c r="T299" s="21">
        <f t="shared" si="79"/>
        <v>131.55555555555475</v>
      </c>
      <c r="U299" s="21">
        <f t="shared" si="78"/>
        <v>139.77777777777737</v>
      </c>
      <c r="V299" s="21">
        <f t="shared" si="78"/>
        <v>148</v>
      </c>
      <c r="W299" s="22">
        <f t="shared" si="78"/>
        <v>123.33333333333377</v>
      </c>
      <c r="X299" s="22">
        <f t="shared" si="78"/>
        <v>131.55555555555475</v>
      </c>
      <c r="Y299" s="22">
        <f t="shared" si="78"/>
        <v>139.77777777777737</v>
      </c>
      <c r="Z299" s="23">
        <f t="shared" si="78"/>
        <v>115.11111111111131</v>
      </c>
      <c r="AA299" s="23">
        <f t="shared" si="78"/>
        <v>123.33333333333377</v>
      </c>
      <c r="AB299" s="23">
        <f t="shared" si="78"/>
        <v>131.55555555555475</v>
      </c>
      <c r="AC299" s="24">
        <f t="shared" si="78"/>
        <v>106.88888888888869</v>
      </c>
      <c r="AD299" s="24">
        <f t="shared" si="78"/>
        <v>115.11111111111131</v>
      </c>
      <c r="AE299" s="24">
        <f t="shared" si="78"/>
        <v>123.33333333333377</v>
      </c>
      <c r="AF299" s="25">
        <f t="shared" si="78"/>
        <v>98.66666666666697</v>
      </c>
      <c r="AG299" s="25">
        <f t="shared" si="78"/>
        <v>106.88888888888869</v>
      </c>
      <c r="AH299" s="25">
        <f t="shared" si="78"/>
        <v>115.11111111111131</v>
      </c>
      <c r="AI299" s="26">
        <f t="shared" si="78"/>
        <v>90.444444444444343</v>
      </c>
      <c r="AJ299" s="26">
        <f t="shared" si="77"/>
        <v>98.66666666666697</v>
      </c>
      <c r="AK299" s="26">
        <f t="shared" si="77"/>
        <v>106.88888888888869</v>
      </c>
    </row>
    <row r="300" spans="4:37" ht="20.100000000000001" customHeight="1">
      <c r="D300" s="27">
        <f t="shared" si="72"/>
        <v>0.82499999999999762</v>
      </c>
      <c r="E300" s="16">
        <f t="shared" si="79"/>
        <v>219.45000000000056</v>
      </c>
      <c r="F300" s="16">
        <f t="shared" si="79"/>
        <v>227.6999999999999</v>
      </c>
      <c r="G300" s="16">
        <f t="shared" si="79"/>
        <v>235.95000000000061</v>
      </c>
      <c r="H300" s="17">
        <f t="shared" si="79"/>
        <v>202.94999999999976</v>
      </c>
      <c r="I300" s="17">
        <f t="shared" si="79"/>
        <v>211.20000000000016</v>
      </c>
      <c r="J300" s="17">
        <f t="shared" si="79"/>
        <v>219.45000000000056</v>
      </c>
      <c r="K300" s="18">
        <f t="shared" si="79"/>
        <v>186.45000000000076</v>
      </c>
      <c r="L300" s="18">
        <f t="shared" si="79"/>
        <v>194.69999999999936</v>
      </c>
      <c r="M300" s="18">
        <f t="shared" si="79"/>
        <v>202.94999999999976</v>
      </c>
      <c r="N300" s="19">
        <f t="shared" si="79"/>
        <v>148.5</v>
      </c>
      <c r="O300" s="19">
        <f t="shared" si="79"/>
        <v>156.7500000000004</v>
      </c>
      <c r="P300" s="19">
        <f t="shared" si="79"/>
        <v>165.0000000000008</v>
      </c>
      <c r="Q300" s="20">
        <f t="shared" si="79"/>
        <v>140.2499999999996</v>
      </c>
      <c r="R300" s="20">
        <f t="shared" si="79"/>
        <v>148.5</v>
      </c>
      <c r="S300" s="20">
        <f t="shared" si="79"/>
        <v>156.7500000000004</v>
      </c>
      <c r="T300" s="21">
        <f t="shared" si="79"/>
        <v>131.9999999999992</v>
      </c>
      <c r="U300" s="21">
        <f t="shared" si="78"/>
        <v>140.2499999999996</v>
      </c>
      <c r="V300" s="21">
        <f t="shared" si="78"/>
        <v>148.5</v>
      </c>
      <c r="W300" s="22">
        <f t="shared" si="78"/>
        <v>123.75000000000044</v>
      </c>
      <c r="X300" s="22">
        <f t="shared" si="78"/>
        <v>131.9999999999992</v>
      </c>
      <c r="Y300" s="22">
        <f t="shared" si="78"/>
        <v>140.2499999999996</v>
      </c>
      <c r="Z300" s="23">
        <f t="shared" si="78"/>
        <v>115.5000000000002</v>
      </c>
      <c r="AA300" s="23">
        <f t="shared" si="78"/>
        <v>123.75000000000044</v>
      </c>
      <c r="AB300" s="23">
        <f t="shared" si="78"/>
        <v>131.9999999999992</v>
      </c>
      <c r="AC300" s="24">
        <f t="shared" si="78"/>
        <v>107.2499999999998</v>
      </c>
      <c r="AD300" s="24">
        <f t="shared" si="78"/>
        <v>115.5000000000002</v>
      </c>
      <c r="AE300" s="24">
        <f t="shared" si="78"/>
        <v>123.75000000000044</v>
      </c>
      <c r="AF300" s="25">
        <f t="shared" si="78"/>
        <v>99.000000000000298</v>
      </c>
      <c r="AG300" s="25">
        <f t="shared" si="78"/>
        <v>107.2499999999998</v>
      </c>
      <c r="AH300" s="25">
        <f t="shared" si="78"/>
        <v>115.5000000000002</v>
      </c>
      <c r="AI300" s="26">
        <f t="shared" si="78"/>
        <v>90.749999999999901</v>
      </c>
      <c r="AJ300" s="26">
        <f t="shared" ref="AJ300:AK306" si="80">AJ301-(AJ$363/360)</f>
        <v>99.000000000000298</v>
      </c>
      <c r="AK300" s="26">
        <f t="shared" si="80"/>
        <v>107.2499999999998</v>
      </c>
    </row>
    <row r="301" spans="4:37" ht="20.100000000000001" customHeight="1">
      <c r="D301" s="27">
        <f t="shared" si="72"/>
        <v>0.82777777777777539</v>
      </c>
      <c r="E301" s="16">
        <f t="shared" si="79"/>
        <v>220.18888888888944</v>
      </c>
      <c r="F301" s="16">
        <f t="shared" si="79"/>
        <v>228.46666666666658</v>
      </c>
      <c r="G301" s="16">
        <f t="shared" si="79"/>
        <v>236.74444444444507</v>
      </c>
      <c r="H301" s="17">
        <f t="shared" si="79"/>
        <v>203.6333333333331</v>
      </c>
      <c r="I301" s="17">
        <f t="shared" si="79"/>
        <v>211.91111111111127</v>
      </c>
      <c r="J301" s="17">
        <f t="shared" si="79"/>
        <v>220.18888888888944</v>
      </c>
      <c r="K301" s="18">
        <f t="shared" si="79"/>
        <v>187.07777777777852</v>
      </c>
      <c r="L301" s="18">
        <f t="shared" si="79"/>
        <v>195.35555555555493</v>
      </c>
      <c r="M301" s="18">
        <f t="shared" si="79"/>
        <v>203.6333333333331</v>
      </c>
      <c r="N301" s="19">
        <f t="shared" si="79"/>
        <v>149</v>
      </c>
      <c r="O301" s="19">
        <f t="shared" si="79"/>
        <v>157.27777777777817</v>
      </c>
      <c r="P301" s="19">
        <f t="shared" si="79"/>
        <v>165.55555555555634</v>
      </c>
      <c r="Q301" s="20">
        <f t="shared" si="79"/>
        <v>140.72222222222183</v>
      </c>
      <c r="R301" s="20">
        <f t="shared" si="79"/>
        <v>149</v>
      </c>
      <c r="S301" s="20">
        <f t="shared" si="79"/>
        <v>157.27777777777817</v>
      </c>
      <c r="T301" s="21">
        <f t="shared" si="79"/>
        <v>132.44444444444366</v>
      </c>
      <c r="U301" s="21">
        <f t="shared" si="78"/>
        <v>140.72222222222183</v>
      </c>
      <c r="V301" s="21">
        <f t="shared" si="78"/>
        <v>149</v>
      </c>
      <c r="W301" s="22">
        <f t="shared" si="78"/>
        <v>124.16666666666711</v>
      </c>
      <c r="X301" s="22">
        <f t="shared" si="78"/>
        <v>132.44444444444366</v>
      </c>
      <c r="Y301" s="22">
        <f t="shared" si="78"/>
        <v>140.72222222222183</v>
      </c>
      <c r="Z301" s="23">
        <f t="shared" si="78"/>
        <v>115.88888888888908</v>
      </c>
      <c r="AA301" s="23">
        <f t="shared" si="78"/>
        <v>124.16666666666711</v>
      </c>
      <c r="AB301" s="23">
        <f t="shared" si="78"/>
        <v>132.44444444444366</v>
      </c>
      <c r="AC301" s="24">
        <f t="shared" si="78"/>
        <v>107.61111111111092</v>
      </c>
      <c r="AD301" s="24">
        <f t="shared" si="78"/>
        <v>115.88888888888908</v>
      </c>
      <c r="AE301" s="24">
        <f t="shared" si="78"/>
        <v>124.16666666666711</v>
      </c>
      <c r="AF301" s="25">
        <f t="shared" si="78"/>
        <v>99.333333333333627</v>
      </c>
      <c r="AG301" s="25">
        <f t="shared" si="78"/>
        <v>107.61111111111092</v>
      </c>
      <c r="AH301" s="25">
        <f t="shared" si="78"/>
        <v>115.88888888888908</v>
      </c>
      <c r="AI301" s="26">
        <f t="shared" si="78"/>
        <v>91.055555555555458</v>
      </c>
      <c r="AJ301" s="26">
        <f t="shared" si="80"/>
        <v>99.333333333333627</v>
      </c>
      <c r="AK301" s="26">
        <f t="shared" si="80"/>
        <v>107.61111111111092</v>
      </c>
    </row>
    <row r="302" spans="4:37" ht="20.100000000000001" customHeight="1">
      <c r="D302" s="27">
        <f t="shared" si="72"/>
        <v>0.83055555555555316</v>
      </c>
      <c r="E302" s="16">
        <f t="shared" si="79"/>
        <v>220.92777777777832</v>
      </c>
      <c r="F302" s="16">
        <f t="shared" si="79"/>
        <v>229.23333333333326</v>
      </c>
      <c r="G302" s="16">
        <f t="shared" si="79"/>
        <v>237.53888888888952</v>
      </c>
      <c r="H302" s="17">
        <f t="shared" si="79"/>
        <v>204.31666666666644</v>
      </c>
      <c r="I302" s="17">
        <f t="shared" si="79"/>
        <v>212.62222222222238</v>
      </c>
      <c r="J302" s="17">
        <f t="shared" si="79"/>
        <v>220.92777777777832</v>
      </c>
      <c r="K302" s="18">
        <f t="shared" si="79"/>
        <v>187.70555555555629</v>
      </c>
      <c r="L302" s="18">
        <f t="shared" si="79"/>
        <v>196.01111111111049</v>
      </c>
      <c r="M302" s="18">
        <f t="shared" si="79"/>
        <v>204.31666666666644</v>
      </c>
      <c r="N302" s="19">
        <f t="shared" si="79"/>
        <v>149.5</v>
      </c>
      <c r="O302" s="19">
        <f t="shared" si="79"/>
        <v>157.80555555555594</v>
      </c>
      <c r="P302" s="19">
        <f t="shared" si="79"/>
        <v>166.11111111111188</v>
      </c>
      <c r="Q302" s="20">
        <f t="shared" si="79"/>
        <v>141.19444444444406</v>
      </c>
      <c r="R302" s="20">
        <f t="shared" si="79"/>
        <v>149.5</v>
      </c>
      <c r="S302" s="20">
        <f t="shared" si="79"/>
        <v>157.80555555555594</v>
      </c>
      <c r="T302" s="21">
        <f t="shared" si="79"/>
        <v>132.88888888888812</v>
      </c>
      <c r="U302" s="21">
        <f t="shared" si="78"/>
        <v>141.19444444444406</v>
      </c>
      <c r="V302" s="21">
        <f t="shared" si="78"/>
        <v>149.5</v>
      </c>
      <c r="W302" s="22">
        <f t="shared" si="78"/>
        <v>124.58333333333378</v>
      </c>
      <c r="X302" s="22">
        <f t="shared" si="78"/>
        <v>132.88888888888812</v>
      </c>
      <c r="Y302" s="22">
        <f t="shared" si="78"/>
        <v>141.19444444444406</v>
      </c>
      <c r="Z302" s="23">
        <f t="shared" si="78"/>
        <v>116.27777777777797</v>
      </c>
      <c r="AA302" s="23">
        <f t="shared" si="78"/>
        <v>124.58333333333378</v>
      </c>
      <c r="AB302" s="23">
        <f t="shared" si="78"/>
        <v>132.88888888888812</v>
      </c>
      <c r="AC302" s="24">
        <f t="shared" si="78"/>
        <v>107.97222222222203</v>
      </c>
      <c r="AD302" s="24">
        <f t="shared" si="78"/>
        <v>116.27777777777797</v>
      </c>
      <c r="AE302" s="24">
        <f t="shared" si="78"/>
        <v>124.58333333333378</v>
      </c>
      <c r="AF302" s="25">
        <f t="shared" si="78"/>
        <v>99.666666666666956</v>
      </c>
      <c r="AG302" s="25">
        <f t="shared" si="78"/>
        <v>107.97222222222203</v>
      </c>
      <c r="AH302" s="25">
        <f t="shared" si="78"/>
        <v>116.27777777777797</v>
      </c>
      <c r="AI302" s="26">
        <f t="shared" si="78"/>
        <v>91.361111111111015</v>
      </c>
      <c r="AJ302" s="26">
        <f t="shared" si="80"/>
        <v>99.666666666666956</v>
      </c>
      <c r="AK302" s="26">
        <f t="shared" si="80"/>
        <v>107.97222222222203</v>
      </c>
    </row>
    <row r="303" spans="4:37" ht="20.100000000000001" customHeight="1">
      <c r="D303" s="27">
        <f t="shared" si="72"/>
        <v>0.83333333333333093</v>
      </c>
      <c r="E303" s="16">
        <f t="shared" si="79"/>
        <v>221.6666666666672</v>
      </c>
      <c r="F303" s="16">
        <f t="shared" si="79"/>
        <v>229.99999999999994</v>
      </c>
      <c r="G303" s="16">
        <f t="shared" si="79"/>
        <v>238.33333333333397</v>
      </c>
      <c r="H303" s="17">
        <f t="shared" si="79"/>
        <v>204.99999999999977</v>
      </c>
      <c r="I303" s="17">
        <f t="shared" si="79"/>
        <v>213.33333333333348</v>
      </c>
      <c r="J303" s="17">
        <f t="shared" si="79"/>
        <v>221.6666666666672</v>
      </c>
      <c r="K303" s="18">
        <f t="shared" si="79"/>
        <v>188.33333333333405</v>
      </c>
      <c r="L303" s="18">
        <f t="shared" si="79"/>
        <v>196.66666666666606</v>
      </c>
      <c r="M303" s="18">
        <f t="shared" si="79"/>
        <v>204.99999999999977</v>
      </c>
      <c r="N303" s="19">
        <f t="shared" si="79"/>
        <v>150</v>
      </c>
      <c r="O303" s="19">
        <f t="shared" si="79"/>
        <v>158.33333333333371</v>
      </c>
      <c r="P303" s="19">
        <f t="shared" si="79"/>
        <v>166.66666666666742</v>
      </c>
      <c r="Q303" s="20">
        <f t="shared" si="79"/>
        <v>141.66666666666629</v>
      </c>
      <c r="R303" s="20">
        <f t="shared" si="79"/>
        <v>150</v>
      </c>
      <c r="S303" s="20">
        <f t="shared" si="79"/>
        <v>158.33333333333371</v>
      </c>
      <c r="T303" s="21">
        <f t="shared" si="79"/>
        <v>133.33333333333258</v>
      </c>
      <c r="U303" s="21">
        <f t="shared" si="78"/>
        <v>141.66666666666629</v>
      </c>
      <c r="V303" s="21">
        <f t="shared" si="78"/>
        <v>150</v>
      </c>
      <c r="W303" s="22">
        <f t="shared" si="78"/>
        <v>125.00000000000045</v>
      </c>
      <c r="X303" s="22">
        <f t="shared" si="78"/>
        <v>133.33333333333258</v>
      </c>
      <c r="Y303" s="22">
        <f t="shared" si="78"/>
        <v>141.66666666666629</v>
      </c>
      <c r="Z303" s="23">
        <f t="shared" si="78"/>
        <v>116.66666666666686</v>
      </c>
      <c r="AA303" s="23">
        <f t="shared" si="78"/>
        <v>125.00000000000045</v>
      </c>
      <c r="AB303" s="23">
        <f t="shared" si="78"/>
        <v>133.33333333333258</v>
      </c>
      <c r="AC303" s="24">
        <f t="shared" si="78"/>
        <v>108.33333333333314</v>
      </c>
      <c r="AD303" s="24">
        <f t="shared" si="78"/>
        <v>116.66666666666686</v>
      </c>
      <c r="AE303" s="24">
        <f t="shared" si="78"/>
        <v>125.00000000000045</v>
      </c>
      <c r="AF303" s="25">
        <f t="shared" si="78"/>
        <v>100.00000000000028</v>
      </c>
      <c r="AG303" s="25">
        <f t="shared" si="78"/>
        <v>108.33333333333314</v>
      </c>
      <c r="AH303" s="25">
        <f t="shared" si="78"/>
        <v>116.66666666666686</v>
      </c>
      <c r="AI303" s="26">
        <f t="shared" si="78"/>
        <v>91.666666666666572</v>
      </c>
      <c r="AJ303" s="26">
        <f t="shared" si="80"/>
        <v>100.00000000000028</v>
      </c>
      <c r="AK303" s="26">
        <f t="shared" si="80"/>
        <v>108.33333333333314</v>
      </c>
    </row>
    <row r="304" spans="4:37" ht="20.100000000000001" customHeight="1">
      <c r="D304" s="27">
        <f t="shared" si="72"/>
        <v>0.8361111111111087</v>
      </c>
      <c r="E304" s="16">
        <f t="shared" si="79"/>
        <v>222.40555555555608</v>
      </c>
      <c r="F304" s="16">
        <f t="shared" si="79"/>
        <v>230.76666666666662</v>
      </c>
      <c r="G304" s="16">
        <f t="shared" si="79"/>
        <v>239.12777777777842</v>
      </c>
      <c r="H304" s="17">
        <f t="shared" si="79"/>
        <v>205.68333333333311</v>
      </c>
      <c r="I304" s="17">
        <f t="shared" si="79"/>
        <v>214.04444444444459</v>
      </c>
      <c r="J304" s="17">
        <f t="shared" si="79"/>
        <v>222.40555555555608</v>
      </c>
      <c r="K304" s="18">
        <f t="shared" si="79"/>
        <v>188.96111111111182</v>
      </c>
      <c r="L304" s="18">
        <f t="shared" si="79"/>
        <v>197.32222222222163</v>
      </c>
      <c r="M304" s="18">
        <f t="shared" si="79"/>
        <v>205.68333333333311</v>
      </c>
      <c r="N304" s="19">
        <f t="shared" si="79"/>
        <v>150.5</v>
      </c>
      <c r="O304" s="19">
        <f t="shared" si="79"/>
        <v>158.86111111111148</v>
      </c>
      <c r="P304" s="19">
        <f t="shared" si="79"/>
        <v>167.22222222222297</v>
      </c>
      <c r="Q304" s="20">
        <f t="shared" si="79"/>
        <v>142.13888888888852</v>
      </c>
      <c r="R304" s="20">
        <f t="shared" si="79"/>
        <v>150.5</v>
      </c>
      <c r="S304" s="20">
        <f t="shared" si="79"/>
        <v>158.86111111111148</v>
      </c>
      <c r="T304" s="21">
        <f t="shared" si="79"/>
        <v>133.77777777777703</v>
      </c>
      <c r="U304" s="21">
        <f t="shared" si="78"/>
        <v>142.13888888888852</v>
      </c>
      <c r="V304" s="21">
        <f t="shared" si="78"/>
        <v>150.5</v>
      </c>
      <c r="W304" s="22">
        <f t="shared" si="78"/>
        <v>125.41666666666713</v>
      </c>
      <c r="X304" s="22">
        <f t="shared" si="78"/>
        <v>133.77777777777703</v>
      </c>
      <c r="Y304" s="22">
        <f t="shared" si="78"/>
        <v>142.13888888888852</v>
      </c>
      <c r="Z304" s="23">
        <f t="shared" si="78"/>
        <v>117.05555555555574</v>
      </c>
      <c r="AA304" s="23">
        <f t="shared" si="78"/>
        <v>125.41666666666713</v>
      </c>
      <c r="AB304" s="23">
        <f t="shared" si="78"/>
        <v>133.77777777777703</v>
      </c>
      <c r="AC304" s="24">
        <f t="shared" si="78"/>
        <v>108.69444444444426</v>
      </c>
      <c r="AD304" s="24">
        <f t="shared" si="78"/>
        <v>117.05555555555574</v>
      </c>
      <c r="AE304" s="24">
        <f t="shared" si="78"/>
        <v>125.41666666666713</v>
      </c>
      <c r="AF304" s="25">
        <f t="shared" si="78"/>
        <v>100.33333333333361</v>
      </c>
      <c r="AG304" s="25">
        <f t="shared" si="78"/>
        <v>108.69444444444426</v>
      </c>
      <c r="AH304" s="25">
        <f t="shared" si="78"/>
        <v>117.05555555555574</v>
      </c>
      <c r="AI304" s="26">
        <f t="shared" si="78"/>
        <v>91.972222222222129</v>
      </c>
      <c r="AJ304" s="26">
        <f t="shared" si="80"/>
        <v>100.33333333333361</v>
      </c>
      <c r="AK304" s="26">
        <f t="shared" si="80"/>
        <v>108.69444444444426</v>
      </c>
    </row>
    <row r="305" spans="4:37" ht="20.100000000000001" customHeight="1">
      <c r="D305" s="27">
        <f t="shared" si="72"/>
        <v>0.83888888888888646</v>
      </c>
      <c r="E305" s="16">
        <f t="shared" si="79"/>
        <v>223.14444444444496</v>
      </c>
      <c r="F305" s="16">
        <f t="shared" si="79"/>
        <v>231.5333333333333</v>
      </c>
      <c r="G305" s="16">
        <f t="shared" si="79"/>
        <v>239.92222222222287</v>
      </c>
      <c r="H305" s="17">
        <f t="shared" si="79"/>
        <v>206.36666666666645</v>
      </c>
      <c r="I305" s="17">
        <f t="shared" si="79"/>
        <v>214.7555555555557</v>
      </c>
      <c r="J305" s="17">
        <f t="shared" si="79"/>
        <v>223.14444444444496</v>
      </c>
      <c r="K305" s="18">
        <f t="shared" si="79"/>
        <v>189.58888888888958</v>
      </c>
      <c r="L305" s="18">
        <f t="shared" si="79"/>
        <v>197.97777777777719</v>
      </c>
      <c r="M305" s="18">
        <f t="shared" si="79"/>
        <v>206.36666666666645</v>
      </c>
      <c r="N305" s="19">
        <f t="shared" si="79"/>
        <v>151</v>
      </c>
      <c r="O305" s="19">
        <f t="shared" si="79"/>
        <v>159.38888888888926</v>
      </c>
      <c r="P305" s="19">
        <f t="shared" si="79"/>
        <v>167.77777777777851</v>
      </c>
      <c r="Q305" s="20">
        <f t="shared" si="79"/>
        <v>142.61111111111074</v>
      </c>
      <c r="R305" s="20">
        <f t="shared" si="79"/>
        <v>151</v>
      </c>
      <c r="S305" s="20">
        <f t="shared" si="79"/>
        <v>159.38888888888926</v>
      </c>
      <c r="T305" s="21">
        <f t="shared" si="79"/>
        <v>134.22222222222149</v>
      </c>
      <c r="U305" s="21">
        <f t="shared" si="78"/>
        <v>142.61111111111074</v>
      </c>
      <c r="V305" s="21">
        <f t="shared" si="78"/>
        <v>151</v>
      </c>
      <c r="W305" s="22">
        <f t="shared" si="78"/>
        <v>125.8333333333338</v>
      </c>
      <c r="X305" s="22">
        <f t="shared" si="78"/>
        <v>134.22222222222149</v>
      </c>
      <c r="Y305" s="22">
        <f t="shared" si="78"/>
        <v>142.61111111111074</v>
      </c>
      <c r="Z305" s="23">
        <f t="shared" si="78"/>
        <v>117.44444444444463</v>
      </c>
      <c r="AA305" s="23">
        <f t="shared" si="78"/>
        <v>125.8333333333338</v>
      </c>
      <c r="AB305" s="23">
        <f t="shared" si="78"/>
        <v>134.22222222222149</v>
      </c>
      <c r="AC305" s="24">
        <f t="shared" si="78"/>
        <v>109.05555555555537</v>
      </c>
      <c r="AD305" s="24">
        <f t="shared" si="78"/>
        <v>117.44444444444463</v>
      </c>
      <c r="AE305" s="24">
        <f t="shared" si="78"/>
        <v>125.8333333333338</v>
      </c>
      <c r="AF305" s="25">
        <f t="shared" si="78"/>
        <v>100.66666666666694</v>
      </c>
      <c r="AG305" s="25">
        <f t="shared" si="78"/>
        <v>109.05555555555537</v>
      </c>
      <c r="AH305" s="25">
        <f t="shared" si="78"/>
        <v>117.44444444444463</v>
      </c>
      <c r="AI305" s="26">
        <f t="shared" si="78"/>
        <v>92.277777777777686</v>
      </c>
      <c r="AJ305" s="26">
        <f t="shared" si="80"/>
        <v>100.66666666666694</v>
      </c>
      <c r="AK305" s="26">
        <f t="shared" si="80"/>
        <v>109.05555555555537</v>
      </c>
    </row>
    <row r="306" spans="4:37" ht="20.100000000000001" customHeight="1">
      <c r="D306" s="27">
        <f t="shared" si="72"/>
        <v>0.84166666666666423</v>
      </c>
      <c r="E306" s="16">
        <f t="shared" si="79"/>
        <v>223.88333333333384</v>
      </c>
      <c r="F306" s="16">
        <f t="shared" si="79"/>
        <v>232.29999999999998</v>
      </c>
      <c r="G306" s="16">
        <f t="shared" si="79"/>
        <v>240.71666666666732</v>
      </c>
      <c r="H306" s="17">
        <f t="shared" si="79"/>
        <v>207.04999999999978</v>
      </c>
      <c r="I306" s="17">
        <f t="shared" si="79"/>
        <v>215.46666666666681</v>
      </c>
      <c r="J306" s="17">
        <f t="shared" si="79"/>
        <v>223.88333333333384</v>
      </c>
      <c r="K306" s="18">
        <f t="shared" si="79"/>
        <v>190.21666666666735</v>
      </c>
      <c r="L306" s="18">
        <f t="shared" si="79"/>
        <v>198.63333333333276</v>
      </c>
      <c r="M306" s="18">
        <f t="shared" si="79"/>
        <v>207.04999999999978</v>
      </c>
      <c r="N306" s="19">
        <f t="shared" si="79"/>
        <v>151.5</v>
      </c>
      <c r="O306" s="19">
        <f t="shared" si="79"/>
        <v>159.91666666666703</v>
      </c>
      <c r="P306" s="19">
        <f t="shared" si="79"/>
        <v>168.33333333333405</v>
      </c>
      <c r="Q306" s="20">
        <f t="shared" si="79"/>
        <v>143.08333333333297</v>
      </c>
      <c r="R306" s="20">
        <f t="shared" si="79"/>
        <v>151.5</v>
      </c>
      <c r="S306" s="20">
        <f t="shared" si="79"/>
        <v>159.91666666666703</v>
      </c>
      <c r="T306" s="21">
        <f t="shared" si="79"/>
        <v>134.66666666666595</v>
      </c>
      <c r="U306" s="21">
        <f t="shared" si="78"/>
        <v>143.08333333333297</v>
      </c>
      <c r="V306" s="21">
        <f t="shared" si="78"/>
        <v>151.5</v>
      </c>
      <c r="W306" s="22">
        <f t="shared" si="78"/>
        <v>126.25000000000047</v>
      </c>
      <c r="X306" s="22">
        <f t="shared" si="78"/>
        <v>134.66666666666595</v>
      </c>
      <c r="Y306" s="22">
        <f t="shared" si="78"/>
        <v>143.08333333333297</v>
      </c>
      <c r="Z306" s="23">
        <f t="shared" si="78"/>
        <v>117.83333333333351</v>
      </c>
      <c r="AA306" s="23">
        <f t="shared" si="78"/>
        <v>126.25000000000047</v>
      </c>
      <c r="AB306" s="23">
        <f>AB307-(AB$363/360)</f>
        <v>134.66666666666595</v>
      </c>
      <c r="AC306" s="24">
        <f t="shared" si="78"/>
        <v>109.41666666666649</v>
      </c>
      <c r="AD306" s="24">
        <f t="shared" si="78"/>
        <v>117.83333333333351</v>
      </c>
      <c r="AE306" s="24">
        <f t="shared" si="78"/>
        <v>126.25000000000047</v>
      </c>
      <c r="AF306" s="25">
        <f t="shared" si="78"/>
        <v>101.00000000000027</v>
      </c>
      <c r="AG306" s="25">
        <f t="shared" si="78"/>
        <v>109.41666666666649</v>
      </c>
      <c r="AH306" s="25">
        <f t="shared" si="78"/>
        <v>117.83333333333351</v>
      </c>
      <c r="AI306" s="26">
        <f t="shared" si="78"/>
        <v>92.583333333333243</v>
      </c>
      <c r="AJ306" s="26">
        <f t="shared" si="80"/>
        <v>101.00000000000027</v>
      </c>
      <c r="AK306" s="26">
        <f t="shared" si="80"/>
        <v>109.41666666666649</v>
      </c>
    </row>
    <row r="307" spans="4:37" ht="20.100000000000001" customHeight="1">
      <c r="D307" s="27">
        <f t="shared" si="72"/>
        <v>0.844444444444442</v>
      </c>
      <c r="E307" s="16">
        <f t="shared" si="79"/>
        <v>224.62222222222272</v>
      </c>
      <c r="F307" s="16">
        <f t="shared" si="79"/>
        <v>233.06666666666666</v>
      </c>
      <c r="G307" s="16">
        <f t="shared" si="79"/>
        <v>241.51111111111177</v>
      </c>
      <c r="H307" s="17">
        <f t="shared" si="79"/>
        <v>207.73333333333312</v>
      </c>
      <c r="I307" s="17">
        <f t="shared" si="79"/>
        <v>216.17777777777792</v>
      </c>
      <c r="J307" s="17">
        <f t="shared" si="79"/>
        <v>224.62222222222272</v>
      </c>
      <c r="K307" s="18">
        <f t="shared" si="79"/>
        <v>190.84444444444512</v>
      </c>
      <c r="L307" s="18">
        <f t="shared" si="79"/>
        <v>199.28888888888832</v>
      </c>
      <c r="M307" s="18">
        <f t="shared" si="79"/>
        <v>207.73333333333312</v>
      </c>
      <c r="N307" s="19">
        <f t="shared" si="79"/>
        <v>152</v>
      </c>
      <c r="O307" s="19">
        <f t="shared" si="79"/>
        <v>160.4444444444448</v>
      </c>
      <c r="P307" s="19">
        <f t="shared" si="79"/>
        <v>168.8888888888896</v>
      </c>
      <c r="Q307" s="20">
        <f t="shared" si="79"/>
        <v>143.5555555555552</v>
      </c>
      <c r="R307" s="20">
        <f t="shared" si="79"/>
        <v>152</v>
      </c>
      <c r="S307" s="20">
        <f t="shared" si="79"/>
        <v>160.4444444444448</v>
      </c>
      <c r="T307" s="21">
        <f t="shared" ref="T307:AI323" si="81">T308-(T$363/360)</f>
        <v>135.1111111111104</v>
      </c>
      <c r="U307" s="21">
        <f t="shared" si="81"/>
        <v>143.5555555555552</v>
      </c>
      <c r="V307" s="21">
        <f t="shared" si="81"/>
        <v>152</v>
      </c>
      <c r="W307" s="22">
        <f t="shared" si="81"/>
        <v>126.66666666666714</v>
      </c>
      <c r="X307" s="22">
        <f t="shared" si="81"/>
        <v>135.1111111111104</v>
      </c>
      <c r="Y307" s="22">
        <f t="shared" si="81"/>
        <v>143.5555555555552</v>
      </c>
      <c r="Z307" s="23">
        <f t="shared" si="81"/>
        <v>118.2222222222224</v>
      </c>
      <c r="AA307" s="23">
        <f t="shared" si="81"/>
        <v>126.66666666666714</v>
      </c>
      <c r="AB307" s="23">
        <f>AB308-(AB$363/360)</f>
        <v>135.1111111111104</v>
      </c>
      <c r="AC307" s="24">
        <f t="shared" ref="AC307:AK307" si="82">AC308-(AC$363/360)</f>
        <v>109.7777777777776</v>
      </c>
      <c r="AD307" s="24">
        <f t="shared" si="82"/>
        <v>118.2222222222224</v>
      </c>
      <c r="AE307" s="24">
        <f t="shared" si="82"/>
        <v>126.66666666666714</v>
      </c>
      <c r="AF307" s="25">
        <f t="shared" si="82"/>
        <v>101.3333333333336</v>
      </c>
      <c r="AG307" s="25">
        <f t="shared" si="82"/>
        <v>109.7777777777776</v>
      </c>
      <c r="AH307" s="25">
        <f t="shared" si="82"/>
        <v>118.2222222222224</v>
      </c>
      <c r="AI307" s="26">
        <f t="shared" si="82"/>
        <v>92.8888888888888</v>
      </c>
      <c r="AJ307" s="26">
        <f t="shared" si="82"/>
        <v>101.3333333333336</v>
      </c>
      <c r="AK307" s="26">
        <f t="shared" si="82"/>
        <v>109.7777777777776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225.3611111111116</v>
      </c>
      <c r="F308" s="16">
        <f t="shared" si="83"/>
        <v>233.83333333333334</v>
      </c>
      <c r="G308" s="16">
        <f t="shared" si="83"/>
        <v>242.30555555555623</v>
      </c>
      <c r="H308" s="17">
        <f t="shared" si="83"/>
        <v>208.41666666666646</v>
      </c>
      <c r="I308" s="17">
        <f t="shared" si="83"/>
        <v>216.88888888888903</v>
      </c>
      <c r="J308" s="17">
        <f t="shared" si="83"/>
        <v>225.3611111111116</v>
      </c>
      <c r="K308" s="18">
        <f t="shared" si="83"/>
        <v>191.47222222222288</v>
      </c>
      <c r="L308" s="18">
        <f t="shared" si="83"/>
        <v>199.94444444444389</v>
      </c>
      <c r="M308" s="18">
        <f t="shared" si="83"/>
        <v>208.41666666666646</v>
      </c>
      <c r="N308" s="19">
        <f t="shared" si="83"/>
        <v>152.5</v>
      </c>
      <c r="O308" s="19">
        <f t="shared" si="83"/>
        <v>160.97222222222257</v>
      </c>
      <c r="P308" s="19">
        <f t="shared" si="83"/>
        <v>169.44444444444514</v>
      </c>
      <c r="Q308" s="20">
        <f t="shared" si="83"/>
        <v>144.02777777777743</v>
      </c>
      <c r="R308" s="20">
        <f t="shared" si="83"/>
        <v>152.5</v>
      </c>
      <c r="S308" s="20">
        <f t="shared" si="83"/>
        <v>160.97222222222257</v>
      </c>
      <c r="T308" s="21">
        <f t="shared" si="83"/>
        <v>135.55555555555486</v>
      </c>
      <c r="U308" s="21">
        <f t="shared" si="81"/>
        <v>144.02777777777743</v>
      </c>
      <c r="V308" s="21">
        <f t="shared" si="81"/>
        <v>152.5</v>
      </c>
      <c r="W308" s="22">
        <f t="shared" si="81"/>
        <v>127.08333333333381</v>
      </c>
      <c r="X308" s="22">
        <f t="shared" si="81"/>
        <v>135.55555555555486</v>
      </c>
      <c r="Y308" s="22">
        <f t="shared" si="81"/>
        <v>144.02777777777743</v>
      </c>
      <c r="Z308" s="23">
        <f t="shared" si="81"/>
        <v>118.61111111111128</v>
      </c>
      <c r="AA308" s="23">
        <f t="shared" si="81"/>
        <v>127.08333333333381</v>
      </c>
      <c r="AB308" s="23">
        <f t="shared" si="81"/>
        <v>135.55555555555486</v>
      </c>
      <c r="AC308" s="24">
        <f t="shared" si="81"/>
        <v>110.13888888888872</v>
      </c>
      <c r="AD308" s="24">
        <f t="shared" si="81"/>
        <v>118.61111111111128</v>
      </c>
      <c r="AE308" s="24">
        <f t="shared" si="81"/>
        <v>127.08333333333381</v>
      </c>
      <c r="AF308" s="25">
        <f t="shared" si="81"/>
        <v>101.66666666666693</v>
      </c>
      <c r="AG308" s="25">
        <f t="shared" si="81"/>
        <v>110.13888888888872</v>
      </c>
      <c r="AH308" s="25">
        <f t="shared" si="81"/>
        <v>118.61111111111128</v>
      </c>
      <c r="AI308" s="26">
        <f t="shared" si="81"/>
        <v>93.194444444444358</v>
      </c>
      <c r="AJ308" s="26">
        <f t="shared" ref="AJ308:AJ323" si="84">AJ309-(AJ$363/360)</f>
        <v>101.66666666666693</v>
      </c>
      <c r="AK308" s="26">
        <f t="shared" ref="AK308:AK323" si="85">AK309-(AK$363/360)</f>
        <v>110.13888888888872</v>
      </c>
    </row>
    <row r="309" spans="4:37" ht="20.100000000000001" customHeight="1">
      <c r="D309" s="27">
        <f t="shared" si="72"/>
        <v>0.84999999999999754</v>
      </c>
      <c r="E309" s="16">
        <f t="shared" si="83"/>
        <v>226.10000000000048</v>
      </c>
      <c r="F309" s="16">
        <f t="shared" si="83"/>
        <v>234.60000000000002</v>
      </c>
      <c r="G309" s="16">
        <f t="shared" si="83"/>
        <v>243.10000000000068</v>
      </c>
      <c r="H309" s="17">
        <f t="shared" si="83"/>
        <v>209.0999999999998</v>
      </c>
      <c r="I309" s="17">
        <f t="shared" si="83"/>
        <v>217.60000000000014</v>
      </c>
      <c r="J309" s="17">
        <f t="shared" si="83"/>
        <v>226.10000000000048</v>
      </c>
      <c r="K309" s="18">
        <f t="shared" si="83"/>
        <v>192.10000000000065</v>
      </c>
      <c r="L309" s="18">
        <f t="shared" si="83"/>
        <v>200.59999999999945</v>
      </c>
      <c r="M309" s="18">
        <f t="shared" si="83"/>
        <v>209.0999999999998</v>
      </c>
      <c r="N309" s="19">
        <f t="shared" si="83"/>
        <v>153</v>
      </c>
      <c r="O309" s="19">
        <f t="shared" si="83"/>
        <v>161.50000000000034</v>
      </c>
      <c r="P309" s="19">
        <f t="shared" si="83"/>
        <v>170.00000000000068</v>
      </c>
      <c r="Q309" s="20">
        <f t="shared" si="83"/>
        <v>144.49999999999966</v>
      </c>
      <c r="R309" s="20">
        <f t="shared" si="83"/>
        <v>153</v>
      </c>
      <c r="S309" s="20">
        <f t="shared" si="83"/>
        <v>161.50000000000034</v>
      </c>
      <c r="T309" s="21">
        <f t="shared" si="83"/>
        <v>135.99999999999932</v>
      </c>
      <c r="U309" s="21">
        <f t="shared" si="81"/>
        <v>144.49999999999966</v>
      </c>
      <c r="V309" s="21">
        <f t="shared" si="81"/>
        <v>153</v>
      </c>
      <c r="W309" s="22">
        <f t="shared" si="81"/>
        <v>127.50000000000048</v>
      </c>
      <c r="X309" s="22">
        <f t="shared" si="81"/>
        <v>135.99999999999932</v>
      </c>
      <c r="Y309" s="22">
        <f t="shared" si="81"/>
        <v>144.49999999999966</v>
      </c>
      <c r="Z309" s="23">
        <f t="shared" si="81"/>
        <v>119.00000000000017</v>
      </c>
      <c r="AA309" s="23">
        <f t="shared" si="81"/>
        <v>127.50000000000048</v>
      </c>
      <c r="AB309" s="23">
        <f t="shared" si="81"/>
        <v>135.99999999999932</v>
      </c>
      <c r="AC309" s="24">
        <f t="shared" si="81"/>
        <v>110.49999999999983</v>
      </c>
      <c r="AD309" s="24">
        <f t="shared" si="81"/>
        <v>119.00000000000017</v>
      </c>
      <c r="AE309" s="24">
        <f t="shared" si="81"/>
        <v>127.50000000000048</v>
      </c>
      <c r="AF309" s="25">
        <f t="shared" si="81"/>
        <v>102.00000000000026</v>
      </c>
      <c r="AG309" s="25">
        <f t="shared" si="81"/>
        <v>110.49999999999983</v>
      </c>
      <c r="AH309" s="25">
        <f t="shared" si="81"/>
        <v>119.00000000000017</v>
      </c>
      <c r="AI309" s="26">
        <f t="shared" si="81"/>
        <v>93.499999999999915</v>
      </c>
      <c r="AJ309" s="26">
        <f t="shared" si="84"/>
        <v>102.00000000000026</v>
      </c>
      <c r="AK309" s="26">
        <f t="shared" si="85"/>
        <v>110.49999999999983</v>
      </c>
    </row>
    <row r="310" spans="4:37" ht="20.100000000000001" customHeight="1">
      <c r="D310" s="27">
        <f t="shared" si="72"/>
        <v>0.8527777777777753</v>
      </c>
      <c r="E310" s="16">
        <f t="shared" si="83"/>
        <v>226.83888888888936</v>
      </c>
      <c r="F310" s="16">
        <f t="shared" si="83"/>
        <v>235.3666666666667</v>
      </c>
      <c r="G310" s="16">
        <f t="shared" si="83"/>
        <v>243.89444444444513</v>
      </c>
      <c r="H310" s="17">
        <f t="shared" si="83"/>
        <v>209.78333333333313</v>
      </c>
      <c r="I310" s="17">
        <f t="shared" si="83"/>
        <v>218.31111111111125</v>
      </c>
      <c r="J310" s="17">
        <f t="shared" si="83"/>
        <v>226.83888888888936</v>
      </c>
      <c r="K310" s="18">
        <f t="shared" si="83"/>
        <v>192.72777777777841</v>
      </c>
      <c r="L310" s="18">
        <f t="shared" si="83"/>
        <v>201.25555555555502</v>
      </c>
      <c r="M310" s="18">
        <f t="shared" si="83"/>
        <v>209.78333333333313</v>
      </c>
      <c r="N310" s="19">
        <f t="shared" si="83"/>
        <v>153.5</v>
      </c>
      <c r="O310" s="19">
        <f t="shared" si="83"/>
        <v>162.02777777777811</v>
      </c>
      <c r="P310" s="19">
        <f t="shared" si="83"/>
        <v>170.55555555555623</v>
      </c>
      <c r="Q310" s="20">
        <f t="shared" si="83"/>
        <v>144.97222222222189</v>
      </c>
      <c r="R310" s="20">
        <f t="shared" si="83"/>
        <v>153.5</v>
      </c>
      <c r="S310" s="20">
        <f t="shared" si="83"/>
        <v>162.02777777777811</v>
      </c>
      <c r="T310" s="21">
        <f t="shared" si="83"/>
        <v>136.44444444444377</v>
      </c>
      <c r="U310" s="21">
        <f t="shared" si="81"/>
        <v>144.97222222222189</v>
      </c>
      <c r="V310" s="21">
        <f t="shared" si="81"/>
        <v>153.5</v>
      </c>
      <c r="W310" s="22">
        <f t="shared" si="81"/>
        <v>127.91666666666715</v>
      </c>
      <c r="X310" s="22">
        <f t="shared" si="81"/>
        <v>136.44444444444377</v>
      </c>
      <c r="Y310" s="22">
        <f t="shared" si="81"/>
        <v>144.97222222222189</v>
      </c>
      <c r="Z310" s="23">
        <f t="shared" si="81"/>
        <v>119.38888888888906</v>
      </c>
      <c r="AA310" s="23">
        <f t="shared" si="81"/>
        <v>127.91666666666715</v>
      </c>
      <c r="AB310" s="23">
        <f t="shared" si="81"/>
        <v>136.44444444444377</v>
      </c>
      <c r="AC310" s="24">
        <f t="shared" si="81"/>
        <v>110.86111111111094</v>
      </c>
      <c r="AD310" s="24">
        <f t="shared" si="81"/>
        <v>119.38888888888906</v>
      </c>
      <c r="AE310" s="24">
        <f t="shared" si="81"/>
        <v>127.91666666666715</v>
      </c>
      <c r="AF310" s="25">
        <f t="shared" si="81"/>
        <v>102.33333333333358</v>
      </c>
      <c r="AG310" s="25">
        <f t="shared" si="81"/>
        <v>110.86111111111094</v>
      </c>
      <c r="AH310" s="25">
        <f t="shared" si="81"/>
        <v>119.38888888888906</v>
      </c>
      <c r="AI310" s="26">
        <f t="shared" si="81"/>
        <v>93.805555555555472</v>
      </c>
      <c r="AJ310" s="26">
        <f t="shared" si="84"/>
        <v>102.33333333333358</v>
      </c>
      <c r="AK310" s="26">
        <f t="shared" si="85"/>
        <v>110.86111111111094</v>
      </c>
    </row>
    <row r="311" spans="4:37" ht="20.100000000000001" customHeight="1">
      <c r="D311" s="27">
        <f t="shared" si="72"/>
        <v>0.85555555555555307</v>
      </c>
      <c r="E311" s="16">
        <f t="shared" si="83"/>
        <v>227.57777777777824</v>
      </c>
      <c r="F311" s="16">
        <f t="shared" si="83"/>
        <v>236.13333333333338</v>
      </c>
      <c r="G311" s="16">
        <f t="shared" si="83"/>
        <v>244.68888888888958</v>
      </c>
      <c r="H311" s="17">
        <f t="shared" si="83"/>
        <v>210.46666666666647</v>
      </c>
      <c r="I311" s="17">
        <f t="shared" si="83"/>
        <v>219.02222222222235</v>
      </c>
      <c r="J311" s="17">
        <f t="shared" si="83"/>
        <v>227.57777777777824</v>
      </c>
      <c r="K311" s="18">
        <f t="shared" si="83"/>
        <v>193.35555555555618</v>
      </c>
      <c r="L311" s="18">
        <f t="shared" si="83"/>
        <v>201.91111111111059</v>
      </c>
      <c r="M311" s="18">
        <f t="shared" si="83"/>
        <v>210.46666666666647</v>
      </c>
      <c r="N311" s="19">
        <f t="shared" si="83"/>
        <v>154</v>
      </c>
      <c r="O311" s="19">
        <f t="shared" si="83"/>
        <v>162.55555555555588</v>
      </c>
      <c r="P311" s="19">
        <f t="shared" si="83"/>
        <v>171.11111111111177</v>
      </c>
      <c r="Q311" s="20">
        <f t="shared" si="83"/>
        <v>145.44444444444412</v>
      </c>
      <c r="R311" s="20">
        <f t="shared" si="83"/>
        <v>154</v>
      </c>
      <c r="S311" s="20">
        <f t="shared" si="83"/>
        <v>162.55555555555588</v>
      </c>
      <c r="T311" s="21">
        <f t="shared" si="83"/>
        <v>136.88888888888823</v>
      </c>
      <c r="U311" s="21">
        <f t="shared" si="81"/>
        <v>145.44444444444412</v>
      </c>
      <c r="V311" s="21">
        <f t="shared" si="81"/>
        <v>154</v>
      </c>
      <c r="W311" s="22">
        <f t="shared" si="81"/>
        <v>128.33333333333383</v>
      </c>
      <c r="X311" s="22">
        <f t="shared" si="81"/>
        <v>136.88888888888823</v>
      </c>
      <c r="Y311" s="22">
        <f t="shared" si="81"/>
        <v>145.44444444444412</v>
      </c>
      <c r="Z311" s="23">
        <f t="shared" si="81"/>
        <v>119.77777777777794</v>
      </c>
      <c r="AA311" s="23">
        <f t="shared" si="81"/>
        <v>128.33333333333383</v>
      </c>
      <c r="AB311" s="23">
        <f t="shared" si="81"/>
        <v>136.88888888888823</v>
      </c>
      <c r="AC311" s="24">
        <f t="shared" si="81"/>
        <v>111.22222222222206</v>
      </c>
      <c r="AD311" s="24">
        <f t="shared" si="81"/>
        <v>119.77777777777794</v>
      </c>
      <c r="AE311" s="24">
        <f t="shared" si="81"/>
        <v>128.33333333333383</v>
      </c>
      <c r="AF311" s="25">
        <f t="shared" si="81"/>
        <v>102.66666666666691</v>
      </c>
      <c r="AG311" s="25">
        <f t="shared" si="81"/>
        <v>111.22222222222206</v>
      </c>
      <c r="AH311" s="25">
        <f t="shared" si="81"/>
        <v>119.77777777777794</v>
      </c>
      <c r="AI311" s="26">
        <f t="shared" si="81"/>
        <v>94.111111111111029</v>
      </c>
      <c r="AJ311" s="26">
        <f t="shared" si="84"/>
        <v>102.66666666666691</v>
      </c>
      <c r="AK311" s="26">
        <f t="shared" si="85"/>
        <v>111.22222222222206</v>
      </c>
    </row>
    <row r="312" spans="4:37" ht="20.100000000000001" customHeight="1">
      <c r="D312" s="27">
        <f t="shared" si="72"/>
        <v>0.85833333333333084</v>
      </c>
      <c r="E312" s="16">
        <f t="shared" si="83"/>
        <v>228.31666666666712</v>
      </c>
      <c r="F312" s="16">
        <f t="shared" si="83"/>
        <v>236.90000000000006</v>
      </c>
      <c r="G312" s="16">
        <f t="shared" si="83"/>
        <v>245.48333333333403</v>
      </c>
      <c r="H312" s="17">
        <f t="shared" si="83"/>
        <v>211.14999999999981</v>
      </c>
      <c r="I312" s="17">
        <f t="shared" si="83"/>
        <v>219.73333333333346</v>
      </c>
      <c r="J312" s="17">
        <f t="shared" si="83"/>
        <v>228.31666666666712</v>
      </c>
      <c r="K312" s="18">
        <f t="shared" si="83"/>
        <v>193.98333333333395</v>
      </c>
      <c r="L312" s="18">
        <f t="shared" si="83"/>
        <v>202.56666666666615</v>
      </c>
      <c r="M312" s="18">
        <f t="shared" si="83"/>
        <v>211.14999999999981</v>
      </c>
      <c r="N312" s="19">
        <f t="shared" si="83"/>
        <v>154.5</v>
      </c>
      <c r="O312" s="19">
        <f t="shared" si="83"/>
        <v>163.08333333333366</v>
      </c>
      <c r="P312" s="19">
        <f t="shared" si="83"/>
        <v>171.66666666666731</v>
      </c>
      <c r="Q312" s="20">
        <f t="shared" si="83"/>
        <v>145.91666666666634</v>
      </c>
      <c r="R312" s="20">
        <f t="shared" si="83"/>
        <v>154.5</v>
      </c>
      <c r="S312" s="20">
        <f t="shared" si="83"/>
        <v>163.08333333333366</v>
      </c>
      <c r="T312" s="21">
        <f t="shared" si="83"/>
        <v>137.33333333333269</v>
      </c>
      <c r="U312" s="21">
        <f t="shared" si="81"/>
        <v>145.91666666666634</v>
      </c>
      <c r="V312" s="21">
        <f t="shared" si="81"/>
        <v>154.5</v>
      </c>
      <c r="W312" s="22">
        <f t="shared" si="81"/>
        <v>128.75000000000048</v>
      </c>
      <c r="X312" s="22">
        <f t="shared" si="81"/>
        <v>137.33333333333269</v>
      </c>
      <c r="Y312" s="22">
        <f t="shared" si="81"/>
        <v>145.91666666666634</v>
      </c>
      <c r="Z312" s="23">
        <f t="shared" si="81"/>
        <v>120.16666666666683</v>
      </c>
      <c r="AA312" s="23">
        <f t="shared" si="81"/>
        <v>128.75000000000048</v>
      </c>
      <c r="AB312" s="23">
        <f t="shared" si="81"/>
        <v>137.33333333333269</v>
      </c>
      <c r="AC312" s="24">
        <f t="shared" si="81"/>
        <v>111.58333333333317</v>
      </c>
      <c r="AD312" s="24">
        <f t="shared" si="81"/>
        <v>120.16666666666683</v>
      </c>
      <c r="AE312" s="24">
        <f t="shared" si="81"/>
        <v>128.75000000000048</v>
      </c>
      <c r="AF312" s="25">
        <f t="shared" si="81"/>
        <v>103.00000000000024</v>
      </c>
      <c r="AG312" s="25">
        <f t="shared" si="81"/>
        <v>111.58333333333317</v>
      </c>
      <c r="AH312" s="25">
        <f t="shared" si="81"/>
        <v>120.16666666666683</v>
      </c>
      <c r="AI312" s="26">
        <f t="shared" si="81"/>
        <v>94.416666666666586</v>
      </c>
      <c r="AJ312" s="26">
        <f t="shared" si="84"/>
        <v>103.00000000000024</v>
      </c>
      <c r="AK312" s="26">
        <f t="shared" si="85"/>
        <v>111.58333333333317</v>
      </c>
    </row>
    <row r="313" spans="4:37" ht="20.100000000000001" customHeight="1">
      <c r="D313" s="27">
        <f t="shared" si="72"/>
        <v>0.86111111111110861</v>
      </c>
      <c r="E313" s="16">
        <f t="shared" si="83"/>
        <v>229.055555555556</v>
      </c>
      <c r="F313" s="16">
        <f t="shared" si="83"/>
        <v>237.66666666666674</v>
      </c>
      <c r="G313" s="16">
        <f t="shared" si="83"/>
        <v>246.27777777777848</v>
      </c>
      <c r="H313" s="17">
        <f t="shared" si="83"/>
        <v>211.83333333333314</v>
      </c>
      <c r="I313" s="17">
        <f t="shared" si="83"/>
        <v>220.44444444444457</v>
      </c>
      <c r="J313" s="17">
        <f t="shared" si="83"/>
        <v>229.055555555556</v>
      </c>
      <c r="K313" s="18">
        <f t="shared" si="83"/>
        <v>194.61111111111171</v>
      </c>
      <c r="L313" s="18">
        <f t="shared" si="83"/>
        <v>203.22222222222172</v>
      </c>
      <c r="M313" s="18">
        <f t="shared" si="83"/>
        <v>211.83333333333314</v>
      </c>
      <c r="N313" s="19">
        <f t="shared" si="83"/>
        <v>155</v>
      </c>
      <c r="O313" s="19">
        <f t="shared" si="83"/>
        <v>163.61111111111143</v>
      </c>
      <c r="P313" s="19">
        <f t="shared" si="83"/>
        <v>172.22222222222285</v>
      </c>
      <c r="Q313" s="20">
        <f t="shared" si="83"/>
        <v>146.38888888888857</v>
      </c>
      <c r="R313" s="20">
        <f t="shared" si="83"/>
        <v>155</v>
      </c>
      <c r="S313" s="20">
        <f t="shared" si="83"/>
        <v>163.61111111111143</v>
      </c>
      <c r="T313" s="21">
        <f t="shared" si="83"/>
        <v>137.77777777777715</v>
      </c>
      <c r="U313" s="21">
        <f t="shared" si="81"/>
        <v>146.38888888888857</v>
      </c>
      <c r="V313" s="21">
        <f t="shared" si="81"/>
        <v>155</v>
      </c>
      <c r="W313" s="22">
        <f t="shared" si="81"/>
        <v>129.16666666666714</v>
      </c>
      <c r="X313" s="22">
        <f t="shared" si="81"/>
        <v>137.77777777777715</v>
      </c>
      <c r="Y313" s="22">
        <f t="shared" si="81"/>
        <v>146.38888888888857</v>
      </c>
      <c r="Z313" s="23">
        <f t="shared" si="81"/>
        <v>120.55555555555571</v>
      </c>
      <c r="AA313" s="23">
        <f t="shared" si="81"/>
        <v>129.16666666666714</v>
      </c>
      <c r="AB313" s="23">
        <f t="shared" si="81"/>
        <v>137.77777777777715</v>
      </c>
      <c r="AC313" s="24">
        <f t="shared" si="81"/>
        <v>111.94444444444429</v>
      </c>
      <c r="AD313" s="24">
        <f t="shared" si="81"/>
        <v>120.55555555555571</v>
      </c>
      <c r="AE313" s="24">
        <f t="shared" si="81"/>
        <v>129.16666666666714</v>
      </c>
      <c r="AF313" s="25">
        <f t="shared" si="81"/>
        <v>103.33333333333357</v>
      </c>
      <c r="AG313" s="25">
        <f t="shared" si="81"/>
        <v>111.94444444444429</v>
      </c>
      <c r="AH313" s="25">
        <f t="shared" si="81"/>
        <v>120.55555555555571</v>
      </c>
      <c r="AI313" s="26">
        <f t="shared" si="81"/>
        <v>94.722222222222143</v>
      </c>
      <c r="AJ313" s="26">
        <f t="shared" si="84"/>
        <v>103.33333333333357</v>
      </c>
      <c r="AK313" s="26">
        <f t="shared" si="85"/>
        <v>111.94444444444429</v>
      </c>
    </row>
    <row r="314" spans="4:37" ht="20.100000000000001" customHeight="1">
      <c r="D314" s="27">
        <f t="shared" si="72"/>
        <v>0.86388888888888637</v>
      </c>
      <c r="E314" s="16">
        <f t="shared" si="83"/>
        <v>229.79444444444488</v>
      </c>
      <c r="F314" s="16">
        <f t="shared" si="83"/>
        <v>238.43333333333342</v>
      </c>
      <c r="G314" s="16">
        <f t="shared" si="83"/>
        <v>247.07222222222293</v>
      </c>
      <c r="H314" s="17">
        <f t="shared" si="83"/>
        <v>212.51666666666648</v>
      </c>
      <c r="I314" s="17">
        <f t="shared" si="83"/>
        <v>221.15555555555568</v>
      </c>
      <c r="J314" s="17">
        <f t="shared" si="83"/>
        <v>229.79444444444488</v>
      </c>
      <c r="K314" s="18">
        <f t="shared" si="83"/>
        <v>195.23888888888948</v>
      </c>
      <c r="L314" s="18">
        <f t="shared" si="83"/>
        <v>203.87777777777728</v>
      </c>
      <c r="M314" s="18">
        <f t="shared" si="83"/>
        <v>212.51666666666648</v>
      </c>
      <c r="N314" s="19">
        <f t="shared" si="83"/>
        <v>155.5</v>
      </c>
      <c r="O314" s="19">
        <f t="shared" si="83"/>
        <v>164.1388888888892</v>
      </c>
      <c r="P314" s="19">
        <f t="shared" si="83"/>
        <v>172.7777777777784</v>
      </c>
      <c r="Q314" s="20">
        <f t="shared" si="83"/>
        <v>146.8611111111108</v>
      </c>
      <c r="R314" s="20">
        <f t="shared" si="83"/>
        <v>155.5</v>
      </c>
      <c r="S314" s="20">
        <f t="shared" si="83"/>
        <v>164.1388888888892</v>
      </c>
      <c r="T314" s="21">
        <f t="shared" si="83"/>
        <v>138.2222222222216</v>
      </c>
      <c r="U314" s="21">
        <f t="shared" si="81"/>
        <v>146.8611111111108</v>
      </c>
      <c r="V314" s="21">
        <f t="shared" si="81"/>
        <v>155.5</v>
      </c>
      <c r="W314" s="22">
        <f t="shared" si="81"/>
        <v>129.5833333333338</v>
      </c>
      <c r="X314" s="22">
        <f t="shared" si="81"/>
        <v>138.2222222222216</v>
      </c>
      <c r="Y314" s="22">
        <f t="shared" si="81"/>
        <v>146.8611111111108</v>
      </c>
      <c r="Z314" s="23">
        <f t="shared" si="81"/>
        <v>120.9444444444446</v>
      </c>
      <c r="AA314" s="23">
        <f t="shared" si="81"/>
        <v>129.5833333333338</v>
      </c>
      <c r="AB314" s="23">
        <f t="shared" si="81"/>
        <v>138.2222222222216</v>
      </c>
      <c r="AC314" s="24">
        <f t="shared" si="81"/>
        <v>112.3055555555554</v>
      </c>
      <c r="AD314" s="24">
        <f t="shared" si="81"/>
        <v>120.9444444444446</v>
      </c>
      <c r="AE314" s="24">
        <f t="shared" si="81"/>
        <v>129.5833333333338</v>
      </c>
      <c r="AF314" s="25">
        <f t="shared" si="81"/>
        <v>103.6666666666669</v>
      </c>
      <c r="AG314" s="25">
        <f t="shared" si="81"/>
        <v>112.3055555555554</v>
      </c>
      <c r="AH314" s="25">
        <f t="shared" si="81"/>
        <v>120.9444444444446</v>
      </c>
      <c r="AI314" s="26">
        <f t="shared" si="81"/>
        <v>95.0277777777777</v>
      </c>
      <c r="AJ314" s="26">
        <f t="shared" si="84"/>
        <v>103.6666666666669</v>
      </c>
      <c r="AK314" s="26">
        <f t="shared" si="85"/>
        <v>112.3055555555554</v>
      </c>
    </row>
    <row r="315" spans="4:37" ht="20.100000000000001" customHeight="1">
      <c r="D315" s="27">
        <f t="shared" si="72"/>
        <v>0.86666666666666414</v>
      </c>
      <c r="E315" s="16">
        <f t="shared" si="83"/>
        <v>230.53333333333376</v>
      </c>
      <c r="F315" s="16">
        <f t="shared" si="83"/>
        <v>239.2000000000001</v>
      </c>
      <c r="G315" s="16">
        <f t="shared" si="83"/>
        <v>247.86666666666738</v>
      </c>
      <c r="H315" s="17">
        <f t="shared" si="83"/>
        <v>213.19999999999982</v>
      </c>
      <c r="I315" s="17">
        <f t="shared" si="83"/>
        <v>221.86666666666679</v>
      </c>
      <c r="J315" s="17">
        <f t="shared" si="83"/>
        <v>230.53333333333376</v>
      </c>
      <c r="K315" s="18">
        <f t="shared" si="83"/>
        <v>195.86666666666724</v>
      </c>
      <c r="L315" s="18">
        <f t="shared" si="83"/>
        <v>204.53333333333285</v>
      </c>
      <c r="M315" s="18">
        <f t="shared" si="83"/>
        <v>213.19999999999982</v>
      </c>
      <c r="N315" s="19">
        <f t="shared" si="83"/>
        <v>156</v>
      </c>
      <c r="O315" s="19">
        <f t="shared" si="83"/>
        <v>164.66666666666697</v>
      </c>
      <c r="P315" s="19">
        <f t="shared" si="83"/>
        <v>173.33333333333394</v>
      </c>
      <c r="Q315" s="20">
        <f t="shared" si="83"/>
        <v>147.33333333333303</v>
      </c>
      <c r="R315" s="20">
        <f t="shared" si="83"/>
        <v>156</v>
      </c>
      <c r="S315" s="20">
        <f t="shared" si="83"/>
        <v>164.66666666666697</v>
      </c>
      <c r="T315" s="21">
        <f t="shared" si="83"/>
        <v>138.66666666666606</v>
      </c>
      <c r="U315" s="21">
        <f t="shared" si="81"/>
        <v>147.33333333333303</v>
      </c>
      <c r="V315" s="21">
        <f t="shared" si="81"/>
        <v>156</v>
      </c>
      <c r="W315" s="22">
        <f t="shared" si="81"/>
        <v>130.00000000000045</v>
      </c>
      <c r="X315" s="22">
        <f t="shared" si="81"/>
        <v>138.66666666666606</v>
      </c>
      <c r="Y315" s="22">
        <f t="shared" si="81"/>
        <v>147.33333333333303</v>
      </c>
      <c r="Z315" s="23">
        <f t="shared" si="81"/>
        <v>121.33333333333348</v>
      </c>
      <c r="AA315" s="23">
        <f t="shared" si="81"/>
        <v>130.00000000000045</v>
      </c>
      <c r="AB315" s="23">
        <f t="shared" si="81"/>
        <v>138.66666666666606</v>
      </c>
      <c r="AC315" s="24">
        <f t="shared" si="81"/>
        <v>112.66666666666652</v>
      </c>
      <c r="AD315" s="24">
        <f t="shared" si="81"/>
        <v>121.33333333333348</v>
      </c>
      <c r="AE315" s="24">
        <f t="shared" si="81"/>
        <v>130.00000000000045</v>
      </c>
      <c r="AF315" s="25">
        <f t="shared" si="81"/>
        <v>104.00000000000023</v>
      </c>
      <c r="AG315" s="25">
        <f t="shared" si="81"/>
        <v>112.66666666666652</v>
      </c>
      <c r="AH315" s="25">
        <f t="shared" si="81"/>
        <v>121.33333333333348</v>
      </c>
      <c r="AI315" s="26">
        <f t="shared" si="81"/>
        <v>95.333333333333258</v>
      </c>
      <c r="AJ315" s="26">
        <f t="shared" si="84"/>
        <v>104.00000000000023</v>
      </c>
      <c r="AK315" s="26">
        <f t="shared" si="85"/>
        <v>112.66666666666652</v>
      </c>
    </row>
    <row r="316" spans="4:37" ht="20.100000000000001" customHeight="1">
      <c r="D316" s="27">
        <f t="shared" si="72"/>
        <v>0.86944444444444191</v>
      </c>
      <c r="E316" s="16">
        <f t="shared" si="83"/>
        <v>231.27222222222264</v>
      </c>
      <c r="F316" s="16">
        <f t="shared" si="83"/>
        <v>239.96666666666678</v>
      </c>
      <c r="G316" s="16">
        <f t="shared" si="83"/>
        <v>248.66111111111184</v>
      </c>
      <c r="H316" s="17">
        <f t="shared" si="83"/>
        <v>213.88333333333316</v>
      </c>
      <c r="I316" s="17">
        <f t="shared" si="83"/>
        <v>222.5777777777779</v>
      </c>
      <c r="J316" s="17">
        <f t="shared" si="83"/>
        <v>231.27222222222264</v>
      </c>
      <c r="K316" s="18">
        <f t="shared" si="83"/>
        <v>196.49444444444501</v>
      </c>
      <c r="L316" s="18">
        <f t="shared" si="83"/>
        <v>205.18888888888841</v>
      </c>
      <c r="M316" s="18">
        <f t="shared" si="83"/>
        <v>213.88333333333316</v>
      </c>
      <c r="N316" s="19">
        <f t="shared" si="83"/>
        <v>156.5</v>
      </c>
      <c r="O316" s="19">
        <f t="shared" si="83"/>
        <v>165.19444444444474</v>
      </c>
      <c r="P316" s="19">
        <f t="shared" si="83"/>
        <v>173.88888888888948</v>
      </c>
      <c r="Q316" s="20">
        <f t="shared" si="83"/>
        <v>147.80555555555526</v>
      </c>
      <c r="R316" s="20">
        <f t="shared" si="83"/>
        <v>156.5</v>
      </c>
      <c r="S316" s="20">
        <f t="shared" si="83"/>
        <v>165.19444444444474</v>
      </c>
      <c r="T316" s="21">
        <f t="shared" si="83"/>
        <v>139.11111111111052</v>
      </c>
      <c r="U316" s="21">
        <f t="shared" si="81"/>
        <v>147.80555555555526</v>
      </c>
      <c r="V316" s="21">
        <f t="shared" si="81"/>
        <v>156.5</v>
      </c>
      <c r="W316" s="22">
        <f t="shared" si="81"/>
        <v>130.41666666666711</v>
      </c>
      <c r="X316" s="22">
        <f t="shared" si="81"/>
        <v>139.11111111111052</v>
      </c>
      <c r="Y316" s="22">
        <f t="shared" si="81"/>
        <v>147.80555555555526</v>
      </c>
      <c r="Z316" s="23">
        <f t="shared" si="81"/>
        <v>121.72222222222237</v>
      </c>
      <c r="AA316" s="23">
        <f t="shared" si="81"/>
        <v>130.41666666666711</v>
      </c>
      <c r="AB316" s="23">
        <f t="shared" si="81"/>
        <v>139.11111111111052</v>
      </c>
      <c r="AC316" s="24">
        <f t="shared" si="81"/>
        <v>113.02777777777763</v>
      </c>
      <c r="AD316" s="24">
        <f t="shared" si="81"/>
        <v>121.72222222222237</v>
      </c>
      <c r="AE316" s="24">
        <f t="shared" si="81"/>
        <v>130.41666666666711</v>
      </c>
      <c r="AF316" s="25">
        <f t="shared" si="81"/>
        <v>104.33333333333356</v>
      </c>
      <c r="AG316" s="25">
        <f t="shared" si="81"/>
        <v>113.02777777777763</v>
      </c>
      <c r="AH316" s="25">
        <f t="shared" si="81"/>
        <v>121.72222222222237</v>
      </c>
      <c r="AI316" s="26">
        <f t="shared" si="81"/>
        <v>95.638888888888815</v>
      </c>
      <c r="AJ316" s="26">
        <f t="shared" si="84"/>
        <v>104.33333333333356</v>
      </c>
      <c r="AK316" s="26">
        <f t="shared" si="85"/>
        <v>113.02777777777763</v>
      </c>
    </row>
    <row r="317" spans="4:37" ht="20.100000000000001" customHeight="1">
      <c r="D317" s="27">
        <f t="shared" si="72"/>
        <v>0.87222222222221968</v>
      </c>
      <c r="E317" s="16">
        <f t="shared" si="83"/>
        <v>232.01111111111152</v>
      </c>
      <c r="F317" s="16">
        <f t="shared" si="83"/>
        <v>240.73333333333346</v>
      </c>
      <c r="G317" s="16">
        <f t="shared" si="83"/>
        <v>249.45555555555629</v>
      </c>
      <c r="H317" s="17">
        <f t="shared" si="83"/>
        <v>214.56666666666649</v>
      </c>
      <c r="I317" s="17">
        <f t="shared" si="83"/>
        <v>223.28888888888901</v>
      </c>
      <c r="J317" s="17">
        <f t="shared" si="83"/>
        <v>232.01111111111152</v>
      </c>
      <c r="K317" s="18">
        <f t="shared" si="83"/>
        <v>197.12222222222277</v>
      </c>
      <c r="L317" s="18">
        <f t="shared" si="83"/>
        <v>205.84444444444398</v>
      </c>
      <c r="M317" s="18">
        <f t="shared" si="83"/>
        <v>214.56666666666649</v>
      </c>
      <c r="N317" s="19">
        <f t="shared" si="83"/>
        <v>157</v>
      </c>
      <c r="O317" s="19">
        <f t="shared" si="83"/>
        <v>165.72222222222251</v>
      </c>
      <c r="P317" s="19">
        <f t="shared" si="83"/>
        <v>174.44444444444503</v>
      </c>
      <c r="Q317" s="20">
        <f t="shared" si="83"/>
        <v>148.27777777777749</v>
      </c>
      <c r="R317" s="20">
        <f t="shared" si="83"/>
        <v>157</v>
      </c>
      <c r="S317" s="20">
        <f t="shared" si="83"/>
        <v>165.72222222222251</v>
      </c>
      <c r="T317" s="21">
        <f t="shared" si="83"/>
        <v>139.55555555555497</v>
      </c>
      <c r="U317" s="21">
        <f t="shared" si="81"/>
        <v>148.27777777777749</v>
      </c>
      <c r="V317" s="21">
        <f t="shared" si="81"/>
        <v>157</v>
      </c>
      <c r="W317" s="22">
        <f t="shared" si="81"/>
        <v>130.83333333333377</v>
      </c>
      <c r="X317" s="22">
        <f t="shared" si="81"/>
        <v>139.55555555555497</v>
      </c>
      <c r="Y317" s="22">
        <f t="shared" si="81"/>
        <v>148.27777777777749</v>
      </c>
      <c r="Z317" s="23">
        <f t="shared" si="81"/>
        <v>122.11111111111126</v>
      </c>
      <c r="AA317" s="23">
        <f t="shared" si="81"/>
        <v>130.83333333333377</v>
      </c>
      <c r="AB317" s="23">
        <f t="shared" si="81"/>
        <v>139.55555555555497</v>
      </c>
      <c r="AC317" s="24">
        <f t="shared" si="81"/>
        <v>113.38888888888874</v>
      </c>
      <c r="AD317" s="24">
        <f t="shared" si="81"/>
        <v>122.11111111111126</v>
      </c>
      <c r="AE317" s="24">
        <f t="shared" si="81"/>
        <v>130.83333333333377</v>
      </c>
      <c r="AF317" s="25">
        <f t="shared" si="81"/>
        <v>104.66666666666688</v>
      </c>
      <c r="AG317" s="25">
        <f t="shared" si="81"/>
        <v>113.38888888888874</v>
      </c>
      <c r="AH317" s="25">
        <f t="shared" si="81"/>
        <v>122.11111111111126</v>
      </c>
      <c r="AI317" s="26">
        <f t="shared" si="81"/>
        <v>95.944444444444372</v>
      </c>
      <c r="AJ317" s="26">
        <f t="shared" si="84"/>
        <v>104.66666666666688</v>
      </c>
      <c r="AK317" s="26">
        <f t="shared" si="85"/>
        <v>113.38888888888874</v>
      </c>
    </row>
    <row r="318" spans="4:37" ht="20.100000000000001" customHeight="1">
      <c r="D318" s="27">
        <f t="shared" si="72"/>
        <v>0.87499999999999745</v>
      </c>
      <c r="E318" s="16">
        <f t="shared" si="83"/>
        <v>232.7500000000004</v>
      </c>
      <c r="F318" s="16">
        <f t="shared" si="83"/>
        <v>241.50000000000014</v>
      </c>
      <c r="G318" s="16">
        <f t="shared" si="83"/>
        <v>250.25000000000074</v>
      </c>
      <c r="H318" s="17">
        <f t="shared" si="83"/>
        <v>215.24999999999983</v>
      </c>
      <c r="I318" s="17">
        <f t="shared" si="83"/>
        <v>224.00000000000011</v>
      </c>
      <c r="J318" s="17">
        <f t="shared" si="83"/>
        <v>232.7500000000004</v>
      </c>
      <c r="K318" s="18">
        <f t="shared" si="83"/>
        <v>197.75000000000054</v>
      </c>
      <c r="L318" s="18">
        <f t="shared" si="83"/>
        <v>206.49999999999955</v>
      </c>
      <c r="M318" s="18">
        <f t="shared" si="83"/>
        <v>215.24999999999983</v>
      </c>
      <c r="N318" s="19">
        <f t="shared" si="83"/>
        <v>157.5</v>
      </c>
      <c r="O318" s="19">
        <f t="shared" si="83"/>
        <v>166.25000000000028</v>
      </c>
      <c r="P318" s="19">
        <f t="shared" si="83"/>
        <v>175.00000000000057</v>
      </c>
      <c r="Q318" s="20">
        <f t="shared" si="83"/>
        <v>148.74999999999972</v>
      </c>
      <c r="R318" s="20">
        <f t="shared" si="83"/>
        <v>157.5</v>
      </c>
      <c r="S318" s="20">
        <f t="shared" si="83"/>
        <v>166.25000000000028</v>
      </c>
      <c r="T318" s="21">
        <f t="shared" si="83"/>
        <v>139.99999999999943</v>
      </c>
      <c r="U318" s="21">
        <f t="shared" si="81"/>
        <v>148.74999999999972</v>
      </c>
      <c r="V318" s="21">
        <f t="shared" si="81"/>
        <v>157.5</v>
      </c>
      <c r="W318" s="22">
        <f t="shared" si="81"/>
        <v>131.25000000000043</v>
      </c>
      <c r="X318" s="22">
        <f t="shared" si="81"/>
        <v>139.99999999999943</v>
      </c>
      <c r="Y318" s="22">
        <f t="shared" si="81"/>
        <v>148.74999999999972</v>
      </c>
      <c r="Z318" s="23">
        <f t="shared" si="81"/>
        <v>122.50000000000014</v>
      </c>
      <c r="AA318" s="23">
        <f t="shared" si="81"/>
        <v>131.25000000000043</v>
      </c>
      <c r="AB318" s="23">
        <f t="shared" si="81"/>
        <v>139.99999999999943</v>
      </c>
      <c r="AC318" s="24">
        <f t="shared" si="81"/>
        <v>113.74999999999986</v>
      </c>
      <c r="AD318" s="24">
        <f t="shared" si="81"/>
        <v>122.50000000000014</v>
      </c>
      <c r="AE318" s="24">
        <f t="shared" si="81"/>
        <v>131.25000000000043</v>
      </c>
      <c r="AF318" s="25">
        <f t="shared" si="81"/>
        <v>105.00000000000021</v>
      </c>
      <c r="AG318" s="25">
        <f t="shared" si="81"/>
        <v>113.74999999999986</v>
      </c>
      <c r="AH318" s="25">
        <f t="shared" si="81"/>
        <v>122.50000000000014</v>
      </c>
      <c r="AI318" s="26">
        <f t="shared" si="81"/>
        <v>96.249999999999929</v>
      </c>
      <c r="AJ318" s="26">
        <f t="shared" si="84"/>
        <v>105.00000000000021</v>
      </c>
      <c r="AK318" s="26">
        <f t="shared" si="85"/>
        <v>113.74999999999986</v>
      </c>
    </row>
    <row r="319" spans="4:37" ht="20.100000000000001" customHeight="1">
      <c r="D319" s="27">
        <f t="shared" si="72"/>
        <v>0.87777777777777521</v>
      </c>
      <c r="E319" s="16">
        <f t="shared" si="83"/>
        <v>233.48888888888928</v>
      </c>
      <c r="F319" s="16">
        <f t="shared" si="83"/>
        <v>242.26666666666682</v>
      </c>
      <c r="G319" s="16">
        <f t="shared" si="83"/>
        <v>251.04444444444519</v>
      </c>
      <c r="H319" s="17">
        <f t="shared" si="83"/>
        <v>215.93333333333317</v>
      </c>
      <c r="I319" s="17">
        <f t="shared" si="83"/>
        <v>224.71111111111122</v>
      </c>
      <c r="J319" s="17">
        <f t="shared" si="83"/>
        <v>233.48888888888928</v>
      </c>
      <c r="K319" s="18">
        <f t="shared" si="83"/>
        <v>198.37777777777831</v>
      </c>
      <c r="L319" s="18">
        <f t="shared" si="83"/>
        <v>207.15555555555511</v>
      </c>
      <c r="M319" s="18">
        <f t="shared" si="83"/>
        <v>215.93333333333317</v>
      </c>
      <c r="N319" s="19">
        <f t="shared" si="83"/>
        <v>158</v>
      </c>
      <c r="O319" s="19">
        <f t="shared" si="83"/>
        <v>166.77777777777806</v>
      </c>
      <c r="P319" s="19">
        <f t="shared" si="83"/>
        <v>175.55555555555611</v>
      </c>
      <c r="Q319" s="20">
        <f t="shared" si="83"/>
        <v>149.22222222222194</v>
      </c>
      <c r="R319" s="20">
        <f t="shared" si="83"/>
        <v>158</v>
      </c>
      <c r="S319" s="20">
        <f t="shared" si="83"/>
        <v>166.77777777777806</v>
      </c>
      <c r="T319" s="21">
        <f t="shared" si="83"/>
        <v>140.44444444444389</v>
      </c>
      <c r="U319" s="21">
        <f t="shared" si="81"/>
        <v>149.22222222222194</v>
      </c>
      <c r="V319" s="21">
        <f t="shared" si="81"/>
        <v>158</v>
      </c>
      <c r="W319" s="22">
        <f t="shared" si="81"/>
        <v>131.66666666666708</v>
      </c>
      <c r="X319" s="22">
        <f t="shared" si="81"/>
        <v>140.44444444444389</v>
      </c>
      <c r="Y319" s="22">
        <f t="shared" si="81"/>
        <v>149.22222222222194</v>
      </c>
      <c r="Z319" s="23">
        <f t="shared" si="81"/>
        <v>122.88888888888903</v>
      </c>
      <c r="AA319" s="23">
        <f t="shared" si="81"/>
        <v>131.66666666666708</v>
      </c>
      <c r="AB319" s="23">
        <f t="shared" si="81"/>
        <v>140.44444444444389</v>
      </c>
      <c r="AC319" s="24">
        <f t="shared" si="81"/>
        <v>114.11111111111097</v>
      </c>
      <c r="AD319" s="24">
        <f t="shared" si="81"/>
        <v>122.88888888888903</v>
      </c>
      <c r="AE319" s="24">
        <f t="shared" si="81"/>
        <v>131.66666666666708</v>
      </c>
      <c r="AF319" s="25">
        <f t="shared" si="81"/>
        <v>105.33333333333354</v>
      </c>
      <c r="AG319" s="25">
        <f t="shared" si="81"/>
        <v>114.11111111111097</v>
      </c>
      <c r="AH319" s="25">
        <f t="shared" si="81"/>
        <v>122.88888888888903</v>
      </c>
      <c r="AI319" s="26">
        <f t="shared" si="81"/>
        <v>96.555555555555486</v>
      </c>
      <c r="AJ319" s="26">
        <f t="shared" si="84"/>
        <v>105.33333333333354</v>
      </c>
      <c r="AK319" s="26">
        <f t="shared" si="85"/>
        <v>114.11111111111097</v>
      </c>
    </row>
    <row r="320" spans="4:37" ht="20.100000000000001" customHeight="1">
      <c r="D320" s="27">
        <f t="shared" si="72"/>
        <v>0.88055555555555298</v>
      </c>
      <c r="E320" s="16">
        <f t="shared" si="83"/>
        <v>234.22777777777816</v>
      </c>
      <c r="F320" s="16">
        <f t="shared" si="83"/>
        <v>243.0333333333335</v>
      </c>
      <c r="G320" s="16">
        <f t="shared" si="83"/>
        <v>251.83888888888964</v>
      </c>
      <c r="H320" s="17">
        <f t="shared" si="83"/>
        <v>216.6166666666665</v>
      </c>
      <c r="I320" s="17">
        <f t="shared" si="83"/>
        <v>225.42222222222233</v>
      </c>
      <c r="J320" s="17">
        <f t="shared" si="83"/>
        <v>234.22777777777816</v>
      </c>
      <c r="K320" s="18">
        <f t="shared" si="83"/>
        <v>199.00555555555607</v>
      </c>
      <c r="L320" s="18">
        <f t="shared" si="83"/>
        <v>207.81111111111068</v>
      </c>
      <c r="M320" s="18">
        <f t="shared" si="83"/>
        <v>216.6166666666665</v>
      </c>
      <c r="N320" s="19">
        <f t="shared" si="83"/>
        <v>158.5</v>
      </c>
      <c r="O320" s="19">
        <f t="shared" si="83"/>
        <v>167.30555555555583</v>
      </c>
      <c r="P320" s="19">
        <f t="shared" si="83"/>
        <v>176.11111111111165</v>
      </c>
      <c r="Q320" s="20">
        <f t="shared" si="83"/>
        <v>149.69444444444417</v>
      </c>
      <c r="R320" s="20">
        <f t="shared" si="83"/>
        <v>158.5</v>
      </c>
      <c r="S320" s="20">
        <f t="shared" si="83"/>
        <v>167.30555555555583</v>
      </c>
      <c r="T320" s="21">
        <f t="shared" si="83"/>
        <v>140.88888888888835</v>
      </c>
      <c r="U320" s="21">
        <f t="shared" si="81"/>
        <v>149.69444444444417</v>
      </c>
      <c r="V320" s="21">
        <f t="shared" si="81"/>
        <v>158.5</v>
      </c>
      <c r="W320" s="22">
        <f t="shared" si="81"/>
        <v>132.08333333333374</v>
      </c>
      <c r="X320" s="22">
        <f t="shared" si="81"/>
        <v>140.88888888888835</v>
      </c>
      <c r="Y320" s="22">
        <f t="shared" si="81"/>
        <v>149.69444444444417</v>
      </c>
      <c r="Z320" s="23">
        <f t="shared" si="81"/>
        <v>123.27777777777791</v>
      </c>
      <c r="AA320" s="23">
        <f t="shared" si="81"/>
        <v>132.08333333333374</v>
      </c>
      <c r="AB320" s="23">
        <f t="shared" si="81"/>
        <v>140.88888888888835</v>
      </c>
      <c r="AC320" s="24">
        <f t="shared" si="81"/>
        <v>114.47222222222209</v>
      </c>
      <c r="AD320" s="24">
        <f t="shared" si="81"/>
        <v>123.27777777777791</v>
      </c>
      <c r="AE320" s="24">
        <f t="shared" si="81"/>
        <v>132.08333333333374</v>
      </c>
      <c r="AF320" s="25">
        <f t="shared" si="81"/>
        <v>105.66666666666687</v>
      </c>
      <c r="AG320" s="25">
        <f t="shared" si="81"/>
        <v>114.47222222222209</v>
      </c>
      <c r="AH320" s="25">
        <f t="shared" si="81"/>
        <v>123.27777777777791</v>
      </c>
      <c r="AI320" s="26">
        <f t="shared" si="81"/>
        <v>96.861111111111043</v>
      </c>
      <c r="AJ320" s="26">
        <f t="shared" si="84"/>
        <v>105.66666666666687</v>
      </c>
      <c r="AK320" s="26">
        <f t="shared" si="85"/>
        <v>114.47222222222209</v>
      </c>
    </row>
    <row r="321" spans="4:37" ht="20.100000000000001" customHeight="1">
      <c r="D321" s="27">
        <f t="shared" si="72"/>
        <v>0.88333333333333075</v>
      </c>
      <c r="E321" s="16">
        <f t="shared" si="83"/>
        <v>234.96666666666704</v>
      </c>
      <c r="F321" s="16">
        <f t="shared" si="83"/>
        <v>243.80000000000018</v>
      </c>
      <c r="G321" s="16">
        <f t="shared" si="83"/>
        <v>252.63333333333409</v>
      </c>
      <c r="H321" s="17">
        <f t="shared" si="83"/>
        <v>217.29999999999984</v>
      </c>
      <c r="I321" s="17">
        <f t="shared" si="83"/>
        <v>226.13333333333344</v>
      </c>
      <c r="J321" s="17">
        <f t="shared" si="83"/>
        <v>234.96666666666704</v>
      </c>
      <c r="K321" s="18">
        <f t="shared" si="83"/>
        <v>199.63333333333384</v>
      </c>
      <c r="L321" s="18">
        <f t="shared" si="83"/>
        <v>208.46666666666624</v>
      </c>
      <c r="M321" s="18">
        <f t="shared" si="83"/>
        <v>217.29999999999984</v>
      </c>
      <c r="N321" s="19">
        <f t="shared" si="83"/>
        <v>159</v>
      </c>
      <c r="O321" s="19">
        <f t="shared" si="83"/>
        <v>167.8333333333336</v>
      </c>
      <c r="P321" s="19">
        <f t="shared" si="83"/>
        <v>176.6666666666672</v>
      </c>
      <c r="Q321" s="20">
        <f t="shared" si="83"/>
        <v>150.1666666666664</v>
      </c>
      <c r="R321" s="20">
        <f t="shared" si="83"/>
        <v>159</v>
      </c>
      <c r="S321" s="20">
        <f t="shared" si="83"/>
        <v>167.8333333333336</v>
      </c>
      <c r="T321" s="21">
        <f t="shared" si="83"/>
        <v>141.3333333333328</v>
      </c>
      <c r="U321" s="21">
        <f t="shared" si="81"/>
        <v>150.1666666666664</v>
      </c>
      <c r="V321" s="21">
        <f t="shared" si="81"/>
        <v>159</v>
      </c>
      <c r="W321" s="22">
        <f t="shared" si="81"/>
        <v>132.5000000000004</v>
      </c>
      <c r="X321" s="22">
        <f t="shared" si="81"/>
        <v>141.3333333333328</v>
      </c>
      <c r="Y321" s="22">
        <f t="shared" si="81"/>
        <v>150.1666666666664</v>
      </c>
      <c r="Z321" s="23">
        <f t="shared" si="81"/>
        <v>123.6666666666668</v>
      </c>
      <c r="AA321" s="23">
        <f t="shared" si="81"/>
        <v>132.5000000000004</v>
      </c>
      <c r="AB321" s="23">
        <f t="shared" si="81"/>
        <v>141.3333333333328</v>
      </c>
      <c r="AC321" s="24">
        <f t="shared" si="81"/>
        <v>114.8333333333332</v>
      </c>
      <c r="AD321" s="24">
        <f t="shared" si="81"/>
        <v>123.6666666666668</v>
      </c>
      <c r="AE321" s="24">
        <f t="shared" si="81"/>
        <v>132.5000000000004</v>
      </c>
      <c r="AF321" s="25">
        <f t="shared" si="81"/>
        <v>106.0000000000002</v>
      </c>
      <c r="AG321" s="25">
        <f t="shared" si="81"/>
        <v>114.8333333333332</v>
      </c>
      <c r="AH321" s="25">
        <f t="shared" si="81"/>
        <v>123.6666666666668</v>
      </c>
      <c r="AI321" s="26">
        <f t="shared" si="81"/>
        <v>97.1666666666666</v>
      </c>
      <c r="AJ321" s="26">
        <f t="shared" si="84"/>
        <v>106.0000000000002</v>
      </c>
      <c r="AK321" s="26">
        <f t="shared" si="85"/>
        <v>114.8333333333332</v>
      </c>
    </row>
    <row r="322" spans="4:37" ht="20.100000000000001" customHeight="1">
      <c r="D322" s="27">
        <f t="shared" si="72"/>
        <v>0.88611111111110852</v>
      </c>
      <c r="E322" s="16">
        <f t="shared" si="83"/>
        <v>235.70555555555592</v>
      </c>
      <c r="F322" s="16">
        <f t="shared" si="83"/>
        <v>244.56666666666686</v>
      </c>
      <c r="G322" s="16">
        <f t="shared" si="83"/>
        <v>253.42777777777854</v>
      </c>
      <c r="H322" s="17">
        <f t="shared" si="83"/>
        <v>217.98333333333318</v>
      </c>
      <c r="I322" s="17">
        <f t="shared" si="83"/>
        <v>226.84444444444455</v>
      </c>
      <c r="J322" s="17">
        <f t="shared" si="83"/>
        <v>235.70555555555592</v>
      </c>
      <c r="K322" s="18">
        <f t="shared" si="83"/>
        <v>200.2611111111116</v>
      </c>
      <c r="L322" s="18">
        <f t="shared" si="83"/>
        <v>209.12222222222181</v>
      </c>
      <c r="M322" s="18">
        <f t="shared" si="83"/>
        <v>217.98333333333318</v>
      </c>
      <c r="N322" s="19">
        <f t="shared" si="83"/>
        <v>159.5</v>
      </c>
      <c r="O322" s="19">
        <f t="shared" si="83"/>
        <v>168.36111111111137</v>
      </c>
      <c r="P322" s="19">
        <f t="shared" si="83"/>
        <v>177.22222222222274</v>
      </c>
      <c r="Q322" s="20">
        <f t="shared" si="83"/>
        <v>150.63888888888863</v>
      </c>
      <c r="R322" s="20">
        <f t="shared" si="83"/>
        <v>159.5</v>
      </c>
      <c r="S322" s="20">
        <f t="shared" si="83"/>
        <v>168.36111111111137</v>
      </c>
      <c r="T322" s="21">
        <f t="shared" si="83"/>
        <v>141.77777777777726</v>
      </c>
      <c r="U322" s="21">
        <f t="shared" si="81"/>
        <v>150.63888888888863</v>
      </c>
      <c r="V322" s="21">
        <f t="shared" si="81"/>
        <v>159.5</v>
      </c>
      <c r="W322" s="22">
        <f t="shared" si="81"/>
        <v>132.91666666666706</v>
      </c>
      <c r="X322" s="22">
        <f t="shared" si="81"/>
        <v>141.77777777777726</v>
      </c>
      <c r="Y322" s="22">
        <f t="shared" si="81"/>
        <v>150.63888888888863</v>
      </c>
      <c r="Z322" s="23">
        <f t="shared" si="81"/>
        <v>124.05555555555569</v>
      </c>
      <c r="AA322" s="23">
        <f t="shared" si="81"/>
        <v>132.91666666666706</v>
      </c>
      <c r="AB322" s="23">
        <f t="shared" si="81"/>
        <v>141.77777777777726</v>
      </c>
      <c r="AC322" s="24">
        <f t="shared" si="81"/>
        <v>115.19444444444431</v>
      </c>
      <c r="AD322" s="24">
        <f t="shared" si="81"/>
        <v>124.05555555555569</v>
      </c>
      <c r="AE322" s="24">
        <f t="shared" si="81"/>
        <v>132.91666666666706</v>
      </c>
      <c r="AF322" s="25">
        <f t="shared" si="81"/>
        <v>106.33333333333353</v>
      </c>
      <c r="AG322" s="25">
        <f t="shared" si="81"/>
        <v>115.19444444444431</v>
      </c>
      <c r="AH322" s="25">
        <f t="shared" si="81"/>
        <v>124.05555555555569</v>
      </c>
      <c r="AI322" s="26">
        <f t="shared" si="81"/>
        <v>97.472222222222157</v>
      </c>
      <c r="AJ322" s="26">
        <f t="shared" si="84"/>
        <v>106.33333333333353</v>
      </c>
      <c r="AK322" s="26">
        <f t="shared" si="85"/>
        <v>115.19444444444431</v>
      </c>
    </row>
    <row r="323" spans="4:37" ht="20.100000000000001" customHeight="1">
      <c r="D323" s="27">
        <f t="shared" si="72"/>
        <v>0.88888888888888629</v>
      </c>
      <c r="E323" s="16">
        <f t="shared" si="83"/>
        <v>236.4444444444448</v>
      </c>
      <c r="F323" s="16">
        <f t="shared" si="83"/>
        <v>245.33333333333354</v>
      </c>
      <c r="G323" s="16">
        <f t="shared" si="83"/>
        <v>254.222222222223</v>
      </c>
      <c r="H323" s="17">
        <f t="shared" si="83"/>
        <v>218.66666666666652</v>
      </c>
      <c r="I323" s="17">
        <f t="shared" si="83"/>
        <v>227.55555555555566</v>
      </c>
      <c r="J323" s="17">
        <f t="shared" si="83"/>
        <v>236.4444444444448</v>
      </c>
      <c r="K323" s="18">
        <f t="shared" si="83"/>
        <v>200.88888888888937</v>
      </c>
      <c r="L323" s="18">
        <f t="shared" si="83"/>
        <v>209.77777777777737</v>
      </c>
      <c r="M323" s="18">
        <f t="shared" si="83"/>
        <v>218.66666666666652</v>
      </c>
      <c r="N323" s="19">
        <f t="shared" si="83"/>
        <v>160</v>
      </c>
      <c r="O323" s="19">
        <f t="shared" si="83"/>
        <v>168.88888888888914</v>
      </c>
      <c r="P323" s="19">
        <f t="shared" si="83"/>
        <v>177.77777777777828</v>
      </c>
      <c r="Q323" s="20">
        <f t="shared" si="83"/>
        <v>151.11111111111086</v>
      </c>
      <c r="R323" s="20">
        <f t="shared" si="83"/>
        <v>160</v>
      </c>
      <c r="S323" s="20">
        <f t="shared" si="83"/>
        <v>168.88888888888914</v>
      </c>
      <c r="T323" s="21">
        <f>T324-(T$363/360)</f>
        <v>142.22222222222172</v>
      </c>
      <c r="U323" s="21">
        <f t="shared" si="81"/>
        <v>151.11111111111086</v>
      </c>
      <c r="V323" s="21">
        <f t="shared" si="81"/>
        <v>160</v>
      </c>
      <c r="W323" s="22">
        <f t="shared" si="81"/>
        <v>133.33333333333371</v>
      </c>
      <c r="X323" s="22">
        <f t="shared" si="81"/>
        <v>142.22222222222172</v>
      </c>
      <c r="Y323" s="22">
        <f t="shared" si="81"/>
        <v>151.11111111111086</v>
      </c>
      <c r="Z323" s="23">
        <f t="shared" si="81"/>
        <v>124.44444444444457</v>
      </c>
      <c r="AA323" s="23">
        <f t="shared" si="81"/>
        <v>133.33333333333371</v>
      </c>
      <c r="AB323" s="23">
        <f t="shared" si="81"/>
        <v>142.22222222222172</v>
      </c>
      <c r="AC323" s="24">
        <f t="shared" si="81"/>
        <v>115.55555555555543</v>
      </c>
      <c r="AD323" s="24">
        <f t="shared" si="81"/>
        <v>124.44444444444457</v>
      </c>
      <c r="AE323" s="24">
        <f t="shared" si="81"/>
        <v>133.33333333333371</v>
      </c>
      <c r="AF323" s="25">
        <f t="shared" si="81"/>
        <v>106.66666666666686</v>
      </c>
      <c r="AG323" s="25">
        <f t="shared" si="81"/>
        <v>115.55555555555543</v>
      </c>
      <c r="AH323" s="25">
        <f t="shared" si="81"/>
        <v>124.44444444444457</v>
      </c>
      <c r="AI323" s="26">
        <f t="shared" si="81"/>
        <v>97.777777777777715</v>
      </c>
      <c r="AJ323" s="26">
        <f t="shared" si="84"/>
        <v>106.66666666666686</v>
      </c>
      <c r="AK323" s="26">
        <f t="shared" si="85"/>
        <v>115.55555555555543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237.18333333333368</v>
      </c>
      <c r="F324" s="16">
        <f t="shared" si="86"/>
        <v>246.10000000000022</v>
      </c>
      <c r="G324" s="16">
        <f t="shared" si="86"/>
        <v>255.01666666666745</v>
      </c>
      <c r="H324" s="17">
        <f t="shared" si="86"/>
        <v>219.34999999999985</v>
      </c>
      <c r="I324" s="17">
        <f t="shared" si="86"/>
        <v>228.26666666666677</v>
      </c>
      <c r="J324" s="17">
        <f t="shared" si="86"/>
        <v>237.18333333333368</v>
      </c>
      <c r="K324" s="18">
        <f t="shared" si="86"/>
        <v>201.51666666666713</v>
      </c>
      <c r="L324" s="18">
        <f t="shared" si="86"/>
        <v>210.43333333333294</v>
      </c>
      <c r="M324" s="18">
        <f t="shared" si="86"/>
        <v>219.34999999999985</v>
      </c>
      <c r="N324" s="19">
        <f t="shared" si="86"/>
        <v>160.5</v>
      </c>
      <c r="O324" s="19">
        <f t="shared" si="86"/>
        <v>169.41666666666691</v>
      </c>
      <c r="P324" s="19">
        <f t="shared" si="86"/>
        <v>178.33333333333383</v>
      </c>
      <c r="Q324" s="20">
        <f t="shared" si="86"/>
        <v>151.58333333333309</v>
      </c>
      <c r="R324" s="20">
        <f t="shared" si="86"/>
        <v>160.5</v>
      </c>
      <c r="S324" s="20">
        <f t="shared" si="86"/>
        <v>169.41666666666691</v>
      </c>
      <c r="T324" s="21">
        <f t="shared" si="86"/>
        <v>142.66666666666617</v>
      </c>
      <c r="U324" s="21">
        <f t="shared" ref="U324:AJ339" si="87">U325-(U$363/360)</f>
        <v>151.58333333333309</v>
      </c>
      <c r="V324" s="21">
        <f t="shared" si="87"/>
        <v>160.5</v>
      </c>
      <c r="W324" s="22">
        <f t="shared" si="87"/>
        <v>133.75000000000037</v>
      </c>
      <c r="X324" s="22">
        <f t="shared" si="87"/>
        <v>142.66666666666617</v>
      </c>
      <c r="Y324" s="22">
        <f t="shared" si="87"/>
        <v>151.58333333333309</v>
      </c>
      <c r="Z324" s="23">
        <f t="shared" si="87"/>
        <v>124.83333333333346</v>
      </c>
      <c r="AA324" s="23">
        <f t="shared" si="87"/>
        <v>133.75000000000037</v>
      </c>
      <c r="AB324" s="23">
        <f t="shared" si="87"/>
        <v>142.66666666666617</v>
      </c>
      <c r="AC324" s="24">
        <f t="shared" si="87"/>
        <v>115.91666666666654</v>
      </c>
      <c r="AD324" s="24">
        <f t="shared" si="87"/>
        <v>124.83333333333346</v>
      </c>
      <c r="AE324" s="24">
        <f t="shared" si="87"/>
        <v>133.75000000000037</v>
      </c>
      <c r="AF324" s="25">
        <f t="shared" si="87"/>
        <v>107.00000000000018</v>
      </c>
      <c r="AG324" s="25">
        <f t="shared" si="87"/>
        <v>115.91666666666654</v>
      </c>
      <c r="AH324" s="25">
        <f t="shared" si="87"/>
        <v>124.83333333333346</v>
      </c>
      <c r="AI324" s="26">
        <f t="shared" si="87"/>
        <v>98.083333333333272</v>
      </c>
      <c r="AJ324" s="26">
        <f t="shared" si="87"/>
        <v>107.00000000000018</v>
      </c>
      <c r="AK324" s="26">
        <f>AK325-(AK$363/360)</f>
        <v>115.91666666666654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237.92222222222256</v>
      </c>
      <c r="F325" s="16">
        <f t="shared" si="86"/>
        <v>246.8666666666669</v>
      </c>
      <c r="G325" s="16">
        <f t="shared" si="86"/>
        <v>255.8111111111119</v>
      </c>
      <c r="H325" s="17">
        <f t="shared" si="86"/>
        <v>220.03333333333319</v>
      </c>
      <c r="I325" s="17">
        <f t="shared" si="86"/>
        <v>228.97777777777787</v>
      </c>
      <c r="J325" s="17">
        <f t="shared" si="86"/>
        <v>237.92222222222256</v>
      </c>
      <c r="K325" s="18">
        <f t="shared" si="86"/>
        <v>202.1444444444449</v>
      </c>
      <c r="L325" s="18">
        <f t="shared" si="86"/>
        <v>211.0888888888885</v>
      </c>
      <c r="M325" s="18">
        <f t="shared" si="86"/>
        <v>220.03333333333319</v>
      </c>
      <c r="N325" s="19">
        <f t="shared" si="86"/>
        <v>161</v>
      </c>
      <c r="O325" s="19">
        <f t="shared" si="86"/>
        <v>169.94444444444468</v>
      </c>
      <c r="P325" s="19">
        <f t="shared" si="86"/>
        <v>178.88888888888937</v>
      </c>
      <c r="Q325" s="20">
        <f t="shared" si="86"/>
        <v>152.05555555555532</v>
      </c>
      <c r="R325" s="20">
        <f t="shared" si="86"/>
        <v>161</v>
      </c>
      <c r="S325" s="20">
        <f t="shared" si="86"/>
        <v>169.94444444444468</v>
      </c>
      <c r="T325" s="21">
        <f t="shared" si="86"/>
        <v>143.11111111111063</v>
      </c>
      <c r="U325" s="21">
        <f t="shared" si="87"/>
        <v>152.05555555555532</v>
      </c>
      <c r="V325" s="21">
        <f t="shared" si="87"/>
        <v>161</v>
      </c>
      <c r="W325" s="22">
        <f t="shared" si="87"/>
        <v>134.16666666666703</v>
      </c>
      <c r="X325" s="22">
        <f t="shared" si="87"/>
        <v>143.11111111111063</v>
      </c>
      <c r="Y325" s="22">
        <f t="shared" si="87"/>
        <v>152.05555555555532</v>
      </c>
      <c r="Z325" s="23">
        <f t="shared" si="87"/>
        <v>125.22222222222234</v>
      </c>
      <c r="AA325" s="23">
        <f t="shared" si="87"/>
        <v>134.16666666666703</v>
      </c>
      <c r="AB325" s="23">
        <f t="shared" si="87"/>
        <v>143.11111111111063</v>
      </c>
      <c r="AC325" s="24">
        <f t="shared" si="87"/>
        <v>116.27777777777766</v>
      </c>
      <c r="AD325" s="24">
        <f t="shared" si="87"/>
        <v>125.22222222222234</v>
      </c>
      <c r="AE325" s="24">
        <f t="shared" si="87"/>
        <v>134.16666666666703</v>
      </c>
      <c r="AF325" s="25">
        <f t="shared" si="87"/>
        <v>107.33333333333351</v>
      </c>
      <c r="AG325" s="25">
        <f t="shared" si="87"/>
        <v>116.27777777777766</v>
      </c>
      <c r="AH325" s="25">
        <f t="shared" si="87"/>
        <v>125.22222222222234</v>
      </c>
      <c r="AI325" s="26">
        <f t="shared" si="87"/>
        <v>98.388888888888829</v>
      </c>
      <c r="AJ325" s="26">
        <f t="shared" si="87"/>
        <v>107.33333333333351</v>
      </c>
      <c r="AK325" s="26">
        <f t="shared" ref="AK325:AK362" si="89">AK326-(AK$363/360)</f>
        <v>116.27777777777766</v>
      </c>
    </row>
    <row r="326" spans="4:37" ht="20.100000000000001" customHeight="1">
      <c r="D326" s="27">
        <f t="shared" si="88"/>
        <v>0.89722222222221959</v>
      </c>
      <c r="E326" s="16">
        <f t="shared" si="86"/>
        <v>238.66111111111144</v>
      </c>
      <c r="F326" s="16">
        <f t="shared" si="86"/>
        <v>247.63333333333358</v>
      </c>
      <c r="G326" s="16">
        <f t="shared" si="86"/>
        <v>256.60555555555635</v>
      </c>
      <c r="H326" s="17">
        <f t="shared" si="86"/>
        <v>220.71666666666653</v>
      </c>
      <c r="I326" s="17">
        <f t="shared" si="86"/>
        <v>229.68888888888898</v>
      </c>
      <c r="J326" s="17">
        <f t="shared" si="86"/>
        <v>238.66111111111144</v>
      </c>
      <c r="K326" s="18">
        <f t="shared" si="86"/>
        <v>202.77222222222267</v>
      </c>
      <c r="L326" s="18">
        <f t="shared" si="86"/>
        <v>211.74444444444407</v>
      </c>
      <c r="M326" s="18">
        <f t="shared" si="86"/>
        <v>220.71666666666653</v>
      </c>
      <c r="N326" s="19">
        <f t="shared" si="86"/>
        <v>161.5</v>
      </c>
      <c r="O326" s="19">
        <f t="shared" si="86"/>
        <v>170.47222222222246</v>
      </c>
      <c r="P326" s="19">
        <f t="shared" si="86"/>
        <v>179.44444444444491</v>
      </c>
      <c r="Q326" s="20">
        <f t="shared" si="86"/>
        <v>152.52777777777754</v>
      </c>
      <c r="R326" s="20">
        <f t="shared" si="86"/>
        <v>161.5</v>
      </c>
      <c r="S326" s="20">
        <f t="shared" si="86"/>
        <v>170.47222222222246</v>
      </c>
      <c r="T326" s="21">
        <f t="shared" si="86"/>
        <v>143.55555555555509</v>
      </c>
      <c r="U326" s="21">
        <f t="shared" si="87"/>
        <v>152.52777777777754</v>
      </c>
      <c r="V326" s="21">
        <f t="shared" si="87"/>
        <v>161.5</v>
      </c>
      <c r="W326" s="22">
        <f t="shared" si="87"/>
        <v>134.58333333333368</v>
      </c>
      <c r="X326" s="22">
        <f t="shared" si="87"/>
        <v>143.55555555555509</v>
      </c>
      <c r="Y326" s="22">
        <f t="shared" si="87"/>
        <v>152.52777777777754</v>
      </c>
      <c r="Z326" s="23">
        <f t="shared" si="87"/>
        <v>125.61111111111123</v>
      </c>
      <c r="AA326" s="23">
        <f t="shared" si="87"/>
        <v>134.58333333333368</v>
      </c>
      <c r="AB326" s="23">
        <f t="shared" si="87"/>
        <v>143.55555555555509</v>
      </c>
      <c r="AC326" s="24">
        <f t="shared" si="87"/>
        <v>116.63888888888877</v>
      </c>
      <c r="AD326" s="24">
        <f t="shared" si="87"/>
        <v>125.61111111111123</v>
      </c>
      <c r="AE326" s="24">
        <f t="shared" si="87"/>
        <v>134.58333333333368</v>
      </c>
      <c r="AF326" s="25">
        <f t="shared" si="87"/>
        <v>107.66666666666684</v>
      </c>
      <c r="AG326" s="25">
        <f t="shared" si="87"/>
        <v>116.63888888888877</v>
      </c>
      <c r="AH326" s="25">
        <f t="shared" si="87"/>
        <v>125.61111111111123</v>
      </c>
      <c r="AI326" s="26">
        <f t="shared" si="87"/>
        <v>98.694444444444386</v>
      </c>
      <c r="AJ326" s="26">
        <f t="shared" si="87"/>
        <v>107.66666666666684</v>
      </c>
      <c r="AK326" s="26">
        <f t="shared" si="89"/>
        <v>116.63888888888877</v>
      </c>
    </row>
    <row r="327" spans="4:37" ht="20.100000000000001" customHeight="1">
      <c r="D327" s="27">
        <f t="shared" si="88"/>
        <v>0.89999999999999736</v>
      </c>
      <c r="E327" s="16">
        <f t="shared" si="86"/>
        <v>239.40000000000032</v>
      </c>
      <c r="F327" s="16">
        <f t="shared" si="86"/>
        <v>248.40000000000026</v>
      </c>
      <c r="G327" s="16">
        <f t="shared" si="86"/>
        <v>257.40000000000077</v>
      </c>
      <c r="H327" s="17">
        <f t="shared" si="86"/>
        <v>221.39999999999986</v>
      </c>
      <c r="I327" s="17">
        <f t="shared" si="86"/>
        <v>230.40000000000009</v>
      </c>
      <c r="J327" s="17">
        <f t="shared" si="86"/>
        <v>239.40000000000032</v>
      </c>
      <c r="K327" s="18">
        <f t="shared" si="86"/>
        <v>203.40000000000043</v>
      </c>
      <c r="L327" s="18">
        <f t="shared" si="86"/>
        <v>212.39999999999964</v>
      </c>
      <c r="M327" s="18">
        <f t="shared" si="86"/>
        <v>221.39999999999986</v>
      </c>
      <c r="N327" s="19">
        <f t="shared" si="86"/>
        <v>162</v>
      </c>
      <c r="O327" s="19">
        <f t="shared" si="86"/>
        <v>171.00000000000023</v>
      </c>
      <c r="P327" s="19">
        <f t="shared" si="86"/>
        <v>180.00000000000045</v>
      </c>
      <c r="Q327" s="20">
        <f t="shared" si="86"/>
        <v>152.99999999999977</v>
      </c>
      <c r="R327" s="20">
        <f t="shared" si="86"/>
        <v>162</v>
      </c>
      <c r="S327" s="20">
        <f t="shared" si="86"/>
        <v>171.00000000000023</v>
      </c>
      <c r="T327" s="21">
        <f t="shared" si="86"/>
        <v>143.99999999999955</v>
      </c>
      <c r="U327" s="21">
        <f t="shared" si="87"/>
        <v>152.99999999999977</v>
      </c>
      <c r="V327" s="21">
        <f t="shared" si="87"/>
        <v>162</v>
      </c>
      <c r="W327" s="22">
        <f t="shared" si="87"/>
        <v>135.00000000000034</v>
      </c>
      <c r="X327" s="22">
        <f t="shared" si="87"/>
        <v>143.99999999999955</v>
      </c>
      <c r="Y327" s="22">
        <f t="shared" si="87"/>
        <v>152.99999999999977</v>
      </c>
      <c r="Z327" s="23">
        <f t="shared" si="87"/>
        <v>126.00000000000011</v>
      </c>
      <c r="AA327" s="23">
        <f t="shared" si="87"/>
        <v>135.00000000000034</v>
      </c>
      <c r="AB327" s="23">
        <f t="shared" si="87"/>
        <v>143.99999999999955</v>
      </c>
      <c r="AC327" s="24">
        <f t="shared" si="87"/>
        <v>116.99999999999989</v>
      </c>
      <c r="AD327" s="24">
        <f t="shared" si="87"/>
        <v>126.00000000000011</v>
      </c>
      <c r="AE327" s="24">
        <f t="shared" si="87"/>
        <v>135.00000000000034</v>
      </c>
      <c r="AF327" s="25">
        <f t="shared" si="87"/>
        <v>108.00000000000017</v>
      </c>
      <c r="AG327" s="25">
        <f t="shared" si="87"/>
        <v>116.99999999999989</v>
      </c>
      <c r="AH327" s="25">
        <f t="shared" si="87"/>
        <v>126.00000000000011</v>
      </c>
      <c r="AI327" s="26">
        <f t="shared" si="87"/>
        <v>98.999999999999943</v>
      </c>
      <c r="AJ327" s="26">
        <f t="shared" si="87"/>
        <v>108.00000000000017</v>
      </c>
      <c r="AK327" s="26">
        <f t="shared" si="89"/>
        <v>116.99999999999989</v>
      </c>
    </row>
    <row r="328" spans="4:37" ht="20.100000000000001" customHeight="1">
      <c r="D328" s="27">
        <f t="shared" si="88"/>
        <v>0.90277777777777513</v>
      </c>
      <c r="E328" s="16">
        <f t="shared" si="86"/>
        <v>240.1388888888892</v>
      </c>
      <c r="F328" s="16">
        <f t="shared" si="86"/>
        <v>249.16666666666694</v>
      </c>
      <c r="G328" s="16">
        <f t="shared" si="86"/>
        <v>258.1944444444452</v>
      </c>
      <c r="H328" s="17">
        <f t="shared" si="86"/>
        <v>222.0833333333332</v>
      </c>
      <c r="I328" s="17">
        <f t="shared" si="86"/>
        <v>231.1111111111112</v>
      </c>
      <c r="J328" s="17">
        <f t="shared" si="86"/>
        <v>240.1388888888892</v>
      </c>
      <c r="K328" s="18">
        <f t="shared" si="86"/>
        <v>204.0277777777782</v>
      </c>
      <c r="L328" s="18">
        <f t="shared" si="86"/>
        <v>213.0555555555552</v>
      </c>
      <c r="M328" s="18">
        <f t="shared" si="86"/>
        <v>222.0833333333332</v>
      </c>
      <c r="N328" s="19">
        <f t="shared" si="86"/>
        <v>162.5</v>
      </c>
      <c r="O328" s="19">
        <f t="shared" si="86"/>
        <v>171.527777777778</v>
      </c>
      <c r="P328" s="19">
        <f t="shared" si="86"/>
        <v>180.555555555556</v>
      </c>
      <c r="Q328" s="20">
        <f t="shared" si="86"/>
        <v>153.472222222222</v>
      </c>
      <c r="R328" s="20">
        <f t="shared" si="86"/>
        <v>162.5</v>
      </c>
      <c r="S328" s="20">
        <f t="shared" si="86"/>
        <v>171.527777777778</v>
      </c>
      <c r="T328" s="21">
        <f t="shared" si="86"/>
        <v>144.444444444444</v>
      </c>
      <c r="U328" s="21">
        <f t="shared" si="87"/>
        <v>153.472222222222</v>
      </c>
      <c r="V328" s="21">
        <f t="shared" si="87"/>
        <v>162.5</v>
      </c>
      <c r="W328" s="22">
        <f t="shared" si="87"/>
        <v>135.416666666667</v>
      </c>
      <c r="X328" s="22">
        <f t="shared" si="87"/>
        <v>144.444444444444</v>
      </c>
      <c r="Y328" s="22">
        <f t="shared" si="87"/>
        <v>153.472222222222</v>
      </c>
      <c r="Z328" s="23">
        <f t="shared" si="87"/>
        <v>126.388888888889</v>
      </c>
      <c r="AA328" s="23">
        <f t="shared" si="87"/>
        <v>135.416666666667</v>
      </c>
      <c r="AB328" s="23">
        <f t="shared" si="87"/>
        <v>144.444444444444</v>
      </c>
      <c r="AC328" s="24">
        <f t="shared" si="87"/>
        <v>117.361111111111</v>
      </c>
      <c r="AD328" s="24">
        <f t="shared" si="87"/>
        <v>126.388888888889</v>
      </c>
      <c r="AE328" s="24">
        <f t="shared" si="87"/>
        <v>135.416666666667</v>
      </c>
      <c r="AF328" s="25">
        <f t="shared" si="87"/>
        <v>108.3333333333335</v>
      </c>
      <c r="AG328" s="25">
        <f t="shared" si="87"/>
        <v>117.361111111111</v>
      </c>
      <c r="AH328" s="25">
        <f t="shared" si="87"/>
        <v>126.388888888889</v>
      </c>
      <c r="AI328" s="26">
        <f t="shared" si="87"/>
        <v>99.3055555555555</v>
      </c>
      <c r="AJ328" s="26">
        <f t="shared" si="87"/>
        <v>108.3333333333335</v>
      </c>
      <c r="AK328" s="26">
        <f t="shared" si="89"/>
        <v>117.361111111111</v>
      </c>
    </row>
    <row r="329" spans="4:37" ht="20.100000000000001" customHeight="1">
      <c r="D329" s="27">
        <f t="shared" si="88"/>
        <v>0.90555555555555289</v>
      </c>
      <c r="E329" s="16">
        <f t="shared" si="86"/>
        <v>240.87777777777808</v>
      </c>
      <c r="F329" s="16">
        <f t="shared" si="86"/>
        <v>249.93333333333362</v>
      </c>
      <c r="G329" s="16">
        <f t="shared" si="86"/>
        <v>258.98888888888962</v>
      </c>
      <c r="H329" s="17">
        <f t="shared" si="86"/>
        <v>222.76666666666654</v>
      </c>
      <c r="I329" s="17">
        <f t="shared" si="86"/>
        <v>231.82222222222231</v>
      </c>
      <c r="J329" s="17">
        <f t="shared" si="86"/>
        <v>240.87777777777808</v>
      </c>
      <c r="K329" s="18">
        <f t="shared" si="86"/>
        <v>204.65555555555596</v>
      </c>
      <c r="L329" s="18">
        <f t="shared" si="86"/>
        <v>213.71111111111077</v>
      </c>
      <c r="M329" s="18">
        <f t="shared" si="86"/>
        <v>222.76666666666654</v>
      </c>
      <c r="N329" s="19">
        <f t="shared" si="86"/>
        <v>163</v>
      </c>
      <c r="O329" s="19">
        <f t="shared" si="86"/>
        <v>172.05555555555577</v>
      </c>
      <c r="P329" s="19">
        <f t="shared" si="86"/>
        <v>181.11111111111154</v>
      </c>
      <c r="Q329" s="20">
        <f t="shared" si="86"/>
        <v>153.94444444444423</v>
      </c>
      <c r="R329" s="20">
        <f t="shared" si="86"/>
        <v>163</v>
      </c>
      <c r="S329" s="20">
        <f t="shared" si="86"/>
        <v>172.05555555555577</v>
      </c>
      <c r="T329" s="21">
        <f t="shared" si="86"/>
        <v>144.88888888888846</v>
      </c>
      <c r="U329" s="21">
        <f t="shared" si="87"/>
        <v>153.94444444444423</v>
      </c>
      <c r="V329" s="21">
        <f t="shared" si="87"/>
        <v>163</v>
      </c>
      <c r="W329" s="22">
        <f t="shared" si="87"/>
        <v>135.83333333333366</v>
      </c>
      <c r="X329" s="22">
        <f t="shared" si="87"/>
        <v>144.88888888888846</v>
      </c>
      <c r="Y329" s="22">
        <f t="shared" si="87"/>
        <v>153.94444444444423</v>
      </c>
      <c r="Z329" s="23">
        <f t="shared" si="87"/>
        <v>126.77777777777789</v>
      </c>
      <c r="AA329" s="23">
        <f t="shared" si="87"/>
        <v>135.83333333333366</v>
      </c>
      <c r="AB329" s="23">
        <f t="shared" si="87"/>
        <v>144.88888888888846</v>
      </c>
      <c r="AC329" s="24">
        <f t="shared" si="87"/>
        <v>117.72222222222211</v>
      </c>
      <c r="AD329" s="24">
        <f t="shared" si="87"/>
        <v>126.77777777777789</v>
      </c>
      <c r="AE329" s="24">
        <f t="shared" si="87"/>
        <v>135.83333333333366</v>
      </c>
      <c r="AF329" s="25">
        <f t="shared" si="87"/>
        <v>108.66666666666683</v>
      </c>
      <c r="AG329" s="25">
        <f t="shared" si="87"/>
        <v>117.72222222222211</v>
      </c>
      <c r="AH329" s="25">
        <f t="shared" si="87"/>
        <v>126.77777777777789</v>
      </c>
      <c r="AI329" s="26">
        <f t="shared" si="87"/>
        <v>99.611111111111057</v>
      </c>
      <c r="AJ329" s="26">
        <f t="shared" si="87"/>
        <v>108.66666666666683</v>
      </c>
      <c r="AK329" s="26">
        <f t="shared" si="89"/>
        <v>117.72222222222211</v>
      </c>
    </row>
    <row r="330" spans="4:37" ht="20.100000000000001" customHeight="1">
      <c r="D330" s="27">
        <f t="shared" si="88"/>
        <v>0.90833333333333066</v>
      </c>
      <c r="E330" s="16">
        <f t="shared" si="86"/>
        <v>241.61666666666696</v>
      </c>
      <c r="F330" s="16">
        <f t="shared" si="86"/>
        <v>250.7000000000003</v>
      </c>
      <c r="G330" s="16">
        <f t="shared" si="86"/>
        <v>259.78333333333404</v>
      </c>
      <c r="H330" s="17">
        <f t="shared" si="86"/>
        <v>223.44999999999987</v>
      </c>
      <c r="I330" s="17">
        <f t="shared" si="86"/>
        <v>232.53333333333342</v>
      </c>
      <c r="J330" s="17">
        <f t="shared" si="86"/>
        <v>241.61666666666696</v>
      </c>
      <c r="K330" s="18">
        <f t="shared" si="86"/>
        <v>205.28333333333373</v>
      </c>
      <c r="L330" s="18">
        <f t="shared" si="86"/>
        <v>214.36666666666633</v>
      </c>
      <c r="M330" s="18">
        <f t="shared" si="86"/>
        <v>223.44999999999987</v>
      </c>
      <c r="N330" s="19">
        <f t="shared" si="86"/>
        <v>163.5</v>
      </c>
      <c r="O330" s="19">
        <f t="shared" si="86"/>
        <v>172.58333333333354</v>
      </c>
      <c r="P330" s="19">
        <f t="shared" si="86"/>
        <v>181.66666666666708</v>
      </c>
      <c r="Q330" s="20">
        <f t="shared" si="86"/>
        <v>154.41666666666646</v>
      </c>
      <c r="R330" s="20">
        <f t="shared" si="86"/>
        <v>163.5</v>
      </c>
      <c r="S330" s="20">
        <f t="shared" si="86"/>
        <v>172.58333333333354</v>
      </c>
      <c r="T330" s="21">
        <f t="shared" si="86"/>
        <v>145.33333333333292</v>
      </c>
      <c r="U330" s="21">
        <f t="shared" si="87"/>
        <v>154.41666666666646</v>
      </c>
      <c r="V330" s="21">
        <f t="shared" si="87"/>
        <v>163.5</v>
      </c>
      <c r="W330" s="22">
        <f t="shared" si="87"/>
        <v>136.25000000000031</v>
      </c>
      <c r="X330" s="22">
        <f t="shared" si="87"/>
        <v>145.33333333333292</v>
      </c>
      <c r="Y330" s="22">
        <f t="shared" si="87"/>
        <v>154.41666666666646</v>
      </c>
      <c r="Z330" s="23">
        <f t="shared" si="87"/>
        <v>127.16666666666677</v>
      </c>
      <c r="AA330" s="23">
        <f t="shared" si="87"/>
        <v>136.25000000000031</v>
      </c>
      <c r="AB330" s="23">
        <f t="shared" si="87"/>
        <v>145.33333333333292</v>
      </c>
      <c r="AC330" s="24">
        <f t="shared" si="87"/>
        <v>118.08333333333323</v>
      </c>
      <c r="AD330" s="24">
        <f t="shared" si="87"/>
        <v>127.16666666666677</v>
      </c>
      <c r="AE330" s="24">
        <f t="shared" si="87"/>
        <v>136.25000000000031</v>
      </c>
      <c r="AF330" s="25">
        <f t="shared" si="87"/>
        <v>109.00000000000016</v>
      </c>
      <c r="AG330" s="25">
        <f t="shared" si="87"/>
        <v>118.08333333333323</v>
      </c>
      <c r="AH330" s="25">
        <f t="shared" si="87"/>
        <v>127.16666666666677</v>
      </c>
      <c r="AI330" s="26">
        <f t="shared" si="87"/>
        <v>99.916666666666615</v>
      </c>
      <c r="AJ330" s="26">
        <f t="shared" si="87"/>
        <v>109.00000000000016</v>
      </c>
      <c r="AK330" s="26">
        <f t="shared" si="89"/>
        <v>118.08333333333323</v>
      </c>
    </row>
    <row r="331" spans="4:37" ht="20.100000000000001" customHeight="1">
      <c r="D331" s="27">
        <f t="shared" si="88"/>
        <v>0.91111111111110843</v>
      </c>
      <c r="E331" s="16">
        <f t="shared" si="86"/>
        <v>242.35555555555584</v>
      </c>
      <c r="F331" s="16">
        <f t="shared" si="86"/>
        <v>251.46666666666698</v>
      </c>
      <c r="G331" s="16">
        <f t="shared" si="86"/>
        <v>260.57777777777846</v>
      </c>
      <c r="H331" s="17">
        <f t="shared" si="86"/>
        <v>224.13333333333321</v>
      </c>
      <c r="I331" s="17">
        <f t="shared" si="86"/>
        <v>233.24444444444453</v>
      </c>
      <c r="J331" s="17">
        <f t="shared" si="86"/>
        <v>242.35555555555584</v>
      </c>
      <c r="K331" s="18">
        <f t="shared" si="86"/>
        <v>205.9111111111115</v>
      </c>
      <c r="L331" s="18">
        <f t="shared" si="86"/>
        <v>215.0222222222219</v>
      </c>
      <c r="M331" s="18">
        <f t="shared" si="86"/>
        <v>224.13333333333321</v>
      </c>
      <c r="N331" s="19">
        <f t="shared" si="86"/>
        <v>164</v>
      </c>
      <c r="O331" s="19">
        <f t="shared" si="86"/>
        <v>173.11111111111131</v>
      </c>
      <c r="P331" s="19">
        <f t="shared" si="86"/>
        <v>182.22222222222263</v>
      </c>
      <c r="Q331" s="20">
        <f t="shared" si="86"/>
        <v>154.88888888888869</v>
      </c>
      <c r="R331" s="20">
        <f t="shared" si="86"/>
        <v>164</v>
      </c>
      <c r="S331" s="20">
        <f t="shared" si="86"/>
        <v>173.11111111111131</v>
      </c>
      <c r="T331" s="21">
        <f t="shared" si="86"/>
        <v>145.77777777777737</v>
      </c>
      <c r="U331" s="21">
        <f t="shared" si="87"/>
        <v>154.88888888888869</v>
      </c>
      <c r="V331" s="21">
        <f t="shared" si="87"/>
        <v>164</v>
      </c>
      <c r="W331" s="22">
        <f t="shared" si="87"/>
        <v>136.66666666666697</v>
      </c>
      <c r="X331" s="22">
        <f t="shared" si="87"/>
        <v>145.77777777777737</v>
      </c>
      <c r="Y331" s="22">
        <f t="shared" si="87"/>
        <v>154.88888888888869</v>
      </c>
      <c r="Z331" s="23">
        <f t="shared" si="87"/>
        <v>127.55555555555566</v>
      </c>
      <c r="AA331" s="23">
        <f t="shared" si="87"/>
        <v>136.66666666666697</v>
      </c>
      <c r="AB331" s="23">
        <f t="shared" si="87"/>
        <v>145.77777777777737</v>
      </c>
      <c r="AC331" s="24">
        <f t="shared" si="87"/>
        <v>118.44444444444434</v>
      </c>
      <c r="AD331" s="24">
        <f t="shared" si="87"/>
        <v>127.55555555555566</v>
      </c>
      <c r="AE331" s="24">
        <f t="shared" si="87"/>
        <v>136.66666666666697</v>
      </c>
      <c r="AF331" s="25">
        <f t="shared" si="87"/>
        <v>109.33333333333348</v>
      </c>
      <c r="AG331" s="25">
        <f t="shared" si="87"/>
        <v>118.44444444444434</v>
      </c>
      <c r="AH331" s="25">
        <f t="shared" si="87"/>
        <v>127.55555555555566</v>
      </c>
      <c r="AI331" s="26">
        <f t="shared" si="87"/>
        <v>100.22222222222217</v>
      </c>
      <c r="AJ331" s="26">
        <f t="shared" si="87"/>
        <v>109.33333333333348</v>
      </c>
      <c r="AK331" s="26">
        <f t="shared" si="89"/>
        <v>118.44444444444434</v>
      </c>
    </row>
    <row r="332" spans="4:37" ht="20.100000000000001" customHeight="1">
      <c r="D332" s="27">
        <f t="shared" si="88"/>
        <v>0.9138888888888862</v>
      </c>
      <c r="E332" s="16">
        <f t="shared" si="86"/>
        <v>243.09444444444472</v>
      </c>
      <c r="F332" s="16">
        <f t="shared" si="86"/>
        <v>252.23333333333366</v>
      </c>
      <c r="G332" s="16">
        <f t="shared" si="86"/>
        <v>261.37222222222289</v>
      </c>
      <c r="H332" s="17">
        <f t="shared" si="86"/>
        <v>224.81666666666655</v>
      </c>
      <c r="I332" s="17">
        <f t="shared" si="86"/>
        <v>233.95555555555563</v>
      </c>
      <c r="J332" s="17">
        <f t="shared" si="86"/>
        <v>243.09444444444472</v>
      </c>
      <c r="K332" s="18">
        <f t="shared" si="86"/>
        <v>206.53888888888926</v>
      </c>
      <c r="L332" s="18">
        <f t="shared" si="86"/>
        <v>215.67777777777746</v>
      </c>
      <c r="M332" s="18">
        <f t="shared" si="86"/>
        <v>224.81666666666655</v>
      </c>
      <c r="N332" s="19">
        <f t="shared" si="86"/>
        <v>164.5</v>
      </c>
      <c r="O332" s="19">
        <f t="shared" si="86"/>
        <v>173.63888888888908</v>
      </c>
      <c r="P332" s="19">
        <f t="shared" si="86"/>
        <v>182.77777777777817</v>
      </c>
      <c r="Q332" s="20">
        <f t="shared" si="86"/>
        <v>155.36111111111092</v>
      </c>
      <c r="R332" s="20">
        <f t="shared" si="86"/>
        <v>164.5</v>
      </c>
      <c r="S332" s="20">
        <f t="shared" si="86"/>
        <v>173.63888888888908</v>
      </c>
      <c r="T332" s="21">
        <f t="shared" si="86"/>
        <v>146.22222222222183</v>
      </c>
      <c r="U332" s="21">
        <f t="shared" si="87"/>
        <v>155.36111111111092</v>
      </c>
      <c r="V332" s="21">
        <f t="shared" si="87"/>
        <v>164.5</v>
      </c>
      <c r="W332" s="22">
        <f t="shared" si="87"/>
        <v>137.08333333333363</v>
      </c>
      <c r="X332" s="22">
        <f t="shared" si="87"/>
        <v>146.22222222222183</v>
      </c>
      <c r="Y332" s="22">
        <f t="shared" si="87"/>
        <v>155.36111111111092</v>
      </c>
      <c r="Z332" s="23">
        <f t="shared" si="87"/>
        <v>127.94444444444454</v>
      </c>
      <c r="AA332" s="23">
        <f t="shared" si="87"/>
        <v>137.08333333333363</v>
      </c>
      <c r="AB332" s="23">
        <f t="shared" si="87"/>
        <v>146.22222222222183</v>
      </c>
      <c r="AC332" s="24">
        <f t="shared" si="87"/>
        <v>118.80555555555546</v>
      </c>
      <c r="AD332" s="24">
        <f t="shared" si="87"/>
        <v>127.94444444444454</v>
      </c>
      <c r="AE332" s="24">
        <f t="shared" si="87"/>
        <v>137.08333333333363</v>
      </c>
      <c r="AF332" s="25">
        <f t="shared" si="87"/>
        <v>109.66666666666681</v>
      </c>
      <c r="AG332" s="25">
        <f t="shared" si="87"/>
        <v>118.80555555555546</v>
      </c>
      <c r="AH332" s="25">
        <f t="shared" si="87"/>
        <v>127.94444444444454</v>
      </c>
      <c r="AI332" s="26">
        <f t="shared" si="87"/>
        <v>100.52777777777773</v>
      </c>
      <c r="AJ332" s="26">
        <f t="shared" si="87"/>
        <v>109.66666666666681</v>
      </c>
      <c r="AK332" s="26">
        <f t="shared" si="89"/>
        <v>118.80555555555546</v>
      </c>
    </row>
    <row r="333" spans="4:37" ht="20.100000000000001" customHeight="1">
      <c r="D333" s="27">
        <f t="shared" si="88"/>
        <v>0.91666666666666397</v>
      </c>
      <c r="E333" s="16">
        <f t="shared" si="86"/>
        <v>243.8333333333336</v>
      </c>
      <c r="F333" s="16">
        <f t="shared" si="86"/>
        <v>253.00000000000034</v>
      </c>
      <c r="G333" s="16">
        <f t="shared" si="86"/>
        <v>262.16666666666731</v>
      </c>
      <c r="H333" s="17">
        <f t="shared" si="86"/>
        <v>225.49999999999989</v>
      </c>
      <c r="I333" s="17">
        <f t="shared" si="86"/>
        <v>234.66666666666674</v>
      </c>
      <c r="J333" s="17">
        <f t="shared" si="86"/>
        <v>243.8333333333336</v>
      </c>
      <c r="K333" s="18">
        <f t="shared" si="86"/>
        <v>207.16666666666703</v>
      </c>
      <c r="L333" s="18">
        <f t="shared" si="86"/>
        <v>216.33333333333303</v>
      </c>
      <c r="M333" s="18">
        <f t="shared" si="86"/>
        <v>225.49999999999989</v>
      </c>
      <c r="N333" s="19">
        <f t="shared" si="86"/>
        <v>165</v>
      </c>
      <c r="O333" s="19">
        <f t="shared" si="86"/>
        <v>174.16666666666686</v>
      </c>
      <c r="P333" s="19">
        <f t="shared" si="86"/>
        <v>183.33333333333371</v>
      </c>
      <c r="Q333" s="20">
        <f t="shared" si="86"/>
        <v>155.83333333333314</v>
      </c>
      <c r="R333" s="20">
        <f t="shared" si="86"/>
        <v>165</v>
      </c>
      <c r="S333" s="20">
        <f t="shared" si="86"/>
        <v>174.16666666666686</v>
      </c>
      <c r="T333" s="21">
        <f t="shared" si="86"/>
        <v>146.66666666666629</v>
      </c>
      <c r="U333" s="21">
        <f t="shared" si="87"/>
        <v>155.83333333333314</v>
      </c>
      <c r="V333" s="21">
        <f t="shared" si="87"/>
        <v>165</v>
      </c>
      <c r="W333" s="22">
        <f t="shared" si="87"/>
        <v>137.50000000000028</v>
      </c>
      <c r="X333" s="22">
        <f t="shared" si="87"/>
        <v>146.66666666666629</v>
      </c>
      <c r="Y333" s="22">
        <f t="shared" si="87"/>
        <v>155.83333333333314</v>
      </c>
      <c r="Z333" s="23">
        <f t="shared" si="87"/>
        <v>128.33333333333343</v>
      </c>
      <c r="AA333" s="23">
        <f t="shared" si="87"/>
        <v>137.50000000000028</v>
      </c>
      <c r="AB333" s="23">
        <f t="shared" si="87"/>
        <v>146.66666666666629</v>
      </c>
      <c r="AC333" s="24">
        <f t="shared" si="87"/>
        <v>119.16666666666657</v>
      </c>
      <c r="AD333" s="24">
        <f t="shared" si="87"/>
        <v>128.33333333333343</v>
      </c>
      <c r="AE333" s="24">
        <f t="shared" si="87"/>
        <v>137.50000000000028</v>
      </c>
      <c r="AF333" s="25">
        <f t="shared" si="87"/>
        <v>110.00000000000014</v>
      </c>
      <c r="AG333" s="25">
        <f t="shared" si="87"/>
        <v>119.16666666666657</v>
      </c>
      <c r="AH333" s="25">
        <f t="shared" si="87"/>
        <v>128.33333333333343</v>
      </c>
      <c r="AI333" s="26">
        <f t="shared" si="87"/>
        <v>100.83333333333329</v>
      </c>
      <c r="AJ333" s="26">
        <f t="shared" si="87"/>
        <v>110.00000000000014</v>
      </c>
      <c r="AK333" s="26">
        <f t="shared" si="89"/>
        <v>119.16666666666657</v>
      </c>
    </row>
    <row r="334" spans="4:37" ht="20.100000000000001" customHeight="1">
      <c r="D334" s="27">
        <f t="shared" si="88"/>
        <v>0.91944444444444173</v>
      </c>
      <c r="E334" s="16">
        <f t="shared" si="86"/>
        <v>244.57222222222248</v>
      </c>
      <c r="F334" s="16">
        <f t="shared" si="86"/>
        <v>253.76666666666702</v>
      </c>
      <c r="G334" s="16">
        <f t="shared" si="86"/>
        <v>262.96111111111173</v>
      </c>
      <c r="H334" s="17">
        <f t="shared" si="86"/>
        <v>226.18333333333322</v>
      </c>
      <c r="I334" s="17">
        <f t="shared" si="86"/>
        <v>235.37777777777785</v>
      </c>
      <c r="J334" s="17">
        <f t="shared" si="86"/>
        <v>244.57222222222248</v>
      </c>
      <c r="K334" s="18">
        <f t="shared" si="86"/>
        <v>207.79444444444479</v>
      </c>
      <c r="L334" s="18">
        <f t="shared" si="86"/>
        <v>216.9888888888886</v>
      </c>
      <c r="M334" s="18">
        <f t="shared" si="86"/>
        <v>226.18333333333322</v>
      </c>
      <c r="N334" s="19">
        <f t="shared" si="86"/>
        <v>165.5</v>
      </c>
      <c r="O334" s="19">
        <f t="shared" si="86"/>
        <v>174.69444444444463</v>
      </c>
      <c r="P334" s="19">
        <f t="shared" si="86"/>
        <v>183.88888888888926</v>
      </c>
      <c r="Q334" s="20">
        <f t="shared" si="86"/>
        <v>156.30555555555537</v>
      </c>
      <c r="R334" s="20">
        <f t="shared" si="86"/>
        <v>165.5</v>
      </c>
      <c r="S334" s="20">
        <f t="shared" si="86"/>
        <v>174.69444444444463</v>
      </c>
      <c r="T334" s="21">
        <f t="shared" si="86"/>
        <v>147.11111111111074</v>
      </c>
      <c r="U334" s="21">
        <f t="shared" si="87"/>
        <v>156.30555555555537</v>
      </c>
      <c r="V334" s="21">
        <f t="shared" si="87"/>
        <v>165.5</v>
      </c>
      <c r="W334" s="22">
        <f t="shared" si="87"/>
        <v>137.91666666666694</v>
      </c>
      <c r="X334" s="22">
        <f t="shared" si="87"/>
        <v>147.11111111111074</v>
      </c>
      <c r="Y334" s="22">
        <f t="shared" si="87"/>
        <v>156.30555555555537</v>
      </c>
      <c r="Z334" s="23">
        <f t="shared" si="87"/>
        <v>128.72222222222231</v>
      </c>
      <c r="AA334" s="23">
        <f t="shared" si="87"/>
        <v>137.91666666666694</v>
      </c>
      <c r="AB334" s="23">
        <f t="shared" si="87"/>
        <v>147.11111111111074</v>
      </c>
      <c r="AC334" s="24">
        <f t="shared" si="87"/>
        <v>119.52777777777769</v>
      </c>
      <c r="AD334" s="24">
        <f t="shared" si="87"/>
        <v>128.72222222222231</v>
      </c>
      <c r="AE334" s="24">
        <f t="shared" si="87"/>
        <v>137.91666666666694</v>
      </c>
      <c r="AF334" s="25">
        <f t="shared" si="87"/>
        <v>110.33333333333347</v>
      </c>
      <c r="AG334" s="25">
        <f t="shared" si="87"/>
        <v>119.52777777777769</v>
      </c>
      <c r="AH334" s="25">
        <f t="shared" si="87"/>
        <v>128.72222222222231</v>
      </c>
      <c r="AI334" s="26">
        <f t="shared" si="87"/>
        <v>101.13888888888884</v>
      </c>
      <c r="AJ334" s="26">
        <f t="shared" si="87"/>
        <v>110.33333333333347</v>
      </c>
      <c r="AK334" s="26">
        <f t="shared" si="89"/>
        <v>119.52777777777769</v>
      </c>
    </row>
    <row r="335" spans="4:37" ht="20.100000000000001" customHeight="1">
      <c r="D335" s="27">
        <f t="shared" si="88"/>
        <v>0.9222222222222195</v>
      </c>
      <c r="E335" s="16">
        <f t="shared" si="86"/>
        <v>245.31111111111136</v>
      </c>
      <c r="F335" s="16">
        <f t="shared" si="86"/>
        <v>254.5333333333337</v>
      </c>
      <c r="G335" s="16">
        <f t="shared" si="86"/>
        <v>263.75555555555616</v>
      </c>
      <c r="H335" s="17">
        <f t="shared" si="86"/>
        <v>226.86666666666656</v>
      </c>
      <c r="I335" s="17">
        <f t="shared" si="86"/>
        <v>236.08888888888896</v>
      </c>
      <c r="J335" s="17">
        <f t="shared" si="86"/>
        <v>245.31111111111136</v>
      </c>
      <c r="K335" s="18">
        <f t="shared" si="86"/>
        <v>208.42222222222256</v>
      </c>
      <c r="L335" s="18">
        <f t="shared" si="86"/>
        <v>217.64444444444416</v>
      </c>
      <c r="M335" s="18">
        <f t="shared" si="86"/>
        <v>226.86666666666656</v>
      </c>
      <c r="N335" s="19">
        <f t="shared" si="86"/>
        <v>166</v>
      </c>
      <c r="O335" s="19">
        <f t="shared" si="86"/>
        <v>175.2222222222224</v>
      </c>
      <c r="P335" s="19">
        <f t="shared" si="86"/>
        <v>184.4444444444448</v>
      </c>
      <c r="Q335" s="20">
        <f t="shared" si="86"/>
        <v>156.7777777777776</v>
      </c>
      <c r="R335" s="20">
        <f t="shared" si="86"/>
        <v>166</v>
      </c>
      <c r="S335" s="20">
        <f t="shared" si="86"/>
        <v>175.2222222222224</v>
      </c>
      <c r="T335" s="21">
        <f t="shared" si="86"/>
        <v>147.5555555555552</v>
      </c>
      <c r="U335" s="21">
        <f t="shared" si="87"/>
        <v>156.7777777777776</v>
      </c>
      <c r="V335" s="21">
        <f t="shared" si="87"/>
        <v>166</v>
      </c>
      <c r="W335" s="22">
        <f t="shared" si="87"/>
        <v>138.3333333333336</v>
      </c>
      <c r="X335" s="22">
        <f t="shared" si="87"/>
        <v>147.5555555555552</v>
      </c>
      <c r="Y335" s="22">
        <f t="shared" si="87"/>
        <v>156.7777777777776</v>
      </c>
      <c r="Z335" s="23">
        <f t="shared" si="87"/>
        <v>129.1111111111112</v>
      </c>
      <c r="AA335" s="23">
        <f t="shared" si="87"/>
        <v>138.3333333333336</v>
      </c>
      <c r="AB335" s="23">
        <f t="shared" si="87"/>
        <v>147.5555555555552</v>
      </c>
      <c r="AC335" s="24">
        <f t="shared" si="87"/>
        <v>119.8888888888888</v>
      </c>
      <c r="AD335" s="24">
        <f t="shared" si="87"/>
        <v>129.1111111111112</v>
      </c>
      <c r="AE335" s="24">
        <f t="shared" si="87"/>
        <v>138.3333333333336</v>
      </c>
      <c r="AF335" s="25">
        <f t="shared" si="87"/>
        <v>110.6666666666668</v>
      </c>
      <c r="AG335" s="25">
        <f t="shared" si="87"/>
        <v>119.8888888888888</v>
      </c>
      <c r="AH335" s="25">
        <f t="shared" si="87"/>
        <v>129.1111111111112</v>
      </c>
      <c r="AI335" s="26">
        <f t="shared" si="87"/>
        <v>101.4444444444444</v>
      </c>
      <c r="AJ335" s="26">
        <f t="shared" si="87"/>
        <v>110.6666666666668</v>
      </c>
      <c r="AK335" s="26">
        <f t="shared" si="89"/>
        <v>119.8888888888888</v>
      </c>
    </row>
    <row r="336" spans="4:37" ht="20.100000000000001" customHeight="1">
      <c r="D336" s="27">
        <f t="shared" si="88"/>
        <v>0.92499999999999727</v>
      </c>
      <c r="E336" s="16">
        <f t="shared" si="86"/>
        <v>246.05000000000024</v>
      </c>
      <c r="F336" s="16">
        <f t="shared" si="86"/>
        <v>255.30000000000038</v>
      </c>
      <c r="G336" s="16">
        <f t="shared" si="86"/>
        <v>264.55000000000058</v>
      </c>
      <c r="H336" s="17">
        <f t="shared" si="86"/>
        <v>227.5499999999999</v>
      </c>
      <c r="I336" s="17">
        <f t="shared" si="86"/>
        <v>236.80000000000007</v>
      </c>
      <c r="J336" s="17">
        <f t="shared" si="86"/>
        <v>246.05000000000024</v>
      </c>
      <c r="K336" s="18">
        <f t="shared" si="86"/>
        <v>209.05000000000032</v>
      </c>
      <c r="L336" s="18">
        <f t="shared" si="86"/>
        <v>218.29999999999973</v>
      </c>
      <c r="M336" s="18">
        <f t="shared" si="86"/>
        <v>227.5499999999999</v>
      </c>
      <c r="N336" s="19">
        <f t="shared" si="86"/>
        <v>166.5</v>
      </c>
      <c r="O336" s="19">
        <f t="shared" si="86"/>
        <v>175.75000000000017</v>
      </c>
      <c r="P336" s="19">
        <f t="shared" si="86"/>
        <v>185.00000000000034</v>
      </c>
      <c r="Q336" s="20">
        <f t="shared" si="86"/>
        <v>157.24999999999983</v>
      </c>
      <c r="R336" s="20">
        <f t="shared" si="86"/>
        <v>166.5</v>
      </c>
      <c r="S336" s="20">
        <f t="shared" si="86"/>
        <v>175.75000000000017</v>
      </c>
      <c r="T336" s="21">
        <f t="shared" si="86"/>
        <v>147.99999999999966</v>
      </c>
      <c r="U336" s="21">
        <f t="shared" si="87"/>
        <v>157.24999999999983</v>
      </c>
      <c r="V336" s="21">
        <f t="shared" si="87"/>
        <v>166.5</v>
      </c>
      <c r="W336" s="22">
        <f t="shared" si="87"/>
        <v>138.75000000000026</v>
      </c>
      <c r="X336" s="22">
        <f t="shared" si="87"/>
        <v>147.99999999999966</v>
      </c>
      <c r="Y336" s="22">
        <f t="shared" si="87"/>
        <v>157.24999999999983</v>
      </c>
      <c r="Z336" s="23">
        <f t="shared" si="87"/>
        <v>129.50000000000009</v>
      </c>
      <c r="AA336" s="23">
        <f t="shared" si="87"/>
        <v>138.75000000000026</v>
      </c>
      <c r="AB336" s="23">
        <f t="shared" si="87"/>
        <v>147.99999999999966</v>
      </c>
      <c r="AC336" s="24">
        <f t="shared" si="87"/>
        <v>120.24999999999991</v>
      </c>
      <c r="AD336" s="24">
        <f t="shared" si="87"/>
        <v>129.50000000000009</v>
      </c>
      <c r="AE336" s="24">
        <f t="shared" si="87"/>
        <v>138.75000000000026</v>
      </c>
      <c r="AF336" s="25">
        <f t="shared" si="87"/>
        <v>111.00000000000013</v>
      </c>
      <c r="AG336" s="25">
        <f t="shared" si="87"/>
        <v>120.24999999999991</v>
      </c>
      <c r="AH336" s="25">
        <f t="shared" si="87"/>
        <v>129.50000000000009</v>
      </c>
      <c r="AI336" s="26">
        <f t="shared" si="87"/>
        <v>101.74999999999996</v>
      </c>
      <c r="AJ336" s="26">
        <f t="shared" si="87"/>
        <v>111.00000000000013</v>
      </c>
      <c r="AK336" s="26">
        <f t="shared" si="89"/>
        <v>120.24999999999991</v>
      </c>
    </row>
    <row r="337" spans="4:37" ht="20.100000000000001" customHeight="1">
      <c r="D337" s="27">
        <f t="shared" si="88"/>
        <v>0.92777777777777504</v>
      </c>
      <c r="E337" s="16">
        <f t="shared" si="86"/>
        <v>246.78888888888912</v>
      </c>
      <c r="F337" s="16">
        <f t="shared" si="86"/>
        <v>256.06666666666706</v>
      </c>
      <c r="G337" s="16">
        <f t="shared" si="86"/>
        <v>265.344444444445</v>
      </c>
      <c r="H337" s="17">
        <f t="shared" si="86"/>
        <v>228.23333333333323</v>
      </c>
      <c r="I337" s="17">
        <f t="shared" si="86"/>
        <v>237.51111111111118</v>
      </c>
      <c r="J337" s="17">
        <f t="shared" si="86"/>
        <v>246.78888888888912</v>
      </c>
      <c r="K337" s="18">
        <f t="shared" si="86"/>
        <v>209.67777777777809</v>
      </c>
      <c r="L337" s="18">
        <f t="shared" si="86"/>
        <v>218.95555555555529</v>
      </c>
      <c r="M337" s="18">
        <f t="shared" si="86"/>
        <v>228.23333333333323</v>
      </c>
      <c r="N337" s="19">
        <f t="shared" si="86"/>
        <v>167</v>
      </c>
      <c r="O337" s="19">
        <f t="shared" si="86"/>
        <v>176.27777777777794</v>
      </c>
      <c r="P337" s="19">
        <f t="shared" si="86"/>
        <v>185.55555555555588</v>
      </c>
      <c r="Q337" s="20">
        <f t="shared" si="86"/>
        <v>157.72222222222206</v>
      </c>
      <c r="R337" s="20">
        <f t="shared" si="86"/>
        <v>167</v>
      </c>
      <c r="S337" s="20">
        <f t="shared" si="86"/>
        <v>176.27777777777794</v>
      </c>
      <c r="T337" s="21">
        <f t="shared" si="86"/>
        <v>148.44444444444412</v>
      </c>
      <c r="U337" s="21">
        <f t="shared" si="87"/>
        <v>157.72222222222206</v>
      </c>
      <c r="V337" s="21">
        <f t="shared" si="87"/>
        <v>167</v>
      </c>
      <c r="W337" s="22">
        <f t="shared" si="87"/>
        <v>139.16666666666691</v>
      </c>
      <c r="X337" s="22">
        <f t="shared" si="87"/>
        <v>148.44444444444412</v>
      </c>
      <c r="Y337" s="22">
        <f t="shared" si="87"/>
        <v>157.72222222222206</v>
      </c>
      <c r="Z337" s="23">
        <f t="shared" si="87"/>
        <v>129.88888888888897</v>
      </c>
      <c r="AA337" s="23">
        <f t="shared" si="87"/>
        <v>139.16666666666691</v>
      </c>
      <c r="AB337" s="23">
        <f t="shared" si="87"/>
        <v>148.44444444444412</v>
      </c>
      <c r="AC337" s="24">
        <f t="shared" si="87"/>
        <v>120.61111111111103</v>
      </c>
      <c r="AD337" s="24">
        <f t="shared" si="87"/>
        <v>129.88888888888897</v>
      </c>
      <c r="AE337" s="24">
        <f t="shared" si="87"/>
        <v>139.16666666666691</v>
      </c>
      <c r="AF337" s="25">
        <f t="shared" si="87"/>
        <v>111.33333333333346</v>
      </c>
      <c r="AG337" s="25">
        <f t="shared" si="87"/>
        <v>120.61111111111103</v>
      </c>
      <c r="AH337" s="25">
        <f t="shared" si="87"/>
        <v>129.88888888888897</v>
      </c>
      <c r="AI337" s="26">
        <f t="shared" si="87"/>
        <v>102.05555555555551</v>
      </c>
      <c r="AJ337" s="26">
        <f t="shared" si="87"/>
        <v>111.33333333333346</v>
      </c>
      <c r="AK337" s="26">
        <f t="shared" si="89"/>
        <v>120.61111111111103</v>
      </c>
    </row>
    <row r="338" spans="4:37" ht="20.100000000000001" customHeight="1">
      <c r="D338" s="27">
        <f t="shared" si="88"/>
        <v>0.9305555555555528</v>
      </c>
      <c r="E338" s="16">
        <f t="shared" si="86"/>
        <v>247.527777777778</v>
      </c>
      <c r="F338" s="16">
        <f t="shared" si="86"/>
        <v>256.83333333333371</v>
      </c>
      <c r="G338" s="16">
        <f t="shared" si="86"/>
        <v>266.13888888888943</v>
      </c>
      <c r="H338" s="17">
        <f t="shared" si="86"/>
        <v>228.91666666666657</v>
      </c>
      <c r="I338" s="17">
        <f t="shared" si="86"/>
        <v>238.22222222222229</v>
      </c>
      <c r="J338" s="17">
        <f t="shared" si="86"/>
        <v>247.527777777778</v>
      </c>
      <c r="K338" s="18">
        <f t="shared" si="86"/>
        <v>210.30555555555586</v>
      </c>
      <c r="L338" s="18">
        <f t="shared" si="86"/>
        <v>219.61111111111086</v>
      </c>
      <c r="M338" s="18">
        <f t="shared" si="86"/>
        <v>228.91666666666657</v>
      </c>
      <c r="N338" s="19">
        <f t="shared" si="86"/>
        <v>167.5</v>
      </c>
      <c r="O338" s="19">
        <f t="shared" si="86"/>
        <v>176.80555555555571</v>
      </c>
      <c r="P338" s="19">
        <f t="shared" si="86"/>
        <v>186.11111111111143</v>
      </c>
      <c r="Q338" s="20">
        <f t="shared" si="86"/>
        <v>158.19444444444429</v>
      </c>
      <c r="R338" s="20">
        <f t="shared" si="86"/>
        <v>167.5</v>
      </c>
      <c r="S338" s="20">
        <f t="shared" si="86"/>
        <v>176.80555555555571</v>
      </c>
      <c r="T338" s="21">
        <f t="shared" si="86"/>
        <v>148.88888888888857</v>
      </c>
      <c r="U338" s="21">
        <f t="shared" si="87"/>
        <v>158.19444444444429</v>
      </c>
      <c r="V338" s="21">
        <f t="shared" si="87"/>
        <v>167.5</v>
      </c>
      <c r="W338" s="22">
        <f t="shared" si="87"/>
        <v>139.58333333333357</v>
      </c>
      <c r="X338" s="22">
        <f t="shared" si="87"/>
        <v>148.88888888888857</v>
      </c>
      <c r="Y338" s="22">
        <f t="shared" si="87"/>
        <v>158.19444444444429</v>
      </c>
      <c r="Z338" s="23">
        <f t="shared" si="87"/>
        <v>130.27777777777786</v>
      </c>
      <c r="AA338" s="23">
        <f t="shared" si="87"/>
        <v>139.58333333333357</v>
      </c>
      <c r="AB338" s="23">
        <f t="shared" si="87"/>
        <v>148.88888888888857</v>
      </c>
      <c r="AC338" s="24">
        <f t="shared" si="87"/>
        <v>120.97222222222214</v>
      </c>
      <c r="AD338" s="24">
        <f t="shared" si="87"/>
        <v>130.27777777777786</v>
      </c>
      <c r="AE338" s="24">
        <f t="shared" si="87"/>
        <v>139.58333333333357</v>
      </c>
      <c r="AF338" s="25">
        <f t="shared" si="87"/>
        <v>111.66666666666679</v>
      </c>
      <c r="AG338" s="25">
        <f t="shared" si="87"/>
        <v>120.97222222222214</v>
      </c>
      <c r="AH338" s="25">
        <f t="shared" si="87"/>
        <v>130.27777777777786</v>
      </c>
      <c r="AI338" s="26">
        <f t="shared" si="87"/>
        <v>102.36111111111107</v>
      </c>
      <c r="AJ338" s="26">
        <f t="shared" si="87"/>
        <v>111.66666666666679</v>
      </c>
      <c r="AK338" s="26">
        <f t="shared" si="89"/>
        <v>120.97222222222214</v>
      </c>
    </row>
    <row r="339" spans="4:37" ht="20.100000000000001" customHeight="1">
      <c r="D339" s="27">
        <f t="shared" si="88"/>
        <v>0.93333333333333057</v>
      </c>
      <c r="E339" s="16">
        <f t="shared" si="86"/>
        <v>248.26666666666688</v>
      </c>
      <c r="F339" s="16">
        <f t="shared" si="86"/>
        <v>257.60000000000036</v>
      </c>
      <c r="G339" s="16">
        <f t="shared" si="86"/>
        <v>266.93333333333385</v>
      </c>
      <c r="H339" s="17">
        <f t="shared" si="86"/>
        <v>229.59999999999991</v>
      </c>
      <c r="I339" s="17">
        <f t="shared" si="86"/>
        <v>238.93333333333339</v>
      </c>
      <c r="J339" s="17">
        <f t="shared" si="86"/>
        <v>248.26666666666688</v>
      </c>
      <c r="K339" s="18">
        <f t="shared" si="86"/>
        <v>210.93333333333362</v>
      </c>
      <c r="L339" s="18">
        <f t="shared" si="86"/>
        <v>220.26666666666642</v>
      </c>
      <c r="M339" s="18">
        <f t="shared" si="86"/>
        <v>229.59999999999991</v>
      </c>
      <c r="N339" s="19">
        <f t="shared" si="86"/>
        <v>168</v>
      </c>
      <c r="O339" s="19">
        <f t="shared" si="86"/>
        <v>177.33333333333348</v>
      </c>
      <c r="P339" s="19">
        <f t="shared" si="86"/>
        <v>186.66666666666697</v>
      </c>
      <c r="Q339" s="20">
        <f t="shared" si="86"/>
        <v>158.66666666666652</v>
      </c>
      <c r="R339" s="20">
        <f t="shared" si="86"/>
        <v>168</v>
      </c>
      <c r="S339" s="20">
        <f t="shared" si="86"/>
        <v>177.33333333333348</v>
      </c>
      <c r="T339" s="21">
        <f>T340-(T$363/360)</f>
        <v>149.33333333333303</v>
      </c>
      <c r="U339" s="21">
        <f t="shared" si="87"/>
        <v>158.66666666666652</v>
      </c>
      <c r="V339" s="21">
        <f t="shared" si="87"/>
        <v>168</v>
      </c>
      <c r="W339" s="22">
        <f t="shared" si="87"/>
        <v>140.00000000000023</v>
      </c>
      <c r="X339" s="22">
        <f t="shared" si="87"/>
        <v>149.33333333333303</v>
      </c>
      <c r="Y339" s="22">
        <f t="shared" si="87"/>
        <v>158.66666666666652</v>
      </c>
      <c r="Z339" s="23">
        <f t="shared" si="87"/>
        <v>130.66666666666674</v>
      </c>
      <c r="AA339" s="23">
        <f t="shared" si="87"/>
        <v>140.00000000000023</v>
      </c>
      <c r="AB339" s="23">
        <f t="shared" si="87"/>
        <v>149.33333333333303</v>
      </c>
      <c r="AC339" s="24">
        <f t="shared" si="87"/>
        <v>121.33333333333326</v>
      </c>
      <c r="AD339" s="24">
        <f t="shared" si="87"/>
        <v>130.66666666666674</v>
      </c>
      <c r="AE339" s="24">
        <f t="shared" si="87"/>
        <v>140.00000000000023</v>
      </c>
      <c r="AF339" s="25">
        <f t="shared" si="87"/>
        <v>112.00000000000011</v>
      </c>
      <c r="AG339" s="25">
        <f t="shared" si="87"/>
        <v>121.33333333333326</v>
      </c>
      <c r="AH339" s="25">
        <f t="shared" si="87"/>
        <v>130.66666666666674</v>
      </c>
      <c r="AI339" s="26">
        <f t="shared" si="87"/>
        <v>102.66666666666663</v>
      </c>
      <c r="AJ339" s="26">
        <f>AJ340-(AJ$363/360)</f>
        <v>112.00000000000011</v>
      </c>
      <c r="AK339" s="26">
        <f t="shared" si="89"/>
        <v>121.33333333333326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249.00555555555576</v>
      </c>
      <c r="F340" s="16">
        <f t="shared" si="90"/>
        <v>258.36666666666702</v>
      </c>
      <c r="G340" s="16">
        <f t="shared" si="90"/>
        <v>267.72777777777827</v>
      </c>
      <c r="H340" s="17">
        <f t="shared" si="90"/>
        <v>230.28333333333325</v>
      </c>
      <c r="I340" s="17">
        <f t="shared" si="90"/>
        <v>239.6444444444445</v>
      </c>
      <c r="J340" s="17">
        <f t="shared" si="90"/>
        <v>249.00555555555576</v>
      </c>
      <c r="K340" s="18">
        <f t="shared" si="90"/>
        <v>211.56111111111139</v>
      </c>
      <c r="L340" s="18">
        <f t="shared" si="90"/>
        <v>220.92222222222199</v>
      </c>
      <c r="M340" s="18">
        <f t="shared" si="90"/>
        <v>230.28333333333325</v>
      </c>
      <c r="N340" s="19">
        <f t="shared" si="90"/>
        <v>168.5</v>
      </c>
      <c r="O340" s="19">
        <f t="shared" si="90"/>
        <v>177.86111111111126</v>
      </c>
      <c r="P340" s="19">
        <f t="shared" si="90"/>
        <v>187.22222222222251</v>
      </c>
      <c r="Q340" s="20">
        <f t="shared" si="90"/>
        <v>159.13888888888874</v>
      </c>
      <c r="R340" s="20">
        <f t="shared" si="90"/>
        <v>168.5</v>
      </c>
      <c r="S340" s="20">
        <f t="shared" si="90"/>
        <v>177.86111111111126</v>
      </c>
      <c r="T340" s="21">
        <f t="shared" si="90"/>
        <v>149.77777777777749</v>
      </c>
      <c r="U340" s="21">
        <f t="shared" ref="U340:AJ355" si="91">U341-(U$363/360)</f>
        <v>159.13888888888874</v>
      </c>
      <c r="V340" s="21">
        <f t="shared" si="91"/>
        <v>168.5</v>
      </c>
      <c r="W340" s="22">
        <f t="shared" si="91"/>
        <v>140.41666666666688</v>
      </c>
      <c r="X340" s="22">
        <f t="shared" si="91"/>
        <v>149.77777777777749</v>
      </c>
      <c r="Y340" s="22">
        <f t="shared" si="91"/>
        <v>159.13888888888874</v>
      </c>
      <c r="Z340" s="23">
        <f t="shared" si="91"/>
        <v>131.05555555555563</v>
      </c>
      <c r="AA340" s="23">
        <f t="shared" si="91"/>
        <v>140.41666666666688</v>
      </c>
      <c r="AB340" s="23">
        <f t="shared" si="91"/>
        <v>149.77777777777749</v>
      </c>
      <c r="AC340" s="24">
        <f t="shared" si="91"/>
        <v>121.69444444444437</v>
      </c>
      <c r="AD340" s="24">
        <f t="shared" si="91"/>
        <v>131.05555555555563</v>
      </c>
      <c r="AE340" s="24">
        <f t="shared" si="91"/>
        <v>140.41666666666688</v>
      </c>
      <c r="AF340" s="25">
        <f t="shared" si="91"/>
        <v>112.33333333333344</v>
      </c>
      <c r="AG340" s="25">
        <f t="shared" si="91"/>
        <v>121.69444444444437</v>
      </c>
      <c r="AH340" s="25">
        <f t="shared" si="91"/>
        <v>131.05555555555563</v>
      </c>
      <c r="AI340" s="26">
        <f t="shared" si="91"/>
        <v>102.97222222222219</v>
      </c>
      <c r="AJ340" s="26">
        <f t="shared" si="91"/>
        <v>112.33333333333344</v>
      </c>
      <c r="AK340" s="26">
        <f t="shared" si="89"/>
        <v>121.69444444444437</v>
      </c>
    </row>
    <row r="341" spans="4:37" ht="20.100000000000001" customHeight="1">
      <c r="D341" s="27">
        <f t="shared" si="88"/>
        <v>0.93888888888888611</v>
      </c>
      <c r="E341" s="16">
        <f t="shared" si="90"/>
        <v>249.74444444444464</v>
      </c>
      <c r="F341" s="16">
        <f t="shared" si="90"/>
        <v>259.13333333333367</v>
      </c>
      <c r="G341" s="16">
        <f t="shared" si="90"/>
        <v>268.52222222222269</v>
      </c>
      <c r="H341" s="17">
        <f t="shared" si="90"/>
        <v>230.96666666666658</v>
      </c>
      <c r="I341" s="17">
        <f t="shared" si="90"/>
        <v>240.35555555555561</v>
      </c>
      <c r="J341" s="17">
        <f t="shared" si="90"/>
        <v>249.74444444444464</v>
      </c>
      <c r="K341" s="18">
        <f t="shared" si="90"/>
        <v>212.18888888888915</v>
      </c>
      <c r="L341" s="18">
        <f t="shared" si="90"/>
        <v>221.57777777777756</v>
      </c>
      <c r="M341" s="18">
        <f t="shared" si="90"/>
        <v>230.96666666666658</v>
      </c>
      <c r="N341" s="19">
        <f t="shared" si="90"/>
        <v>169</v>
      </c>
      <c r="O341" s="19">
        <f t="shared" si="90"/>
        <v>178.38888888888903</v>
      </c>
      <c r="P341" s="19">
        <f t="shared" si="90"/>
        <v>187.77777777777806</v>
      </c>
      <c r="Q341" s="20">
        <f t="shared" si="90"/>
        <v>159.61111111111097</v>
      </c>
      <c r="R341" s="20">
        <f t="shared" si="90"/>
        <v>169</v>
      </c>
      <c r="S341" s="20">
        <f t="shared" si="90"/>
        <v>178.38888888888903</v>
      </c>
      <c r="T341" s="21">
        <f t="shared" si="90"/>
        <v>150.22222222222194</v>
      </c>
      <c r="U341" s="21">
        <f t="shared" si="91"/>
        <v>159.61111111111097</v>
      </c>
      <c r="V341" s="21">
        <f t="shared" si="91"/>
        <v>169</v>
      </c>
      <c r="W341" s="22">
        <f t="shared" si="91"/>
        <v>140.83333333333354</v>
      </c>
      <c r="X341" s="22">
        <f t="shared" si="91"/>
        <v>150.22222222222194</v>
      </c>
      <c r="Y341" s="22">
        <f t="shared" si="91"/>
        <v>159.61111111111097</v>
      </c>
      <c r="Z341" s="23">
        <f t="shared" si="91"/>
        <v>131.44444444444451</v>
      </c>
      <c r="AA341" s="23">
        <f t="shared" si="91"/>
        <v>140.83333333333354</v>
      </c>
      <c r="AB341" s="23">
        <f t="shared" si="91"/>
        <v>150.22222222222194</v>
      </c>
      <c r="AC341" s="24">
        <f t="shared" si="91"/>
        <v>122.05555555555549</v>
      </c>
      <c r="AD341" s="24">
        <f t="shared" si="91"/>
        <v>131.44444444444451</v>
      </c>
      <c r="AE341" s="24">
        <f t="shared" si="91"/>
        <v>140.83333333333354</v>
      </c>
      <c r="AF341" s="25">
        <f t="shared" si="91"/>
        <v>112.66666666666677</v>
      </c>
      <c r="AG341" s="25">
        <f t="shared" si="91"/>
        <v>122.05555555555549</v>
      </c>
      <c r="AH341" s="25">
        <f t="shared" si="91"/>
        <v>131.44444444444451</v>
      </c>
      <c r="AI341" s="26">
        <f t="shared" si="91"/>
        <v>103.27777777777774</v>
      </c>
      <c r="AJ341" s="26">
        <f t="shared" si="91"/>
        <v>112.66666666666677</v>
      </c>
      <c r="AK341" s="26">
        <f t="shared" si="89"/>
        <v>122.05555555555549</v>
      </c>
    </row>
    <row r="342" spans="4:37" ht="20.100000000000001" customHeight="1">
      <c r="D342" s="27">
        <f t="shared" si="88"/>
        <v>0.94166666666666388</v>
      </c>
      <c r="E342" s="16">
        <f t="shared" si="90"/>
        <v>250.48333333333352</v>
      </c>
      <c r="F342" s="16">
        <f t="shared" si="90"/>
        <v>259.90000000000032</v>
      </c>
      <c r="G342" s="16">
        <f t="shared" si="90"/>
        <v>269.31666666666712</v>
      </c>
      <c r="H342" s="17">
        <f t="shared" si="90"/>
        <v>231.64999999999992</v>
      </c>
      <c r="I342" s="17">
        <f t="shared" si="90"/>
        <v>241.06666666666672</v>
      </c>
      <c r="J342" s="17">
        <f t="shared" si="90"/>
        <v>250.48333333333352</v>
      </c>
      <c r="K342" s="18">
        <f t="shared" si="90"/>
        <v>212.81666666666692</v>
      </c>
      <c r="L342" s="18">
        <f t="shared" si="90"/>
        <v>222.23333333333312</v>
      </c>
      <c r="M342" s="18">
        <f t="shared" si="90"/>
        <v>231.64999999999992</v>
      </c>
      <c r="N342" s="19">
        <f t="shared" si="90"/>
        <v>169.5</v>
      </c>
      <c r="O342" s="19">
        <f t="shared" si="90"/>
        <v>178.9166666666668</v>
      </c>
      <c r="P342" s="19">
        <f t="shared" si="90"/>
        <v>188.3333333333336</v>
      </c>
      <c r="Q342" s="20">
        <f t="shared" si="90"/>
        <v>160.0833333333332</v>
      </c>
      <c r="R342" s="20">
        <f t="shared" si="90"/>
        <v>169.5</v>
      </c>
      <c r="S342" s="20">
        <f t="shared" si="90"/>
        <v>178.9166666666668</v>
      </c>
      <c r="T342" s="21">
        <f t="shared" si="90"/>
        <v>150.6666666666664</v>
      </c>
      <c r="U342" s="21">
        <f t="shared" si="91"/>
        <v>160.0833333333332</v>
      </c>
      <c r="V342" s="21">
        <f t="shared" si="91"/>
        <v>169.5</v>
      </c>
      <c r="W342" s="22">
        <f t="shared" si="91"/>
        <v>141.2500000000002</v>
      </c>
      <c r="X342" s="22">
        <f t="shared" si="91"/>
        <v>150.6666666666664</v>
      </c>
      <c r="Y342" s="22">
        <f t="shared" si="91"/>
        <v>160.0833333333332</v>
      </c>
      <c r="Z342" s="23">
        <f t="shared" si="91"/>
        <v>131.8333333333334</v>
      </c>
      <c r="AA342" s="23">
        <f t="shared" si="91"/>
        <v>141.2500000000002</v>
      </c>
      <c r="AB342" s="23">
        <f t="shared" si="91"/>
        <v>150.6666666666664</v>
      </c>
      <c r="AC342" s="24">
        <f t="shared" si="91"/>
        <v>122.4166666666666</v>
      </c>
      <c r="AD342" s="24">
        <f t="shared" si="91"/>
        <v>131.8333333333334</v>
      </c>
      <c r="AE342" s="24">
        <f t="shared" si="91"/>
        <v>141.2500000000002</v>
      </c>
      <c r="AF342" s="25">
        <f t="shared" si="91"/>
        <v>113.0000000000001</v>
      </c>
      <c r="AG342" s="25">
        <f t="shared" si="91"/>
        <v>122.4166666666666</v>
      </c>
      <c r="AH342" s="25">
        <f t="shared" si="91"/>
        <v>131.8333333333334</v>
      </c>
      <c r="AI342" s="26">
        <f t="shared" si="91"/>
        <v>103.5833333333333</v>
      </c>
      <c r="AJ342" s="26">
        <f t="shared" si="91"/>
        <v>113.0000000000001</v>
      </c>
      <c r="AK342" s="26">
        <f t="shared" si="89"/>
        <v>122.4166666666666</v>
      </c>
    </row>
    <row r="343" spans="4:37" ht="20.100000000000001" customHeight="1">
      <c r="D343" s="27">
        <f t="shared" si="88"/>
        <v>0.94444444444444164</v>
      </c>
      <c r="E343" s="16">
        <f t="shared" si="90"/>
        <v>251.2222222222224</v>
      </c>
      <c r="F343" s="16">
        <f t="shared" si="90"/>
        <v>260.66666666666697</v>
      </c>
      <c r="G343" s="16">
        <f t="shared" si="90"/>
        <v>270.11111111111154</v>
      </c>
      <c r="H343" s="17">
        <f t="shared" si="90"/>
        <v>232.33333333333326</v>
      </c>
      <c r="I343" s="17">
        <f t="shared" si="90"/>
        <v>241.77777777777783</v>
      </c>
      <c r="J343" s="17">
        <f t="shared" si="90"/>
        <v>251.2222222222224</v>
      </c>
      <c r="K343" s="18">
        <f t="shared" si="90"/>
        <v>213.44444444444468</v>
      </c>
      <c r="L343" s="18">
        <f t="shared" si="90"/>
        <v>222.88888888888869</v>
      </c>
      <c r="M343" s="18">
        <f t="shared" si="90"/>
        <v>232.33333333333326</v>
      </c>
      <c r="N343" s="19">
        <f t="shared" si="90"/>
        <v>170</v>
      </c>
      <c r="O343" s="19">
        <f t="shared" si="90"/>
        <v>179.44444444444457</v>
      </c>
      <c r="P343" s="19">
        <f t="shared" si="90"/>
        <v>188.88888888888914</v>
      </c>
      <c r="Q343" s="20">
        <f t="shared" si="90"/>
        <v>160.55555555555543</v>
      </c>
      <c r="R343" s="20">
        <f t="shared" si="90"/>
        <v>170</v>
      </c>
      <c r="S343" s="20">
        <f t="shared" si="90"/>
        <v>179.44444444444457</v>
      </c>
      <c r="T343" s="21">
        <f t="shared" si="90"/>
        <v>151.11111111111086</v>
      </c>
      <c r="U343" s="21">
        <f t="shared" si="91"/>
        <v>160.55555555555543</v>
      </c>
      <c r="V343" s="21">
        <f t="shared" si="91"/>
        <v>170</v>
      </c>
      <c r="W343" s="22">
        <f t="shared" si="91"/>
        <v>141.66666666666686</v>
      </c>
      <c r="X343" s="22">
        <f t="shared" si="91"/>
        <v>151.11111111111086</v>
      </c>
      <c r="Y343" s="22">
        <f t="shared" si="91"/>
        <v>160.55555555555543</v>
      </c>
      <c r="Z343" s="23">
        <f t="shared" si="91"/>
        <v>132.22222222222229</v>
      </c>
      <c r="AA343" s="23">
        <f t="shared" si="91"/>
        <v>141.66666666666686</v>
      </c>
      <c r="AB343" s="23">
        <f t="shared" si="91"/>
        <v>151.11111111111086</v>
      </c>
      <c r="AC343" s="24">
        <f t="shared" si="91"/>
        <v>122.77777777777771</v>
      </c>
      <c r="AD343" s="24">
        <f t="shared" si="91"/>
        <v>132.22222222222229</v>
      </c>
      <c r="AE343" s="24">
        <f t="shared" si="91"/>
        <v>141.66666666666686</v>
      </c>
      <c r="AF343" s="25">
        <f t="shared" si="91"/>
        <v>113.33333333333343</v>
      </c>
      <c r="AG343" s="25">
        <f t="shared" si="91"/>
        <v>122.77777777777771</v>
      </c>
      <c r="AH343" s="25">
        <f t="shared" si="91"/>
        <v>132.22222222222229</v>
      </c>
      <c r="AI343" s="26">
        <f t="shared" si="91"/>
        <v>103.88888888888886</v>
      </c>
      <c r="AJ343" s="26">
        <f t="shared" si="91"/>
        <v>113.33333333333343</v>
      </c>
      <c r="AK343" s="26">
        <f t="shared" si="89"/>
        <v>122.77777777777771</v>
      </c>
    </row>
    <row r="344" spans="4:37" ht="20.100000000000001" customHeight="1">
      <c r="D344" s="27">
        <f t="shared" si="88"/>
        <v>0.94722222222221941</v>
      </c>
      <c r="E344" s="16">
        <f t="shared" si="90"/>
        <v>251.96111111111128</v>
      </c>
      <c r="F344" s="16">
        <f t="shared" si="90"/>
        <v>261.43333333333362</v>
      </c>
      <c r="G344" s="16">
        <f t="shared" si="90"/>
        <v>270.90555555555596</v>
      </c>
      <c r="H344" s="17">
        <f t="shared" si="90"/>
        <v>233.01666666666659</v>
      </c>
      <c r="I344" s="17">
        <f t="shared" si="90"/>
        <v>242.48888888888894</v>
      </c>
      <c r="J344" s="17">
        <f t="shared" si="90"/>
        <v>251.96111111111128</v>
      </c>
      <c r="K344" s="18">
        <f t="shared" si="90"/>
        <v>214.07222222222245</v>
      </c>
      <c r="L344" s="18">
        <f t="shared" si="90"/>
        <v>223.54444444444425</v>
      </c>
      <c r="M344" s="18">
        <f t="shared" si="90"/>
        <v>233.01666666666659</v>
      </c>
      <c r="N344" s="19">
        <f t="shared" si="90"/>
        <v>170.5</v>
      </c>
      <c r="O344" s="19">
        <f t="shared" si="90"/>
        <v>179.97222222222234</v>
      </c>
      <c r="P344" s="19">
        <f t="shared" si="90"/>
        <v>189.44444444444468</v>
      </c>
      <c r="Q344" s="20">
        <f t="shared" si="90"/>
        <v>161.02777777777766</v>
      </c>
      <c r="R344" s="20">
        <f t="shared" si="90"/>
        <v>170.5</v>
      </c>
      <c r="S344" s="20">
        <f t="shared" si="90"/>
        <v>179.97222222222234</v>
      </c>
      <c r="T344" s="21">
        <f t="shared" si="90"/>
        <v>151.55555555555532</v>
      </c>
      <c r="U344" s="21">
        <f t="shared" si="91"/>
        <v>161.02777777777766</v>
      </c>
      <c r="V344" s="21">
        <f t="shared" si="91"/>
        <v>170.5</v>
      </c>
      <c r="W344" s="22">
        <f t="shared" si="91"/>
        <v>142.08333333333351</v>
      </c>
      <c r="X344" s="22">
        <f t="shared" si="91"/>
        <v>151.55555555555532</v>
      </c>
      <c r="Y344" s="22">
        <f t="shared" si="91"/>
        <v>161.02777777777766</v>
      </c>
      <c r="Z344" s="23">
        <f t="shared" si="91"/>
        <v>132.61111111111117</v>
      </c>
      <c r="AA344" s="23">
        <f t="shared" si="91"/>
        <v>142.08333333333351</v>
      </c>
      <c r="AB344" s="23">
        <f t="shared" si="91"/>
        <v>151.55555555555532</v>
      </c>
      <c r="AC344" s="24">
        <f t="shared" si="91"/>
        <v>123.13888888888883</v>
      </c>
      <c r="AD344" s="24">
        <f t="shared" si="91"/>
        <v>132.61111111111117</v>
      </c>
      <c r="AE344" s="24">
        <f t="shared" si="91"/>
        <v>142.08333333333351</v>
      </c>
      <c r="AF344" s="25">
        <f t="shared" si="91"/>
        <v>113.66666666666676</v>
      </c>
      <c r="AG344" s="25">
        <f t="shared" si="91"/>
        <v>123.13888888888883</v>
      </c>
      <c r="AH344" s="25">
        <f t="shared" si="91"/>
        <v>132.61111111111117</v>
      </c>
      <c r="AI344" s="26">
        <f t="shared" si="91"/>
        <v>104.19444444444441</v>
      </c>
      <c r="AJ344" s="26">
        <f t="shared" si="91"/>
        <v>113.66666666666676</v>
      </c>
      <c r="AK344" s="26">
        <f t="shared" si="89"/>
        <v>123.13888888888883</v>
      </c>
    </row>
    <row r="345" spans="4:37" ht="20.100000000000001" customHeight="1">
      <c r="D345" s="27">
        <f t="shared" si="88"/>
        <v>0.94999999999999718</v>
      </c>
      <c r="E345" s="16">
        <f t="shared" si="90"/>
        <v>252.70000000000016</v>
      </c>
      <c r="F345" s="16">
        <f t="shared" si="90"/>
        <v>262.20000000000027</v>
      </c>
      <c r="G345" s="16">
        <f t="shared" si="90"/>
        <v>271.70000000000039</v>
      </c>
      <c r="H345" s="17">
        <f t="shared" si="90"/>
        <v>233.69999999999993</v>
      </c>
      <c r="I345" s="17">
        <f t="shared" si="90"/>
        <v>243.20000000000005</v>
      </c>
      <c r="J345" s="17">
        <f t="shared" si="90"/>
        <v>252.70000000000016</v>
      </c>
      <c r="K345" s="18">
        <f t="shared" si="90"/>
        <v>214.70000000000022</v>
      </c>
      <c r="L345" s="18">
        <f t="shared" si="90"/>
        <v>224.19999999999982</v>
      </c>
      <c r="M345" s="18">
        <f t="shared" si="90"/>
        <v>233.69999999999993</v>
      </c>
      <c r="N345" s="19">
        <f t="shared" si="90"/>
        <v>171</v>
      </c>
      <c r="O345" s="19">
        <f t="shared" si="90"/>
        <v>180.50000000000011</v>
      </c>
      <c r="P345" s="19">
        <f t="shared" si="90"/>
        <v>190.00000000000023</v>
      </c>
      <c r="Q345" s="20">
        <f t="shared" si="90"/>
        <v>161.49999999999989</v>
      </c>
      <c r="R345" s="20">
        <f t="shared" si="90"/>
        <v>171</v>
      </c>
      <c r="S345" s="20">
        <f t="shared" si="90"/>
        <v>180.50000000000011</v>
      </c>
      <c r="T345" s="21">
        <f t="shared" si="90"/>
        <v>151.99999999999977</v>
      </c>
      <c r="U345" s="21">
        <f t="shared" si="91"/>
        <v>161.49999999999989</v>
      </c>
      <c r="V345" s="21">
        <f t="shared" si="91"/>
        <v>171</v>
      </c>
      <c r="W345" s="22">
        <f t="shared" si="91"/>
        <v>142.50000000000017</v>
      </c>
      <c r="X345" s="22">
        <f t="shared" si="91"/>
        <v>151.99999999999977</v>
      </c>
      <c r="Y345" s="22">
        <f t="shared" si="91"/>
        <v>161.49999999999989</v>
      </c>
      <c r="Z345" s="23">
        <f t="shared" si="91"/>
        <v>133.00000000000006</v>
      </c>
      <c r="AA345" s="23">
        <f t="shared" si="91"/>
        <v>142.50000000000017</v>
      </c>
      <c r="AB345" s="23">
        <f t="shared" si="91"/>
        <v>151.99999999999977</v>
      </c>
      <c r="AC345" s="24">
        <f t="shared" si="91"/>
        <v>123.49999999999994</v>
      </c>
      <c r="AD345" s="24">
        <f t="shared" si="91"/>
        <v>133.00000000000006</v>
      </c>
      <c r="AE345" s="24">
        <f t="shared" si="91"/>
        <v>142.50000000000017</v>
      </c>
      <c r="AF345" s="25">
        <f t="shared" si="91"/>
        <v>114.00000000000009</v>
      </c>
      <c r="AG345" s="25">
        <f t="shared" si="91"/>
        <v>123.49999999999994</v>
      </c>
      <c r="AH345" s="25">
        <f t="shared" si="91"/>
        <v>133.00000000000006</v>
      </c>
      <c r="AI345" s="26">
        <f t="shared" si="91"/>
        <v>104.49999999999997</v>
      </c>
      <c r="AJ345" s="26">
        <f t="shared" si="91"/>
        <v>114.00000000000009</v>
      </c>
      <c r="AK345" s="26">
        <f t="shared" si="89"/>
        <v>123.49999999999994</v>
      </c>
    </row>
    <row r="346" spans="4:37" ht="20.100000000000001" customHeight="1">
      <c r="D346" s="27">
        <f t="shared" si="88"/>
        <v>0.95277777777777495</v>
      </c>
      <c r="E346" s="16">
        <f t="shared" si="90"/>
        <v>253.43888888888904</v>
      </c>
      <c r="F346" s="16">
        <f t="shared" si="90"/>
        <v>262.96666666666692</v>
      </c>
      <c r="G346" s="16">
        <f t="shared" si="90"/>
        <v>272.49444444444481</v>
      </c>
      <c r="H346" s="17">
        <f t="shared" si="90"/>
        <v>234.38333333333327</v>
      </c>
      <c r="I346" s="17">
        <f t="shared" si="90"/>
        <v>243.91111111111115</v>
      </c>
      <c r="J346" s="17">
        <f t="shared" si="90"/>
        <v>253.43888888888904</v>
      </c>
      <c r="K346" s="18">
        <f t="shared" si="90"/>
        <v>215.32777777777798</v>
      </c>
      <c r="L346" s="18">
        <f t="shared" si="90"/>
        <v>224.85555555555538</v>
      </c>
      <c r="M346" s="18">
        <f t="shared" si="90"/>
        <v>234.38333333333327</v>
      </c>
      <c r="N346" s="19">
        <f t="shared" si="90"/>
        <v>171.5</v>
      </c>
      <c r="O346" s="19">
        <f t="shared" si="90"/>
        <v>181.02777777777789</v>
      </c>
      <c r="P346" s="19">
        <f t="shared" si="90"/>
        <v>190.55555555555577</v>
      </c>
      <c r="Q346" s="20">
        <f t="shared" si="90"/>
        <v>161.97222222222211</v>
      </c>
      <c r="R346" s="20">
        <f t="shared" si="90"/>
        <v>171.5</v>
      </c>
      <c r="S346" s="20">
        <f t="shared" si="90"/>
        <v>181.02777777777789</v>
      </c>
      <c r="T346" s="21">
        <f t="shared" si="90"/>
        <v>152.44444444444423</v>
      </c>
      <c r="U346" s="21">
        <f t="shared" si="91"/>
        <v>161.97222222222211</v>
      </c>
      <c r="V346" s="21">
        <f t="shared" si="91"/>
        <v>171.5</v>
      </c>
      <c r="W346" s="22">
        <f t="shared" si="91"/>
        <v>142.91666666666683</v>
      </c>
      <c r="X346" s="22">
        <f t="shared" si="91"/>
        <v>152.44444444444423</v>
      </c>
      <c r="Y346" s="22">
        <f t="shared" si="91"/>
        <v>161.97222222222211</v>
      </c>
      <c r="Z346" s="23">
        <f t="shared" si="91"/>
        <v>133.38888888888894</v>
      </c>
      <c r="AA346" s="23">
        <f t="shared" si="91"/>
        <v>142.91666666666683</v>
      </c>
      <c r="AB346" s="23">
        <f t="shared" si="91"/>
        <v>152.44444444444423</v>
      </c>
      <c r="AC346" s="24">
        <f t="shared" si="91"/>
        <v>123.86111111111106</v>
      </c>
      <c r="AD346" s="24">
        <f t="shared" si="91"/>
        <v>133.38888888888894</v>
      </c>
      <c r="AE346" s="24">
        <f t="shared" si="91"/>
        <v>142.91666666666683</v>
      </c>
      <c r="AF346" s="25">
        <f t="shared" si="91"/>
        <v>114.33333333333341</v>
      </c>
      <c r="AG346" s="25">
        <f t="shared" si="91"/>
        <v>123.86111111111106</v>
      </c>
      <c r="AH346" s="25">
        <f t="shared" si="91"/>
        <v>133.38888888888894</v>
      </c>
      <c r="AI346" s="26">
        <f t="shared" si="91"/>
        <v>104.80555555555553</v>
      </c>
      <c r="AJ346" s="26">
        <f t="shared" si="91"/>
        <v>114.33333333333341</v>
      </c>
      <c r="AK346" s="26">
        <f t="shared" si="89"/>
        <v>123.86111111111106</v>
      </c>
    </row>
    <row r="347" spans="4:37" ht="20.100000000000001" customHeight="1">
      <c r="D347" s="27">
        <f t="shared" si="88"/>
        <v>0.95555555555555272</v>
      </c>
      <c r="E347" s="16">
        <f t="shared" si="90"/>
        <v>254.17777777777792</v>
      </c>
      <c r="F347" s="16">
        <f t="shared" si="90"/>
        <v>263.73333333333358</v>
      </c>
      <c r="G347" s="16">
        <f t="shared" si="90"/>
        <v>273.28888888888923</v>
      </c>
      <c r="H347" s="17">
        <f t="shared" si="90"/>
        <v>235.06666666666661</v>
      </c>
      <c r="I347" s="17">
        <f t="shared" si="90"/>
        <v>244.62222222222226</v>
      </c>
      <c r="J347" s="17">
        <f t="shared" si="90"/>
        <v>254.17777777777792</v>
      </c>
      <c r="K347" s="18">
        <f t="shared" si="90"/>
        <v>215.95555555555575</v>
      </c>
      <c r="L347" s="18">
        <f t="shared" si="90"/>
        <v>225.51111111111095</v>
      </c>
      <c r="M347" s="18">
        <f t="shared" si="90"/>
        <v>235.06666666666661</v>
      </c>
      <c r="N347" s="19">
        <f t="shared" si="90"/>
        <v>172</v>
      </c>
      <c r="O347" s="19">
        <f t="shared" si="90"/>
        <v>181.55555555555566</v>
      </c>
      <c r="P347" s="19">
        <f t="shared" si="90"/>
        <v>191.11111111111131</v>
      </c>
      <c r="Q347" s="20">
        <f t="shared" si="90"/>
        <v>162.44444444444434</v>
      </c>
      <c r="R347" s="20">
        <f t="shared" si="90"/>
        <v>172</v>
      </c>
      <c r="S347" s="20">
        <f t="shared" si="90"/>
        <v>181.55555555555566</v>
      </c>
      <c r="T347" s="21">
        <f t="shared" si="90"/>
        <v>152.88888888888869</v>
      </c>
      <c r="U347" s="21">
        <f t="shared" si="91"/>
        <v>162.44444444444434</v>
      </c>
      <c r="V347" s="21">
        <f t="shared" si="91"/>
        <v>172</v>
      </c>
      <c r="W347" s="22">
        <f t="shared" si="91"/>
        <v>143.33333333333348</v>
      </c>
      <c r="X347" s="22">
        <f t="shared" si="91"/>
        <v>152.88888888888869</v>
      </c>
      <c r="Y347" s="22">
        <f t="shared" si="91"/>
        <v>162.44444444444434</v>
      </c>
      <c r="Z347" s="23">
        <f t="shared" si="91"/>
        <v>133.77777777777783</v>
      </c>
      <c r="AA347" s="23">
        <f t="shared" si="91"/>
        <v>143.33333333333348</v>
      </c>
      <c r="AB347" s="23">
        <f t="shared" si="91"/>
        <v>152.88888888888869</v>
      </c>
      <c r="AC347" s="24">
        <f t="shared" si="91"/>
        <v>124.22222222222217</v>
      </c>
      <c r="AD347" s="24">
        <f t="shared" si="91"/>
        <v>133.77777777777783</v>
      </c>
      <c r="AE347" s="24">
        <f t="shared" si="91"/>
        <v>143.33333333333348</v>
      </c>
      <c r="AF347" s="25">
        <f t="shared" si="91"/>
        <v>114.66666666666674</v>
      </c>
      <c r="AG347" s="25">
        <f t="shared" si="91"/>
        <v>124.22222222222217</v>
      </c>
      <c r="AH347" s="25">
        <f t="shared" si="91"/>
        <v>133.77777777777783</v>
      </c>
      <c r="AI347" s="26">
        <f t="shared" si="91"/>
        <v>105.11111111111109</v>
      </c>
      <c r="AJ347" s="26">
        <f t="shared" si="91"/>
        <v>114.66666666666674</v>
      </c>
      <c r="AK347" s="26">
        <f t="shared" si="89"/>
        <v>124.22222222222217</v>
      </c>
    </row>
    <row r="348" spans="4:37" ht="20.100000000000001" customHeight="1">
      <c r="D348" s="27">
        <f t="shared" si="88"/>
        <v>0.95833333333333048</v>
      </c>
      <c r="E348" s="16">
        <f t="shared" si="90"/>
        <v>254.9166666666668</v>
      </c>
      <c r="F348" s="16">
        <f t="shared" si="90"/>
        <v>264.50000000000023</v>
      </c>
      <c r="G348" s="16">
        <f t="shared" si="90"/>
        <v>274.08333333333366</v>
      </c>
      <c r="H348" s="17">
        <f t="shared" si="90"/>
        <v>235.74999999999994</v>
      </c>
      <c r="I348" s="17">
        <f t="shared" si="90"/>
        <v>245.33333333333337</v>
      </c>
      <c r="J348" s="17">
        <f t="shared" si="90"/>
        <v>254.9166666666668</v>
      </c>
      <c r="K348" s="18">
        <f t="shared" si="90"/>
        <v>216.58333333333351</v>
      </c>
      <c r="L348" s="18">
        <f t="shared" si="90"/>
        <v>226.16666666666652</v>
      </c>
      <c r="M348" s="18">
        <f t="shared" si="90"/>
        <v>235.74999999999994</v>
      </c>
      <c r="N348" s="19">
        <f t="shared" si="90"/>
        <v>172.5</v>
      </c>
      <c r="O348" s="19">
        <f t="shared" si="90"/>
        <v>182.08333333333343</v>
      </c>
      <c r="P348" s="19">
        <f t="shared" si="90"/>
        <v>191.66666666666686</v>
      </c>
      <c r="Q348" s="20">
        <f t="shared" si="90"/>
        <v>162.91666666666657</v>
      </c>
      <c r="R348" s="20">
        <f t="shared" si="90"/>
        <v>172.5</v>
      </c>
      <c r="S348" s="20">
        <f t="shared" si="90"/>
        <v>182.08333333333343</v>
      </c>
      <c r="T348" s="21">
        <f t="shared" si="90"/>
        <v>153.33333333333314</v>
      </c>
      <c r="U348" s="21">
        <f t="shared" si="91"/>
        <v>162.91666666666657</v>
      </c>
      <c r="V348" s="21">
        <f t="shared" si="91"/>
        <v>172.5</v>
      </c>
      <c r="W348" s="22">
        <f t="shared" si="91"/>
        <v>143.75000000000014</v>
      </c>
      <c r="X348" s="22">
        <f t="shared" si="91"/>
        <v>153.33333333333314</v>
      </c>
      <c r="Y348" s="22">
        <f t="shared" si="91"/>
        <v>162.91666666666657</v>
      </c>
      <c r="Z348" s="23">
        <f t="shared" si="91"/>
        <v>134.16666666666671</v>
      </c>
      <c r="AA348" s="23">
        <f t="shared" si="91"/>
        <v>143.75000000000014</v>
      </c>
      <c r="AB348" s="23">
        <f t="shared" si="91"/>
        <v>153.33333333333314</v>
      </c>
      <c r="AC348" s="24">
        <f t="shared" si="91"/>
        <v>124.58333333333329</v>
      </c>
      <c r="AD348" s="24">
        <f t="shared" si="91"/>
        <v>134.16666666666671</v>
      </c>
      <c r="AE348" s="24">
        <f t="shared" si="91"/>
        <v>143.75000000000014</v>
      </c>
      <c r="AF348" s="25">
        <f t="shared" si="91"/>
        <v>115.00000000000007</v>
      </c>
      <c r="AG348" s="25">
        <f t="shared" si="91"/>
        <v>124.58333333333329</v>
      </c>
      <c r="AH348" s="25">
        <f t="shared" si="91"/>
        <v>134.16666666666671</v>
      </c>
      <c r="AI348" s="26">
        <f t="shared" si="91"/>
        <v>105.41666666666664</v>
      </c>
      <c r="AJ348" s="26">
        <f t="shared" si="91"/>
        <v>115.00000000000007</v>
      </c>
      <c r="AK348" s="26">
        <f t="shared" si="89"/>
        <v>124.58333333333329</v>
      </c>
    </row>
    <row r="349" spans="4:37" ht="20.100000000000001" customHeight="1">
      <c r="D349" s="27">
        <f t="shared" si="88"/>
        <v>0.96111111111110825</v>
      </c>
      <c r="E349" s="16">
        <f t="shared" si="90"/>
        <v>255.65555555555568</v>
      </c>
      <c r="F349" s="16">
        <f t="shared" si="90"/>
        <v>265.26666666666688</v>
      </c>
      <c r="G349" s="16">
        <f t="shared" si="90"/>
        <v>274.87777777777808</v>
      </c>
      <c r="H349" s="17">
        <f t="shared" si="90"/>
        <v>236.43333333333328</v>
      </c>
      <c r="I349" s="17">
        <f t="shared" si="90"/>
        <v>246.04444444444448</v>
      </c>
      <c r="J349" s="17">
        <f t="shared" si="90"/>
        <v>255.65555555555568</v>
      </c>
      <c r="K349" s="18">
        <f t="shared" si="90"/>
        <v>217.21111111111128</v>
      </c>
      <c r="L349" s="18">
        <f t="shared" si="90"/>
        <v>226.82222222222208</v>
      </c>
      <c r="M349" s="18">
        <f t="shared" si="90"/>
        <v>236.43333333333328</v>
      </c>
      <c r="N349" s="19">
        <f t="shared" si="90"/>
        <v>173</v>
      </c>
      <c r="O349" s="19">
        <f t="shared" si="90"/>
        <v>182.6111111111112</v>
      </c>
      <c r="P349" s="19">
        <f t="shared" si="90"/>
        <v>192.2222222222224</v>
      </c>
      <c r="Q349" s="20">
        <f t="shared" si="90"/>
        <v>163.3888888888888</v>
      </c>
      <c r="R349" s="20">
        <f t="shared" si="90"/>
        <v>173</v>
      </c>
      <c r="S349" s="20">
        <f t="shared" si="90"/>
        <v>182.6111111111112</v>
      </c>
      <c r="T349" s="21">
        <f t="shared" si="90"/>
        <v>153.7777777777776</v>
      </c>
      <c r="U349" s="21">
        <f t="shared" si="91"/>
        <v>163.3888888888888</v>
      </c>
      <c r="V349" s="21">
        <f t="shared" si="91"/>
        <v>173</v>
      </c>
      <c r="W349" s="22">
        <f t="shared" si="91"/>
        <v>144.1666666666668</v>
      </c>
      <c r="X349" s="22">
        <f t="shared" si="91"/>
        <v>153.7777777777776</v>
      </c>
      <c r="Y349" s="22">
        <f t="shared" si="91"/>
        <v>163.3888888888888</v>
      </c>
      <c r="Z349" s="23">
        <f t="shared" si="91"/>
        <v>134.5555555555556</v>
      </c>
      <c r="AA349" s="23">
        <f t="shared" si="91"/>
        <v>144.1666666666668</v>
      </c>
      <c r="AB349" s="23">
        <f t="shared" si="91"/>
        <v>153.7777777777776</v>
      </c>
      <c r="AC349" s="24">
        <f t="shared" si="91"/>
        <v>124.9444444444444</v>
      </c>
      <c r="AD349" s="24">
        <f t="shared" si="91"/>
        <v>134.5555555555556</v>
      </c>
      <c r="AE349" s="24">
        <f t="shared" si="91"/>
        <v>144.1666666666668</v>
      </c>
      <c r="AF349" s="25">
        <f t="shared" si="91"/>
        <v>115.3333333333334</v>
      </c>
      <c r="AG349" s="25">
        <f t="shared" si="91"/>
        <v>124.9444444444444</v>
      </c>
      <c r="AH349" s="25">
        <f t="shared" si="91"/>
        <v>134.5555555555556</v>
      </c>
      <c r="AI349" s="26">
        <f t="shared" si="91"/>
        <v>105.7222222222222</v>
      </c>
      <c r="AJ349" s="26">
        <f t="shared" si="91"/>
        <v>115.3333333333334</v>
      </c>
      <c r="AK349" s="26">
        <f t="shared" si="89"/>
        <v>124.9444444444444</v>
      </c>
    </row>
    <row r="350" spans="4:37" ht="20.100000000000001" customHeight="1">
      <c r="D350" s="27">
        <f t="shared" si="88"/>
        <v>0.96388888888888602</v>
      </c>
      <c r="E350" s="16">
        <f t="shared" si="90"/>
        <v>256.39444444444456</v>
      </c>
      <c r="F350" s="16">
        <f t="shared" si="90"/>
        <v>266.03333333333353</v>
      </c>
      <c r="G350" s="16">
        <f t="shared" si="90"/>
        <v>275.6722222222225</v>
      </c>
      <c r="H350" s="17">
        <f t="shared" si="90"/>
        <v>237.11666666666662</v>
      </c>
      <c r="I350" s="17">
        <f t="shared" si="90"/>
        <v>246.75555555555559</v>
      </c>
      <c r="J350" s="17">
        <f t="shared" si="90"/>
        <v>256.39444444444456</v>
      </c>
      <c r="K350" s="18">
        <f t="shared" si="90"/>
        <v>217.83888888888904</v>
      </c>
      <c r="L350" s="18">
        <f t="shared" si="90"/>
        <v>227.47777777777765</v>
      </c>
      <c r="M350" s="18">
        <f t="shared" si="90"/>
        <v>237.11666666666662</v>
      </c>
      <c r="N350" s="19">
        <f t="shared" si="90"/>
        <v>173.5</v>
      </c>
      <c r="O350" s="19">
        <f t="shared" si="90"/>
        <v>183.13888888888897</v>
      </c>
      <c r="P350" s="19">
        <f t="shared" si="90"/>
        <v>192.77777777777794</v>
      </c>
      <c r="Q350" s="20">
        <f t="shared" si="90"/>
        <v>163.86111111111103</v>
      </c>
      <c r="R350" s="20">
        <f t="shared" si="90"/>
        <v>173.5</v>
      </c>
      <c r="S350" s="20">
        <f t="shared" si="90"/>
        <v>183.13888888888897</v>
      </c>
      <c r="T350" s="21">
        <f t="shared" si="90"/>
        <v>154.22222222222206</v>
      </c>
      <c r="U350" s="21">
        <f t="shared" si="91"/>
        <v>163.86111111111103</v>
      </c>
      <c r="V350" s="21">
        <f t="shared" si="91"/>
        <v>173.5</v>
      </c>
      <c r="W350" s="22">
        <f t="shared" si="91"/>
        <v>144.58333333333346</v>
      </c>
      <c r="X350" s="22">
        <f t="shared" si="91"/>
        <v>154.22222222222206</v>
      </c>
      <c r="Y350" s="22">
        <f t="shared" si="91"/>
        <v>163.86111111111103</v>
      </c>
      <c r="Z350" s="23">
        <f t="shared" si="91"/>
        <v>134.94444444444449</v>
      </c>
      <c r="AA350" s="23">
        <f t="shared" si="91"/>
        <v>144.58333333333346</v>
      </c>
      <c r="AB350" s="23">
        <f t="shared" si="91"/>
        <v>154.22222222222206</v>
      </c>
      <c r="AC350" s="24">
        <f t="shared" si="91"/>
        <v>125.30555555555551</v>
      </c>
      <c r="AD350" s="24">
        <f t="shared" si="91"/>
        <v>134.94444444444449</v>
      </c>
      <c r="AE350" s="24">
        <f t="shared" si="91"/>
        <v>144.58333333333346</v>
      </c>
      <c r="AF350" s="25">
        <f t="shared" si="91"/>
        <v>115.66666666666673</v>
      </c>
      <c r="AG350" s="25">
        <f t="shared" si="91"/>
        <v>125.30555555555551</v>
      </c>
      <c r="AH350" s="25">
        <f t="shared" si="91"/>
        <v>134.94444444444449</v>
      </c>
      <c r="AI350" s="26">
        <f t="shared" si="91"/>
        <v>106.02777777777776</v>
      </c>
      <c r="AJ350" s="26">
        <f t="shared" si="91"/>
        <v>115.66666666666673</v>
      </c>
      <c r="AK350" s="26">
        <f t="shared" si="89"/>
        <v>125.30555555555551</v>
      </c>
    </row>
    <row r="351" spans="4:37" ht="20.100000000000001" customHeight="1">
      <c r="D351" s="27">
        <f t="shared" si="88"/>
        <v>0.96666666666666379</v>
      </c>
      <c r="E351" s="16">
        <f t="shared" si="90"/>
        <v>257.13333333333344</v>
      </c>
      <c r="F351" s="16">
        <f t="shared" si="90"/>
        <v>266.80000000000018</v>
      </c>
      <c r="G351" s="16">
        <f t="shared" si="90"/>
        <v>276.46666666666692</v>
      </c>
      <c r="H351" s="17">
        <f t="shared" si="90"/>
        <v>237.79999999999995</v>
      </c>
      <c r="I351" s="17">
        <f t="shared" si="90"/>
        <v>247.4666666666667</v>
      </c>
      <c r="J351" s="17">
        <f t="shared" si="90"/>
        <v>257.13333333333344</v>
      </c>
      <c r="K351" s="18">
        <f t="shared" si="90"/>
        <v>218.46666666666681</v>
      </c>
      <c r="L351" s="18">
        <f t="shared" si="90"/>
        <v>228.13333333333321</v>
      </c>
      <c r="M351" s="18">
        <f t="shared" si="90"/>
        <v>237.79999999999995</v>
      </c>
      <c r="N351" s="19">
        <f t="shared" si="90"/>
        <v>174</v>
      </c>
      <c r="O351" s="19">
        <f t="shared" si="90"/>
        <v>183.66666666666674</v>
      </c>
      <c r="P351" s="19">
        <f t="shared" si="90"/>
        <v>193.33333333333348</v>
      </c>
      <c r="Q351" s="20">
        <f t="shared" si="90"/>
        <v>164.33333333333326</v>
      </c>
      <c r="R351" s="20">
        <f t="shared" si="90"/>
        <v>174</v>
      </c>
      <c r="S351" s="20">
        <f t="shared" si="90"/>
        <v>183.66666666666674</v>
      </c>
      <c r="T351" s="21">
        <f t="shared" si="90"/>
        <v>154.66666666666652</v>
      </c>
      <c r="U351" s="21">
        <f t="shared" si="91"/>
        <v>164.33333333333326</v>
      </c>
      <c r="V351" s="21">
        <f t="shared" si="91"/>
        <v>174</v>
      </c>
      <c r="W351" s="22">
        <f t="shared" si="91"/>
        <v>145.00000000000011</v>
      </c>
      <c r="X351" s="22">
        <f t="shared" si="91"/>
        <v>154.66666666666652</v>
      </c>
      <c r="Y351" s="22">
        <f t="shared" si="91"/>
        <v>164.33333333333326</v>
      </c>
      <c r="Z351" s="23">
        <f t="shared" si="91"/>
        <v>135.33333333333337</v>
      </c>
      <c r="AA351" s="23">
        <f t="shared" si="91"/>
        <v>145.00000000000011</v>
      </c>
      <c r="AB351" s="23">
        <f t="shared" si="91"/>
        <v>154.66666666666652</v>
      </c>
      <c r="AC351" s="24">
        <f t="shared" si="91"/>
        <v>125.66666666666663</v>
      </c>
      <c r="AD351" s="24">
        <f t="shared" si="91"/>
        <v>135.33333333333337</v>
      </c>
      <c r="AE351" s="24">
        <f t="shared" si="91"/>
        <v>145.00000000000011</v>
      </c>
      <c r="AF351" s="25">
        <f t="shared" si="91"/>
        <v>116.00000000000006</v>
      </c>
      <c r="AG351" s="25">
        <f t="shared" si="91"/>
        <v>125.66666666666663</v>
      </c>
      <c r="AH351" s="25">
        <f t="shared" si="91"/>
        <v>135.33333333333337</v>
      </c>
      <c r="AI351" s="26">
        <f t="shared" si="91"/>
        <v>106.33333333333331</v>
      </c>
      <c r="AJ351" s="26">
        <f t="shared" si="91"/>
        <v>116.00000000000006</v>
      </c>
      <c r="AK351" s="26">
        <f t="shared" si="89"/>
        <v>125.66666666666663</v>
      </c>
    </row>
    <row r="352" spans="4:37" ht="20.100000000000001" customHeight="1">
      <c r="D352" s="27">
        <f t="shared" si="88"/>
        <v>0.96944444444444156</v>
      </c>
      <c r="E352" s="16">
        <f t="shared" si="90"/>
        <v>257.87222222222232</v>
      </c>
      <c r="F352" s="16">
        <f t="shared" si="90"/>
        <v>267.56666666666683</v>
      </c>
      <c r="G352" s="16">
        <f t="shared" si="90"/>
        <v>277.26111111111135</v>
      </c>
      <c r="H352" s="17">
        <f t="shared" si="90"/>
        <v>238.48333333333329</v>
      </c>
      <c r="I352" s="17">
        <f t="shared" si="90"/>
        <v>248.17777777777781</v>
      </c>
      <c r="J352" s="17">
        <f t="shared" si="90"/>
        <v>257.87222222222232</v>
      </c>
      <c r="K352" s="18">
        <f t="shared" si="90"/>
        <v>219.09444444444458</v>
      </c>
      <c r="L352" s="18">
        <f t="shared" si="90"/>
        <v>228.78888888888878</v>
      </c>
      <c r="M352" s="18">
        <f t="shared" si="90"/>
        <v>238.48333333333329</v>
      </c>
      <c r="N352" s="19">
        <f t="shared" si="90"/>
        <v>174.5</v>
      </c>
      <c r="O352" s="19">
        <f t="shared" si="90"/>
        <v>184.19444444444451</v>
      </c>
      <c r="P352" s="19">
        <f t="shared" si="90"/>
        <v>193.88888888888903</v>
      </c>
      <c r="Q352" s="20">
        <f t="shared" si="90"/>
        <v>164.80555555555549</v>
      </c>
      <c r="R352" s="20">
        <f t="shared" si="90"/>
        <v>174.5</v>
      </c>
      <c r="S352" s="20">
        <f t="shared" si="90"/>
        <v>184.19444444444451</v>
      </c>
      <c r="T352" s="21">
        <f t="shared" si="90"/>
        <v>155.11111111111097</v>
      </c>
      <c r="U352" s="21">
        <f t="shared" si="91"/>
        <v>164.80555555555549</v>
      </c>
      <c r="V352" s="21">
        <f t="shared" si="91"/>
        <v>174.5</v>
      </c>
      <c r="W352" s="22">
        <f t="shared" si="91"/>
        <v>145.41666666666677</v>
      </c>
      <c r="X352" s="22">
        <f t="shared" si="91"/>
        <v>155.11111111111097</v>
      </c>
      <c r="Y352" s="22">
        <f t="shared" si="91"/>
        <v>164.80555555555549</v>
      </c>
      <c r="Z352" s="23">
        <f t="shared" si="91"/>
        <v>135.72222222222226</v>
      </c>
      <c r="AA352" s="23">
        <f t="shared" si="91"/>
        <v>145.41666666666677</v>
      </c>
      <c r="AB352" s="23">
        <f t="shared" si="91"/>
        <v>155.11111111111097</v>
      </c>
      <c r="AC352" s="24">
        <f t="shared" si="91"/>
        <v>126.02777777777774</v>
      </c>
      <c r="AD352" s="24">
        <f t="shared" si="91"/>
        <v>135.72222222222226</v>
      </c>
      <c r="AE352" s="24">
        <f t="shared" si="91"/>
        <v>145.41666666666677</v>
      </c>
      <c r="AF352" s="25">
        <f t="shared" si="91"/>
        <v>116.33333333333339</v>
      </c>
      <c r="AG352" s="25">
        <f t="shared" si="91"/>
        <v>126.02777777777774</v>
      </c>
      <c r="AH352" s="25">
        <f t="shared" si="91"/>
        <v>135.72222222222226</v>
      </c>
      <c r="AI352" s="26">
        <f t="shared" si="91"/>
        <v>106.63888888888887</v>
      </c>
      <c r="AJ352" s="26">
        <f t="shared" si="91"/>
        <v>116.33333333333339</v>
      </c>
      <c r="AK352" s="26">
        <f t="shared" si="89"/>
        <v>126.02777777777774</v>
      </c>
    </row>
    <row r="353" spans="4:37" ht="20.100000000000001" customHeight="1">
      <c r="D353" s="27">
        <f t="shared" si="88"/>
        <v>0.97222222222221932</v>
      </c>
      <c r="E353" s="16">
        <f t="shared" si="90"/>
        <v>258.6111111111112</v>
      </c>
      <c r="F353" s="16">
        <f t="shared" si="90"/>
        <v>268.33333333333348</v>
      </c>
      <c r="G353" s="16">
        <f t="shared" si="90"/>
        <v>278.05555555555577</v>
      </c>
      <c r="H353" s="17">
        <f t="shared" si="90"/>
        <v>239.16666666666663</v>
      </c>
      <c r="I353" s="17">
        <f t="shared" si="90"/>
        <v>248.88888888888891</v>
      </c>
      <c r="J353" s="17">
        <f t="shared" si="90"/>
        <v>258.6111111111112</v>
      </c>
      <c r="K353" s="18">
        <f t="shared" si="90"/>
        <v>219.72222222222234</v>
      </c>
      <c r="L353" s="18">
        <f t="shared" si="90"/>
        <v>229.44444444444434</v>
      </c>
      <c r="M353" s="18">
        <f t="shared" si="90"/>
        <v>239.16666666666663</v>
      </c>
      <c r="N353" s="19">
        <f t="shared" si="90"/>
        <v>175</v>
      </c>
      <c r="O353" s="19">
        <f t="shared" si="90"/>
        <v>184.72222222222229</v>
      </c>
      <c r="P353" s="19">
        <f t="shared" si="90"/>
        <v>194.44444444444457</v>
      </c>
      <c r="Q353" s="20">
        <f t="shared" si="90"/>
        <v>165.27777777777771</v>
      </c>
      <c r="R353" s="20">
        <f t="shared" si="90"/>
        <v>175</v>
      </c>
      <c r="S353" s="20">
        <f t="shared" si="90"/>
        <v>184.72222222222229</v>
      </c>
      <c r="T353" s="21">
        <f t="shared" si="90"/>
        <v>155.55555555555543</v>
      </c>
      <c r="U353" s="21">
        <f t="shared" si="91"/>
        <v>165.27777777777771</v>
      </c>
      <c r="V353" s="21">
        <f t="shared" si="91"/>
        <v>175</v>
      </c>
      <c r="W353" s="22">
        <f t="shared" si="91"/>
        <v>145.83333333333343</v>
      </c>
      <c r="X353" s="22">
        <f t="shared" si="91"/>
        <v>155.55555555555543</v>
      </c>
      <c r="Y353" s="22">
        <f t="shared" si="91"/>
        <v>165.27777777777771</v>
      </c>
      <c r="Z353" s="23">
        <f t="shared" si="91"/>
        <v>136.11111111111114</v>
      </c>
      <c r="AA353" s="23">
        <f t="shared" si="91"/>
        <v>145.83333333333343</v>
      </c>
      <c r="AB353" s="23">
        <f t="shared" si="91"/>
        <v>155.55555555555543</v>
      </c>
      <c r="AC353" s="24">
        <f t="shared" si="91"/>
        <v>126.38888888888886</v>
      </c>
      <c r="AD353" s="24">
        <f t="shared" si="91"/>
        <v>136.11111111111114</v>
      </c>
      <c r="AE353" s="24">
        <f t="shared" si="91"/>
        <v>145.83333333333343</v>
      </c>
      <c r="AF353" s="25">
        <f t="shared" si="91"/>
        <v>116.66666666666671</v>
      </c>
      <c r="AG353" s="25">
        <f t="shared" si="91"/>
        <v>126.38888888888886</v>
      </c>
      <c r="AH353" s="25">
        <f t="shared" si="91"/>
        <v>136.11111111111114</v>
      </c>
      <c r="AI353" s="26">
        <f t="shared" si="91"/>
        <v>106.94444444444443</v>
      </c>
      <c r="AJ353" s="26">
        <f t="shared" si="91"/>
        <v>116.66666666666671</v>
      </c>
      <c r="AK353" s="26">
        <f t="shared" si="89"/>
        <v>126.38888888888886</v>
      </c>
    </row>
    <row r="354" spans="4:37" ht="20.100000000000001" customHeight="1">
      <c r="D354" s="27">
        <f t="shared" si="88"/>
        <v>0.97499999999999709</v>
      </c>
      <c r="E354" s="16">
        <f t="shared" si="90"/>
        <v>259.35000000000008</v>
      </c>
      <c r="F354" s="16">
        <f t="shared" si="90"/>
        <v>269.10000000000014</v>
      </c>
      <c r="G354" s="16">
        <f t="shared" si="90"/>
        <v>278.85000000000019</v>
      </c>
      <c r="H354" s="17">
        <f t="shared" si="90"/>
        <v>239.84999999999997</v>
      </c>
      <c r="I354" s="17">
        <f t="shared" si="90"/>
        <v>249.60000000000002</v>
      </c>
      <c r="J354" s="17">
        <f t="shared" si="90"/>
        <v>259.35000000000008</v>
      </c>
      <c r="K354" s="18">
        <f t="shared" si="90"/>
        <v>220.35000000000011</v>
      </c>
      <c r="L354" s="18">
        <f t="shared" si="90"/>
        <v>230.09999999999991</v>
      </c>
      <c r="M354" s="18">
        <f t="shared" si="90"/>
        <v>239.84999999999997</v>
      </c>
      <c r="N354" s="19">
        <f t="shared" si="90"/>
        <v>175.5</v>
      </c>
      <c r="O354" s="19">
        <f t="shared" si="90"/>
        <v>185.25000000000006</v>
      </c>
      <c r="P354" s="19">
        <f t="shared" si="90"/>
        <v>195.00000000000011</v>
      </c>
      <c r="Q354" s="20">
        <f t="shared" si="90"/>
        <v>165.74999999999994</v>
      </c>
      <c r="R354" s="20">
        <f t="shared" si="90"/>
        <v>175.5</v>
      </c>
      <c r="S354" s="20">
        <f t="shared" si="90"/>
        <v>185.25000000000006</v>
      </c>
      <c r="T354" s="21">
        <f t="shared" si="90"/>
        <v>155.99999999999989</v>
      </c>
      <c r="U354" s="21">
        <f t="shared" si="91"/>
        <v>165.74999999999994</v>
      </c>
      <c r="V354" s="21">
        <f t="shared" si="91"/>
        <v>175.5</v>
      </c>
      <c r="W354" s="22">
        <f t="shared" si="91"/>
        <v>146.25000000000009</v>
      </c>
      <c r="X354" s="22">
        <f t="shared" si="91"/>
        <v>155.99999999999989</v>
      </c>
      <c r="Y354" s="22">
        <f t="shared" si="91"/>
        <v>165.74999999999994</v>
      </c>
      <c r="Z354" s="23">
        <f t="shared" si="91"/>
        <v>136.50000000000003</v>
      </c>
      <c r="AA354" s="23">
        <f t="shared" si="91"/>
        <v>146.25000000000009</v>
      </c>
      <c r="AB354" s="23">
        <f t="shared" si="91"/>
        <v>155.99999999999989</v>
      </c>
      <c r="AC354" s="24">
        <f t="shared" si="91"/>
        <v>126.74999999999997</v>
      </c>
      <c r="AD354" s="24">
        <f t="shared" si="91"/>
        <v>136.50000000000003</v>
      </c>
      <c r="AE354" s="24">
        <f t="shared" si="91"/>
        <v>146.25000000000009</v>
      </c>
      <c r="AF354" s="25">
        <f t="shared" si="91"/>
        <v>117.00000000000004</v>
      </c>
      <c r="AG354" s="25">
        <f t="shared" si="91"/>
        <v>126.74999999999997</v>
      </c>
      <c r="AH354" s="25">
        <f t="shared" si="91"/>
        <v>136.50000000000003</v>
      </c>
      <c r="AI354" s="26">
        <f t="shared" si="91"/>
        <v>107.24999999999999</v>
      </c>
      <c r="AJ354" s="26">
        <f t="shared" si="91"/>
        <v>117.00000000000004</v>
      </c>
      <c r="AK354" s="26">
        <f t="shared" si="89"/>
        <v>126.74999999999997</v>
      </c>
    </row>
    <row r="355" spans="4:37" ht="20.100000000000001" customHeight="1">
      <c r="D355" s="27">
        <f t="shared" si="88"/>
        <v>0.97777777777777486</v>
      </c>
      <c r="E355" s="16">
        <f t="shared" si="90"/>
        <v>260.08888888888896</v>
      </c>
      <c r="F355" s="16">
        <f t="shared" si="90"/>
        <v>269.86666666666679</v>
      </c>
      <c r="G355" s="16">
        <f t="shared" si="90"/>
        <v>279.64444444444462</v>
      </c>
      <c r="H355" s="17">
        <f t="shared" si="90"/>
        <v>240.5333333333333</v>
      </c>
      <c r="I355" s="17">
        <f t="shared" si="90"/>
        <v>250.31111111111113</v>
      </c>
      <c r="J355" s="17">
        <f t="shared" si="90"/>
        <v>260.08888888888896</v>
      </c>
      <c r="K355" s="18">
        <f t="shared" si="90"/>
        <v>220.97777777777787</v>
      </c>
      <c r="L355" s="18">
        <f t="shared" si="90"/>
        <v>230.75555555555547</v>
      </c>
      <c r="M355" s="18">
        <f t="shared" si="90"/>
        <v>240.5333333333333</v>
      </c>
      <c r="N355" s="19">
        <f t="shared" si="90"/>
        <v>176</v>
      </c>
      <c r="O355" s="19">
        <f t="shared" si="90"/>
        <v>185.77777777777783</v>
      </c>
      <c r="P355" s="19">
        <f t="shared" si="90"/>
        <v>195.55555555555566</v>
      </c>
      <c r="Q355" s="20">
        <f t="shared" si="90"/>
        <v>166.22222222222217</v>
      </c>
      <c r="R355" s="20">
        <f t="shared" si="90"/>
        <v>176</v>
      </c>
      <c r="S355" s="20">
        <f t="shared" si="90"/>
        <v>185.77777777777783</v>
      </c>
      <c r="T355" s="21">
        <f>T356-(T$363/360)</f>
        <v>156.44444444444434</v>
      </c>
      <c r="U355" s="21">
        <f t="shared" si="91"/>
        <v>166.22222222222217</v>
      </c>
      <c r="V355" s="21">
        <f t="shared" si="91"/>
        <v>176</v>
      </c>
      <c r="W355" s="22">
        <f t="shared" si="91"/>
        <v>146.66666666666674</v>
      </c>
      <c r="X355" s="22">
        <f t="shared" si="91"/>
        <v>156.44444444444434</v>
      </c>
      <c r="Y355" s="22">
        <f t="shared" si="91"/>
        <v>166.22222222222217</v>
      </c>
      <c r="Z355" s="23">
        <f t="shared" si="91"/>
        <v>136.88888888888891</v>
      </c>
      <c r="AA355" s="23">
        <f t="shared" si="91"/>
        <v>146.66666666666674</v>
      </c>
      <c r="AB355" s="23">
        <f t="shared" si="91"/>
        <v>156.44444444444434</v>
      </c>
      <c r="AC355" s="24">
        <f t="shared" si="91"/>
        <v>127.11111111111109</v>
      </c>
      <c r="AD355" s="24">
        <f t="shared" si="91"/>
        <v>136.88888888888891</v>
      </c>
      <c r="AE355" s="24">
        <f t="shared" si="91"/>
        <v>146.66666666666674</v>
      </c>
      <c r="AF355" s="25">
        <f t="shared" si="91"/>
        <v>117.33333333333337</v>
      </c>
      <c r="AG355" s="25">
        <f t="shared" si="91"/>
        <v>127.11111111111109</v>
      </c>
      <c r="AH355" s="25">
        <f t="shared" si="91"/>
        <v>136.88888888888891</v>
      </c>
      <c r="AI355" s="26">
        <f t="shared" si="91"/>
        <v>107.55555555555554</v>
      </c>
      <c r="AJ355" s="26">
        <f>AJ356-(AJ$363/360)</f>
        <v>117.33333333333337</v>
      </c>
      <c r="AK355" s="26">
        <f t="shared" si="89"/>
        <v>127.11111111111109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260.82777777777784</v>
      </c>
      <c r="F356" s="16">
        <f t="shared" si="92"/>
        <v>270.63333333333344</v>
      </c>
      <c r="G356" s="16">
        <f t="shared" si="92"/>
        <v>280.43888888888904</v>
      </c>
      <c r="H356" s="17">
        <f t="shared" si="92"/>
        <v>241.21666666666664</v>
      </c>
      <c r="I356" s="17">
        <f t="shared" si="92"/>
        <v>251.02222222222224</v>
      </c>
      <c r="J356" s="17">
        <f t="shared" si="92"/>
        <v>260.82777777777784</v>
      </c>
      <c r="K356" s="18">
        <f t="shared" si="92"/>
        <v>221.60555555555564</v>
      </c>
      <c r="L356" s="18">
        <f t="shared" si="92"/>
        <v>231.41111111111104</v>
      </c>
      <c r="M356" s="18">
        <f t="shared" si="92"/>
        <v>241.21666666666664</v>
      </c>
      <c r="N356" s="19">
        <f t="shared" si="92"/>
        <v>176.5</v>
      </c>
      <c r="O356" s="19">
        <f t="shared" si="92"/>
        <v>186.3055555555556</v>
      </c>
      <c r="P356" s="19">
        <f t="shared" si="92"/>
        <v>196.1111111111112</v>
      </c>
      <c r="Q356" s="20">
        <f t="shared" si="92"/>
        <v>166.6944444444444</v>
      </c>
      <c r="R356" s="20">
        <f t="shared" si="92"/>
        <v>176.5</v>
      </c>
      <c r="S356" s="20">
        <f t="shared" si="92"/>
        <v>186.3055555555556</v>
      </c>
      <c r="T356" s="21">
        <f t="shared" si="92"/>
        <v>156.8888888888888</v>
      </c>
      <c r="U356" s="21">
        <f t="shared" ref="U356:AJ362" si="93">U357-(U$363/360)</f>
        <v>166.6944444444444</v>
      </c>
      <c r="V356" s="21">
        <f t="shared" si="93"/>
        <v>176.5</v>
      </c>
      <c r="W356" s="22">
        <f t="shared" si="93"/>
        <v>147.0833333333334</v>
      </c>
      <c r="X356" s="22">
        <f t="shared" si="93"/>
        <v>156.8888888888888</v>
      </c>
      <c r="Y356" s="22">
        <f t="shared" si="93"/>
        <v>166.6944444444444</v>
      </c>
      <c r="Z356" s="23">
        <f t="shared" si="93"/>
        <v>137.2777777777778</v>
      </c>
      <c r="AA356" s="23">
        <f t="shared" si="93"/>
        <v>147.0833333333334</v>
      </c>
      <c r="AB356" s="23">
        <f t="shared" si="93"/>
        <v>156.8888888888888</v>
      </c>
      <c r="AC356" s="24">
        <f t="shared" si="93"/>
        <v>127.4722222222222</v>
      </c>
      <c r="AD356" s="24">
        <f t="shared" si="93"/>
        <v>137.2777777777778</v>
      </c>
      <c r="AE356" s="24">
        <f t="shared" si="93"/>
        <v>147.0833333333334</v>
      </c>
      <c r="AF356" s="25">
        <f t="shared" si="93"/>
        <v>117.6666666666667</v>
      </c>
      <c r="AG356" s="25">
        <f t="shared" si="93"/>
        <v>127.4722222222222</v>
      </c>
      <c r="AH356" s="25">
        <f t="shared" si="93"/>
        <v>137.2777777777778</v>
      </c>
      <c r="AI356" s="26">
        <f t="shared" si="93"/>
        <v>107.8611111111111</v>
      </c>
      <c r="AJ356" s="26">
        <f t="shared" si="93"/>
        <v>117.6666666666667</v>
      </c>
      <c r="AK356" s="26">
        <f t="shared" si="89"/>
        <v>127.4722222222222</v>
      </c>
    </row>
    <row r="357" spans="4:37" ht="20.100000000000001" customHeight="1">
      <c r="D357" s="27">
        <f t="shared" si="88"/>
        <v>0.98333333333333039</v>
      </c>
      <c r="E357" s="16">
        <f t="shared" si="92"/>
        <v>261.56666666666672</v>
      </c>
      <c r="F357" s="16">
        <f t="shared" si="92"/>
        <v>271.40000000000009</v>
      </c>
      <c r="G357" s="16">
        <f t="shared" si="92"/>
        <v>281.23333333333346</v>
      </c>
      <c r="H357" s="17">
        <f t="shared" si="92"/>
        <v>241.89999999999998</v>
      </c>
      <c r="I357" s="17">
        <f t="shared" si="92"/>
        <v>251.73333333333335</v>
      </c>
      <c r="J357" s="17">
        <f t="shared" si="92"/>
        <v>261.56666666666672</v>
      </c>
      <c r="K357" s="18">
        <f t="shared" si="92"/>
        <v>222.23333333333341</v>
      </c>
      <c r="L357" s="18">
        <f t="shared" si="92"/>
        <v>232.06666666666661</v>
      </c>
      <c r="M357" s="18">
        <f t="shared" si="92"/>
        <v>241.89999999999998</v>
      </c>
      <c r="N357" s="19">
        <f t="shared" si="92"/>
        <v>177</v>
      </c>
      <c r="O357" s="19">
        <f t="shared" si="92"/>
        <v>186.83333333333337</v>
      </c>
      <c r="P357" s="19">
        <f t="shared" si="92"/>
        <v>196.66666666666674</v>
      </c>
      <c r="Q357" s="20">
        <f t="shared" si="92"/>
        <v>167.16666666666663</v>
      </c>
      <c r="R357" s="20">
        <f t="shared" si="92"/>
        <v>177</v>
      </c>
      <c r="S357" s="20">
        <f t="shared" si="92"/>
        <v>186.83333333333337</v>
      </c>
      <c r="T357" s="21">
        <f t="shared" si="92"/>
        <v>157.33333333333326</v>
      </c>
      <c r="U357" s="21">
        <f t="shared" si="93"/>
        <v>167.16666666666663</v>
      </c>
      <c r="V357" s="21">
        <f t="shared" si="93"/>
        <v>177</v>
      </c>
      <c r="W357" s="22">
        <f t="shared" si="93"/>
        <v>147.50000000000006</v>
      </c>
      <c r="X357" s="22">
        <f t="shared" si="93"/>
        <v>157.33333333333326</v>
      </c>
      <c r="Y357" s="22">
        <f t="shared" si="93"/>
        <v>167.16666666666663</v>
      </c>
      <c r="Z357" s="23">
        <f t="shared" si="93"/>
        <v>137.66666666666669</v>
      </c>
      <c r="AA357" s="23">
        <f t="shared" si="93"/>
        <v>147.50000000000006</v>
      </c>
      <c r="AB357" s="23">
        <f t="shared" si="93"/>
        <v>157.33333333333326</v>
      </c>
      <c r="AC357" s="24">
        <f t="shared" si="93"/>
        <v>127.83333333333331</v>
      </c>
      <c r="AD357" s="24">
        <f t="shared" si="93"/>
        <v>137.66666666666669</v>
      </c>
      <c r="AE357" s="24">
        <f t="shared" si="93"/>
        <v>147.50000000000006</v>
      </c>
      <c r="AF357" s="25">
        <f t="shared" si="93"/>
        <v>118.00000000000003</v>
      </c>
      <c r="AG357" s="25">
        <f t="shared" si="93"/>
        <v>127.83333333333331</v>
      </c>
      <c r="AH357" s="25">
        <f t="shared" si="93"/>
        <v>137.66666666666669</v>
      </c>
      <c r="AI357" s="26">
        <f t="shared" si="93"/>
        <v>108.16666666666666</v>
      </c>
      <c r="AJ357" s="26">
        <f t="shared" si="93"/>
        <v>118.00000000000003</v>
      </c>
      <c r="AK357" s="26">
        <f t="shared" si="89"/>
        <v>127.83333333333331</v>
      </c>
    </row>
    <row r="358" spans="4:37" ht="20.100000000000001" customHeight="1">
      <c r="D358" s="27">
        <f t="shared" si="88"/>
        <v>0.98611111111110816</v>
      </c>
      <c r="E358" s="16">
        <f t="shared" si="92"/>
        <v>262.3055555555556</v>
      </c>
      <c r="F358" s="16">
        <f t="shared" si="92"/>
        <v>272.16666666666674</v>
      </c>
      <c r="G358" s="16">
        <f t="shared" si="92"/>
        <v>282.02777777777789</v>
      </c>
      <c r="H358" s="17">
        <f t="shared" si="92"/>
        <v>242.58333333333331</v>
      </c>
      <c r="I358" s="17">
        <f t="shared" si="92"/>
        <v>252.44444444444446</v>
      </c>
      <c r="J358" s="17">
        <f t="shared" si="92"/>
        <v>262.3055555555556</v>
      </c>
      <c r="K358" s="18">
        <f t="shared" si="92"/>
        <v>222.86111111111117</v>
      </c>
      <c r="L358" s="18">
        <f t="shared" si="92"/>
        <v>232.72222222222217</v>
      </c>
      <c r="M358" s="18">
        <f t="shared" si="92"/>
        <v>242.58333333333331</v>
      </c>
      <c r="N358" s="19">
        <f t="shared" si="92"/>
        <v>177.5</v>
      </c>
      <c r="O358" s="19">
        <f t="shared" si="92"/>
        <v>187.36111111111114</v>
      </c>
      <c r="P358" s="19">
        <f t="shared" si="92"/>
        <v>197.22222222222229</v>
      </c>
      <c r="Q358" s="20">
        <f t="shared" si="92"/>
        <v>167.63888888888886</v>
      </c>
      <c r="R358" s="20">
        <f t="shared" si="92"/>
        <v>177.5</v>
      </c>
      <c r="S358" s="20">
        <f t="shared" si="92"/>
        <v>187.36111111111114</v>
      </c>
      <c r="T358" s="21">
        <f t="shared" si="92"/>
        <v>157.77777777777771</v>
      </c>
      <c r="U358" s="21">
        <f t="shared" si="93"/>
        <v>167.63888888888886</v>
      </c>
      <c r="V358" s="21">
        <f t="shared" si="93"/>
        <v>177.5</v>
      </c>
      <c r="W358" s="22">
        <f t="shared" si="93"/>
        <v>147.91666666666671</v>
      </c>
      <c r="X358" s="22">
        <f t="shared" si="93"/>
        <v>157.77777777777771</v>
      </c>
      <c r="Y358" s="22">
        <f t="shared" si="93"/>
        <v>167.63888888888886</v>
      </c>
      <c r="Z358" s="23">
        <f t="shared" si="93"/>
        <v>138.05555555555557</v>
      </c>
      <c r="AA358" s="23">
        <f t="shared" si="93"/>
        <v>147.91666666666671</v>
      </c>
      <c r="AB358" s="23">
        <f t="shared" si="93"/>
        <v>157.77777777777771</v>
      </c>
      <c r="AC358" s="24">
        <f t="shared" si="93"/>
        <v>128.19444444444443</v>
      </c>
      <c r="AD358" s="24">
        <f t="shared" si="93"/>
        <v>138.05555555555557</v>
      </c>
      <c r="AE358" s="24">
        <f t="shared" si="93"/>
        <v>147.91666666666671</v>
      </c>
      <c r="AF358" s="25">
        <f t="shared" si="93"/>
        <v>118.33333333333336</v>
      </c>
      <c r="AG358" s="25">
        <f t="shared" si="93"/>
        <v>128.19444444444443</v>
      </c>
      <c r="AH358" s="25">
        <f t="shared" si="93"/>
        <v>138.05555555555557</v>
      </c>
      <c r="AI358" s="26">
        <f t="shared" si="93"/>
        <v>108.47222222222221</v>
      </c>
      <c r="AJ358" s="26">
        <f t="shared" si="93"/>
        <v>118.33333333333336</v>
      </c>
      <c r="AK358" s="26">
        <f t="shared" si="89"/>
        <v>128.19444444444443</v>
      </c>
    </row>
    <row r="359" spans="4:37" ht="20.100000000000001" customHeight="1">
      <c r="D359" s="27">
        <f t="shared" si="88"/>
        <v>0.98888888888888593</v>
      </c>
      <c r="E359" s="16">
        <f t="shared" si="92"/>
        <v>263.04444444444448</v>
      </c>
      <c r="F359" s="16">
        <f t="shared" si="92"/>
        <v>272.93333333333339</v>
      </c>
      <c r="G359" s="16">
        <f t="shared" si="92"/>
        <v>282.82222222222231</v>
      </c>
      <c r="H359" s="17">
        <f t="shared" si="92"/>
        <v>243.26666666666665</v>
      </c>
      <c r="I359" s="17">
        <f t="shared" si="92"/>
        <v>253.15555555555557</v>
      </c>
      <c r="J359" s="17">
        <f t="shared" si="92"/>
        <v>263.04444444444448</v>
      </c>
      <c r="K359" s="18">
        <f t="shared" si="92"/>
        <v>223.48888888888894</v>
      </c>
      <c r="L359" s="18">
        <f t="shared" si="92"/>
        <v>233.37777777777774</v>
      </c>
      <c r="M359" s="18">
        <f t="shared" si="92"/>
        <v>243.26666666666665</v>
      </c>
      <c r="N359" s="19">
        <f t="shared" si="92"/>
        <v>178</v>
      </c>
      <c r="O359" s="19">
        <f t="shared" si="92"/>
        <v>187.88888888888891</v>
      </c>
      <c r="P359" s="19">
        <f t="shared" si="92"/>
        <v>197.77777777777783</v>
      </c>
      <c r="Q359" s="20">
        <f t="shared" si="92"/>
        <v>168.11111111111109</v>
      </c>
      <c r="R359" s="20">
        <f t="shared" si="92"/>
        <v>178</v>
      </c>
      <c r="S359" s="20">
        <f t="shared" si="92"/>
        <v>187.88888888888891</v>
      </c>
      <c r="T359" s="21">
        <f t="shared" si="92"/>
        <v>158.22222222222217</v>
      </c>
      <c r="U359" s="21">
        <f t="shared" si="93"/>
        <v>168.11111111111109</v>
      </c>
      <c r="V359" s="21">
        <f t="shared" si="93"/>
        <v>178</v>
      </c>
      <c r="W359" s="22">
        <f t="shared" si="93"/>
        <v>148.33333333333337</v>
      </c>
      <c r="X359" s="22">
        <f t="shared" si="93"/>
        <v>158.22222222222217</v>
      </c>
      <c r="Y359" s="22">
        <f t="shared" si="93"/>
        <v>168.11111111111109</v>
      </c>
      <c r="Z359" s="23">
        <f t="shared" si="93"/>
        <v>138.44444444444446</v>
      </c>
      <c r="AA359" s="23">
        <f t="shared" si="93"/>
        <v>148.33333333333337</v>
      </c>
      <c r="AB359" s="23">
        <f t="shared" si="93"/>
        <v>158.22222222222217</v>
      </c>
      <c r="AC359" s="24">
        <f t="shared" si="93"/>
        <v>128.55555555555554</v>
      </c>
      <c r="AD359" s="24">
        <f t="shared" si="93"/>
        <v>138.44444444444446</v>
      </c>
      <c r="AE359" s="24">
        <f t="shared" si="93"/>
        <v>148.33333333333337</v>
      </c>
      <c r="AF359" s="25">
        <f t="shared" si="93"/>
        <v>118.66666666666669</v>
      </c>
      <c r="AG359" s="25">
        <f t="shared" si="93"/>
        <v>128.55555555555554</v>
      </c>
      <c r="AH359" s="25">
        <f t="shared" si="93"/>
        <v>138.44444444444446</v>
      </c>
      <c r="AI359" s="26">
        <f t="shared" si="93"/>
        <v>108.77777777777777</v>
      </c>
      <c r="AJ359" s="26">
        <f t="shared" si="93"/>
        <v>118.66666666666669</v>
      </c>
      <c r="AK359" s="26">
        <f t="shared" si="89"/>
        <v>128.55555555555554</v>
      </c>
    </row>
    <row r="360" spans="4:37" ht="20.100000000000001" customHeight="1">
      <c r="D360" s="27">
        <f t="shared" si="88"/>
        <v>0.9916666666666637</v>
      </c>
      <c r="E360" s="16">
        <f t="shared" si="92"/>
        <v>263.78333333333336</v>
      </c>
      <c r="F360" s="16">
        <f t="shared" si="92"/>
        <v>273.70000000000005</v>
      </c>
      <c r="G360" s="16">
        <f t="shared" si="92"/>
        <v>283.61666666666673</v>
      </c>
      <c r="H360" s="17">
        <f t="shared" si="92"/>
        <v>243.95</v>
      </c>
      <c r="I360" s="17">
        <f t="shared" si="92"/>
        <v>253.86666666666667</v>
      </c>
      <c r="J360" s="17">
        <f t="shared" si="92"/>
        <v>263.78333333333336</v>
      </c>
      <c r="K360" s="18">
        <f t="shared" si="92"/>
        <v>224.1166666666667</v>
      </c>
      <c r="L360" s="18">
        <f t="shared" si="92"/>
        <v>234.0333333333333</v>
      </c>
      <c r="M360" s="18">
        <f t="shared" si="92"/>
        <v>243.95</v>
      </c>
      <c r="N360" s="19">
        <f t="shared" si="92"/>
        <v>178.5</v>
      </c>
      <c r="O360" s="19">
        <f t="shared" si="92"/>
        <v>188.41666666666669</v>
      </c>
      <c r="P360" s="19">
        <f t="shared" si="92"/>
        <v>198.33333333333337</v>
      </c>
      <c r="Q360" s="20">
        <f t="shared" si="92"/>
        <v>168.58333333333331</v>
      </c>
      <c r="R360" s="20">
        <f t="shared" si="92"/>
        <v>178.5</v>
      </c>
      <c r="S360" s="20">
        <f t="shared" si="92"/>
        <v>188.41666666666669</v>
      </c>
      <c r="T360" s="21">
        <f t="shared" si="92"/>
        <v>158.66666666666663</v>
      </c>
      <c r="U360" s="21">
        <f t="shared" si="93"/>
        <v>168.58333333333331</v>
      </c>
      <c r="V360" s="21">
        <f t="shared" si="93"/>
        <v>178.5</v>
      </c>
      <c r="W360" s="22">
        <f t="shared" si="93"/>
        <v>148.75000000000003</v>
      </c>
      <c r="X360" s="22">
        <f t="shared" si="93"/>
        <v>158.66666666666663</v>
      </c>
      <c r="Y360" s="22">
        <f t="shared" si="93"/>
        <v>168.58333333333331</v>
      </c>
      <c r="Z360" s="23">
        <f t="shared" si="93"/>
        <v>138.83333333333334</v>
      </c>
      <c r="AA360" s="23">
        <f t="shared" si="93"/>
        <v>148.75000000000003</v>
      </c>
      <c r="AB360" s="23">
        <f t="shared" si="93"/>
        <v>158.66666666666663</v>
      </c>
      <c r="AC360" s="24">
        <f t="shared" si="93"/>
        <v>128.91666666666666</v>
      </c>
      <c r="AD360" s="24">
        <f t="shared" si="93"/>
        <v>138.83333333333334</v>
      </c>
      <c r="AE360" s="24">
        <f t="shared" si="93"/>
        <v>148.75000000000003</v>
      </c>
      <c r="AF360" s="25">
        <f t="shared" si="93"/>
        <v>119.00000000000001</v>
      </c>
      <c r="AG360" s="25">
        <f t="shared" si="93"/>
        <v>128.91666666666666</v>
      </c>
      <c r="AH360" s="25">
        <f t="shared" si="93"/>
        <v>138.83333333333334</v>
      </c>
      <c r="AI360" s="26">
        <f t="shared" si="93"/>
        <v>109.08333333333333</v>
      </c>
      <c r="AJ360" s="26">
        <f t="shared" si="93"/>
        <v>119.00000000000001</v>
      </c>
      <c r="AK360" s="26">
        <f t="shared" si="89"/>
        <v>128.91666666666666</v>
      </c>
    </row>
    <row r="361" spans="4:37" ht="20.100000000000001" customHeight="1">
      <c r="D361" s="27">
        <f t="shared" si="88"/>
        <v>0.99444444444444147</v>
      </c>
      <c r="E361" s="16">
        <f>E362-(E$363/360)</f>
        <v>264.52222222222224</v>
      </c>
      <c r="F361" s="16">
        <f t="shared" si="92"/>
        <v>274.4666666666667</v>
      </c>
      <c r="G361" s="16">
        <f t="shared" si="92"/>
        <v>284.41111111111115</v>
      </c>
      <c r="H361" s="17">
        <f t="shared" si="92"/>
        <v>244.63333333333333</v>
      </c>
      <c r="I361" s="17">
        <f t="shared" si="92"/>
        <v>254.57777777777778</v>
      </c>
      <c r="J361" s="17">
        <f t="shared" si="92"/>
        <v>264.52222222222224</v>
      </c>
      <c r="K361" s="18">
        <f t="shared" si="92"/>
        <v>224.74444444444447</v>
      </c>
      <c r="L361" s="18">
        <f t="shared" si="92"/>
        <v>234.68888888888887</v>
      </c>
      <c r="M361" s="18">
        <f t="shared" si="92"/>
        <v>244.63333333333333</v>
      </c>
      <c r="N361" s="19">
        <f t="shared" si="92"/>
        <v>179</v>
      </c>
      <c r="O361" s="19">
        <f t="shared" si="92"/>
        <v>188.94444444444446</v>
      </c>
      <c r="P361" s="19">
        <f t="shared" si="92"/>
        <v>198.88888888888891</v>
      </c>
      <c r="Q361" s="20">
        <f t="shared" si="92"/>
        <v>169.05555555555554</v>
      </c>
      <c r="R361" s="20">
        <f t="shared" si="92"/>
        <v>179</v>
      </c>
      <c r="S361" s="20">
        <f t="shared" si="92"/>
        <v>188.94444444444446</v>
      </c>
      <c r="T361" s="21">
        <f t="shared" si="92"/>
        <v>159.11111111111109</v>
      </c>
      <c r="U361" s="21">
        <f t="shared" si="93"/>
        <v>169.05555555555554</v>
      </c>
      <c r="V361" s="21">
        <f t="shared" si="93"/>
        <v>179</v>
      </c>
      <c r="W361" s="22">
        <f t="shared" si="93"/>
        <v>149.16666666666669</v>
      </c>
      <c r="X361" s="22">
        <f t="shared" si="93"/>
        <v>159.11111111111109</v>
      </c>
      <c r="Y361" s="22">
        <f t="shared" si="93"/>
        <v>169.05555555555554</v>
      </c>
      <c r="Z361" s="23">
        <f t="shared" si="93"/>
        <v>139.22222222222223</v>
      </c>
      <c r="AA361" s="23">
        <f t="shared" si="93"/>
        <v>149.16666666666669</v>
      </c>
      <c r="AB361" s="23">
        <f t="shared" si="93"/>
        <v>159.11111111111109</v>
      </c>
      <c r="AC361" s="24">
        <f t="shared" si="93"/>
        <v>129.27777777777777</v>
      </c>
      <c r="AD361" s="24">
        <f t="shared" si="93"/>
        <v>139.22222222222223</v>
      </c>
      <c r="AE361" s="24">
        <f t="shared" si="93"/>
        <v>149.16666666666669</v>
      </c>
      <c r="AF361" s="25">
        <f t="shared" si="93"/>
        <v>119.33333333333334</v>
      </c>
      <c r="AG361" s="25">
        <f t="shared" si="93"/>
        <v>129.27777777777777</v>
      </c>
      <c r="AH361" s="25">
        <f t="shared" si="93"/>
        <v>139.22222222222223</v>
      </c>
      <c r="AI361" s="26">
        <f t="shared" si="93"/>
        <v>109.38888888888889</v>
      </c>
      <c r="AJ361" s="26">
        <f t="shared" si="93"/>
        <v>119.33333333333334</v>
      </c>
      <c r="AK361" s="26">
        <f t="shared" si="89"/>
        <v>129.27777777777777</v>
      </c>
    </row>
    <row r="362" spans="4:37" ht="20.100000000000001" customHeight="1">
      <c r="D362" s="27">
        <f t="shared" si="88"/>
        <v>0.99722222222221923</v>
      </c>
      <c r="E362" s="16">
        <f>E363-(E$363/360)</f>
        <v>265.26111111111112</v>
      </c>
      <c r="F362" s="16">
        <f t="shared" si="92"/>
        <v>275.23333333333335</v>
      </c>
      <c r="G362" s="16">
        <f t="shared" si="92"/>
        <v>285.20555555555558</v>
      </c>
      <c r="H362" s="17">
        <f t="shared" si="92"/>
        <v>245.31666666666666</v>
      </c>
      <c r="I362" s="17">
        <f t="shared" si="92"/>
        <v>255.28888888888889</v>
      </c>
      <c r="J362" s="17">
        <f t="shared" si="92"/>
        <v>265.26111111111112</v>
      </c>
      <c r="K362" s="18">
        <f t="shared" si="92"/>
        <v>225.37222222222223</v>
      </c>
      <c r="L362" s="18">
        <f t="shared" si="92"/>
        <v>235.34444444444443</v>
      </c>
      <c r="M362" s="18">
        <f t="shared" si="92"/>
        <v>245.31666666666666</v>
      </c>
      <c r="N362" s="19">
        <f t="shared" si="92"/>
        <v>179.5</v>
      </c>
      <c r="O362" s="19">
        <f t="shared" si="92"/>
        <v>189.47222222222223</v>
      </c>
      <c r="P362" s="19">
        <f t="shared" si="92"/>
        <v>199.44444444444446</v>
      </c>
      <c r="Q362" s="20">
        <f t="shared" si="92"/>
        <v>169.52777777777777</v>
      </c>
      <c r="R362" s="20">
        <f t="shared" si="92"/>
        <v>179.5</v>
      </c>
      <c r="S362" s="20">
        <f t="shared" si="92"/>
        <v>189.47222222222223</v>
      </c>
      <c r="T362" s="21">
        <f t="shared" si="92"/>
        <v>159.55555555555554</v>
      </c>
      <c r="U362" s="21">
        <f>U363-(U$363/360)</f>
        <v>169.52777777777777</v>
      </c>
      <c r="V362" s="21">
        <f>V363-(V$363/360)</f>
        <v>179.5</v>
      </c>
      <c r="W362" s="22">
        <f>W363-(W$363/360)</f>
        <v>149.58333333333334</v>
      </c>
      <c r="X362" s="22">
        <f t="shared" si="93"/>
        <v>159.55555555555554</v>
      </c>
      <c r="Y362" s="22">
        <f t="shared" si="93"/>
        <v>169.52777777777777</v>
      </c>
      <c r="Z362" s="23">
        <f t="shared" si="93"/>
        <v>139.61111111111111</v>
      </c>
      <c r="AA362" s="23">
        <f t="shared" si="93"/>
        <v>149.58333333333334</v>
      </c>
      <c r="AB362" s="23">
        <f t="shared" si="93"/>
        <v>159.55555555555554</v>
      </c>
      <c r="AC362" s="24">
        <f t="shared" si="93"/>
        <v>129.63888888888889</v>
      </c>
      <c r="AD362" s="24">
        <f t="shared" si="93"/>
        <v>139.61111111111111</v>
      </c>
      <c r="AE362" s="24">
        <f t="shared" si="93"/>
        <v>149.58333333333334</v>
      </c>
      <c r="AF362" s="25">
        <f t="shared" si="93"/>
        <v>119.66666666666667</v>
      </c>
      <c r="AG362" s="25">
        <f t="shared" si="93"/>
        <v>129.63888888888889</v>
      </c>
      <c r="AH362" s="25">
        <f t="shared" si="93"/>
        <v>139.61111111111111</v>
      </c>
      <c r="AI362" s="26">
        <f t="shared" si="93"/>
        <v>109.69444444444444</v>
      </c>
      <c r="AJ362" s="26">
        <f t="shared" si="93"/>
        <v>119.66666666666667</v>
      </c>
      <c r="AK362" s="26">
        <f t="shared" si="89"/>
        <v>129.63888888888889</v>
      </c>
    </row>
    <row r="363" spans="4:37" ht="20.100000000000001" customHeight="1">
      <c r="D363" s="27">
        <f t="shared" si="88"/>
        <v>0.999999999999997</v>
      </c>
      <c r="E363" s="79">
        <f>B1+B2</f>
        <v>266</v>
      </c>
      <c r="F363" s="79">
        <f>E363+10+B3</f>
        <v>276</v>
      </c>
      <c r="G363" s="79">
        <f>F363+10</f>
        <v>286</v>
      </c>
      <c r="H363" s="80">
        <f t="shared" ref="H363:M363" si="94">E363-20</f>
        <v>246</v>
      </c>
      <c r="I363" s="80">
        <f t="shared" si="94"/>
        <v>256</v>
      </c>
      <c r="J363" s="80">
        <f t="shared" si="94"/>
        <v>266</v>
      </c>
      <c r="K363" s="81">
        <f t="shared" si="94"/>
        <v>226</v>
      </c>
      <c r="L363" s="81">
        <f t="shared" si="94"/>
        <v>236</v>
      </c>
      <c r="M363" s="81">
        <f t="shared" si="94"/>
        <v>246</v>
      </c>
      <c r="N363" s="82">
        <f>180+B2</f>
        <v>180</v>
      </c>
      <c r="O363" s="82">
        <f>N363+B3+10</f>
        <v>190</v>
      </c>
      <c r="P363" s="82">
        <f>O363+10</f>
        <v>200</v>
      </c>
      <c r="Q363" s="83">
        <f>N363-10</f>
        <v>170</v>
      </c>
      <c r="R363" s="83">
        <f>O363-10</f>
        <v>180</v>
      </c>
      <c r="S363" s="83">
        <f>P363-10</f>
        <v>190</v>
      </c>
      <c r="T363" s="78">
        <f>Q363-10</f>
        <v>160</v>
      </c>
      <c r="U363" s="78">
        <f t="shared" ref="U363:AK363" si="95">R363-10</f>
        <v>170</v>
      </c>
      <c r="V363" s="78">
        <f t="shared" si="95"/>
        <v>180</v>
      </c>
      <c r="W363" s="73">
        <f t="shared" si="95"/>
        <v>150</v>
      </c>
      <c r="X363" s="73">
        <f t="shared" si="95"/>
        <v>160</v>
      </c>
      <c r="Y363" s="73">
        <f t="shared" si="95"/>
        <v>170</v>
      </c>
      <c r="Z363" s="74">
        <f t="shared" si="95"/>
        <v>140</v>
      </c>
      <c r="AA363" s="74">
        <f t="shared" si="95"/>
        <v>150</v>
      </c>
      <c r="AB363" s="74">
        <f t="shared" si="95"/>
        <v>160</v>
      </c>
      <c r="AC363" s="75">
        <f t="shared" si="95"/>
        <v>130</v>
      </c>
      <c r="AD363" s="75">
        <f t="shared" si="95"/>
        <v>140</v>
      </c>
      <c r="AE363" s="75">
        <f t="shared" si="95"/>
        <v>150</v>
      </c>
      <c r="AF363" s="76">
        <f t="shared" si="95"/>
        <v>120</v>
      </c>
      <c r="AG363" s="76">
        <f t="shared" si="95"/>
        <v>130</v>
      </c>
      <c r="AH363" s="76">
        <f t="shared" si="95"/>
        <v>140</v>
      </c>
      <c r="AI363" s="77">
        <f t="shared" si="95"/>
        <v>110</v>
      </c>
      <c r="AJ363" s="77">
        <f t="shared" si="95"/>
        <v>120</v>
      </c>
      <c r="AK363" s="77">
        <f t="shared" si="95"/>
        <v>130</v>
      </c>
    </row>
  </sheetData>
  <sheetProtection sheet="1" objects="1" scenarios="1" selectLockedCells="1" selectUnlockedCells="1"/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501A-EB69-4EFB-8D87-D8E8A248831B}">
  <dimension ref="A1:AD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30" ht="20.100000000000001" customHeight="1">
      <c r="A1" s="158" t="s">
        <v>79</v>
      </c>
      <c r="B1" s="148">
        <f>Index!B4</f>
        <v>236</v>
      </c>
      <c r="C1" s="112"/>
      <c r="D1" s="112"/>
      <c r="E1" s="112"/>
      <c r="F1" s="112"/>
      <c r="G1" s="137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30" ht="20.100000000000001" customHeight="1">
      <c r="A2" s="158" t="s">
        <v>196</v>
      </c>
      <c r="B2" s="148">
        <f>Index!C4</f>
        <v>4</v>
      </c>
      <c r="C2" s="112"/>
      <c r="D2" s="112"/>
      <c r="E2" s="112"/>
      <c r="F2" s="112"/>
      <c r="G2" s="137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30" ht="20.100000000000001" customHeight="1">
      <c r="A3" s="174" t="s">
        <v>80</v>
      </c>
      <c r="B3" s="174">
        <f>Index!D4</f>
        <v>5</v>
      </c>
      <c r="C3" s="112"/>
      <c r="D3" s="112"/>
      <c r="E3" s="112"/>
      <c r="F3" s="112"/>
      <c r="G3" s="137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30" ht="20.100000000000001" customHeight="1">
      <c r="A4" s="158" t="s">
        <v>197</v>
      </c>
      <c r="B4" s="148">
        <f>Index!E4</f>
        <v>50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30" ht="20.100000000000001" customHeight="1">
      <c r="A5" s="158" t="s">
        <v>253</v>
      </c>
      <c r="B5" s="148">
        <f>IF(Index!G4&lt;&gt;0,Index!G4/4,Index!F4)</f>
        <v>3.6149999999999998</v>
      </c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30" ht="20.100000000000001" customHeight="1">
      <c r="A6" s="173" t="s">
        <v>198</v>
      </c>
      <c r="B6" s="173">
        <f>Index!H4</f>
        <v>1</v>
      </c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30" ht="20.100000000000001" customHeight="1">
      <c r="A7" s="163" t="s">
        <v>252</v>
      </c>
      <c r="B7" s="162"/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</row>
    <row r="8" spans="1:30" ht="20.100000000000001" customHeight="1">
      <c r="A8" s="112"/>
      <c r="B8" s="112"/>
      <c r="C8" s="112"/>
      <c r="D8" s="112"/>
      <c r="E8" s="109" t="s">
        <v>246</v>
      </c>
      <c r="F8" s="109" t="s">
        <v>245</v>
      </c>
      <c r="G8" s="109" t="s">
        <v>8</v>
      </c>
      <c r="H8" s="109" t="s">
        <v>244</v>
      </c>
      <c r="I8" s="109" t="s">
        <v>243</v>
      </c>
      <c r="J8" s="109" t="s">
        <v>242</v>
      </c>
      <c r="K8" s="112"/>
      <c r="L8" s="112"/>
      <c r="M8" s="112"/>
      <c r="N8" s="120" t="s">
        <v>39</v>
      </c>
      <c r="O8" s="120" t="s">
        <v>251</v>
      </c>
      <c r="P8" s="109"/>
      <c r="Q8" s="120" t="s">
        <v>250</v>
      </c>
      <c r="R8" s="109"/>
      <c r="S8" s="109"/>
      <c r="T8" s="120" t="s">
        <v>249</v>
      </c>
      <c r="Y8" s="112"/>
    </row>
    <row r="9" spans="1:30" ht="20.100000000000001" customHeight="1">
      <c r="A9" s="109" t="s">
        <v>238</v>
      </c>
      <c r="B9" s="149">
        <f>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</f>
        <v>34.577501053794911</v>
      </c>
      <c r="C9" s="172">
        <f>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</f>
        <v>36.41096062305823</v>
      </c>
      <c r="D9" s="150">
        <f>Index!$C$13</f>
        <v>1</v>
      </c>
      <c r="E9" s="171">
        <v>1</v>
      </c>
      <c r="F9" s="154">
        <f>Z15</f>
        <v>291.9556</v>
      </c>
      <c r="G9" s="153">
        <f>Z33</f>
        <v>6.3392592592592596</v>
      </c>
      <c r="H9" s="153">
        <f>Z21</f>
        <v>304.17239999999998</v>
      </c>
      <c r="I9" s="153">
        <f>Z27</f>
        <v>279.09840000000003</v>
      </c>
      <c r="J9" s="160">
        <f>0*($B$6-0.85)*($B$6-0.7)/((1-0.85)*(1-0.7))+Z12*($B$6-1)*($B$6-0.7)/((0.85-1)*(0.85-0.7))+Y12*($B$6-1)*($B$6-0.85)/((0.7-1)*(0.7-0.85))++$B$1-(ABS($B$5/0.2/20))</f>
        <v>235.09625</v>
      </c>
      <c r="K9" s="112"/>
      <c r="L9" s="112"/>
      <c r="M9" s="112"/>
      <c r="N9" s="109">
        <v>100</v>
      </c>
      <c r="O9" s="109">
        <v>298.86</v>
      </c>
      <c r="P9" s="109">
        <f>Q9*((N9-(100/360))-N10)*((N9-(100/360))-N11)/((N9-N10)*(N9-N11))+Q10*((N9-(100/360))-N9)*((N9-(100/360))-N11)/((N10-N9)*(N10-N11))+Q11*((N9-(100/360))-N9)*((N9-(100/360))-N10)/((N11-N9)*(N11-N10))</f>
        <v>299.22197145061733</v>
      </c>
      <c r="Q9" s="126">
        <v>299.92</v>
      </c>
      <c r="R9" s="109">
        <f>P9*($J10-Q10)*($J10-Q11)/((Q9-Q10)*(Q9-Q11))+P10*($J10-Q9)*($J10-Q11)/((Q10-Q9)*(Q10-Q11))+P11*($J10-Q9)*($J10-Q10)/((Q11-Q9)*(Q11-Q10))</f>
        <v>230.48172999109488</v>
      </c>
      <c r="S9" s="109">
        <f>O9*($J10-Q10)*($J10-Q11)/((Q9-Q10)*(Q9-Q11))+O10*($J10-Q9)*($J10-Q11)/((Q10-Q9)*(Q10-Q11))+O11*($J10-Q9)*($J10-Q10)/((Q11-Q9)*(Q11-Q10))</f>
        <v>230.52541650306443</v>
      </c>
      <c r="T9" s="109">
        <f>MOD(($B10/100)*-360,1)*-(($J10-R9)/($J10-S9))+30</f>
        <v>29.898658832971996</v>
      </c>
      <c r="Y9" s="112"/>
    </row>
    <row r="10" spans="1:30" ht="20.100000000000001" customHeight="1">
      <c r="A10" s="109" t="s">
        <v>5</v>
      </c>
      <c r="B10" s="159">
        <f>100*(J10-F10)*(J10-F11)/((F9-F10)*(F9-F11))+90*(J10-F9)*(J10-F11)/((F10-F9)*(F10-F11))+80*(J10-F9)*(J10-F10)/((F11-F9)*(F11-F10))</f>
        <v>75.251478011093624</v>
      </c>
      <c r="C10" s="158">
        <f>100*(J11-F10)*(J11-F11)/((F9-F10)*(F9-F11))+90*(J11-F9)*(J11-F11)/((F10-F9)*(F10-F11))+80*(J11-F9)*(J11-F10)/((F11-F9)*(F11-F10))</f>
        <v>78.769821726906969</v>
      </c>
      <c r="D10" s="112"/>
      <c r="E10" s="155">
        <v>0.9</v>
      </c>
      <c r="F10" s="154">
        <f>Z16</f>
        <v>266.75119999999998</v>
      </c>
      <c r="G10" s="153">
        <f>Z34</f>
        <v>5.8829629629629627</v>
      </c>
      <c r="H10" s="153">
        <f>Z22</f>
        <v>278.86360000000002</v>
      </c>
      <c r="I10" s="153">
        <f>Z28</f>
        <v>254.18999999999997</v>
      </c>
      <c r="J10" s="152">
        <f>J9-((COS(RADIANS($B$4)))*$B$3*(ABS((F9-H9)*(J9-H10)*(J9-H11)/((H9-H10)*(H9-H11))+(F10-H10)*(J9-H9)*(J9-H11)/((H10-H9)*(H10-H11))+(F11-H11)*(J9-H9)*(J9-H10)/((H11-H9)*(H11-H10)))/9))</f>
        <v>231.14628079832471</v>
      </c>
      <c r="K10" s="112"/>
      <c r="L10" s="112"/>
      <c r="M10" s="112"/>
      <c r="N10" s="109">
        <v>90</v>
      </c>
      <c r="O10" s="109">
        <v>274.07</v>
      </c>
      <c r="P10" s="109">
        <f>Q9*((N10-(100/360))-N10)*((N10-(100/360))-N11)/((N9-N10)*(N9-N11))+Q10*((N10-(100/360))-N9)*((N10-(100/360))-N11)/((N10-N9)*(N10-N11))+Q11*((N10-(100/360))-N9)*((N10-(100/360))-N10)/((N11-N9)*(N11-N10))</f>
        <v>274.31391589506177</v>
      </c>
      <c r="Q10" s="126">
        <v>275</v>
      </c>
      <c r="R10" s="109">
        <f>P9*($J11-Q10)*($J11-Q11)/((Q9-Q10)*(Q9-Q11))+P10*($J11-Q9)*($J11-Q11)/((Q10-Q9)*(Q10-Q11))+P11*($J11-Q9)*($J11-Q10)/((Q11-Q9)*(Q11-Q10))</f>
        <v>238.81367641743799</v>
      </c>
      <c r="S10" s="109">
        <f>O9*($J11-Q10)*($J11-Q11)/((Q9-Q10)*(Q9-Q11))+O10*($J11-Q9)*($J11-Q11)/((Q10-Q9)*(Q10-Q11))+O11*($J11-Q9)*($J11-Q10)/((Q11-Q9)*(Q11-Q10))</f>
        <v>238.79485409546001</v>
      </c>
      <c r="T10" s="109">
        <f>MOD((C10/100)*-360,1)*-(($J11-R10)/($J11-S10))+30</f>
        <v>29.583093251909371</v>
      </c>
      <c r="X10" s="109"/>
      <c r="Y10" s="109">
        <v>70</v>
      </c>
      <c r="Z10" s="109">
        <v>85</v>
      </c>
    </row>
    <row r="11" spans="1:30" ht="20.100000000000001" customHeight="1">
      <c r="A11" s="109" t="s">
        <v>237</v>
      </c>
      <c r="B11" s="157">
        <f>(360-ROUNDDOWN((1-(B10/100))*360,0))*B15/360</f>
        <v>207.76666666666668</v>
      </c>
      <c r="C11" s="156">
        <f>(360-ROUNDDOWN((1-(C10/100))*360,0))*C16/360</f>
        <v>217.73333333333332</v>
      </c>
      <c r="D11" s="112"/>
      <c r="E11" s="155">
        <v>0.8</v>
      </c>
      <c r="F11" s="154">
        <f>Z17</f>
        <v>242.4196</v>
      </c>
      <c r="G11" s="153">
        <f>Z35</f>
        <v>5.4785185185185181</v>
      </c>
      <c r="H11" s="153">
        <f>Z23</f>
        <v>254.072</v>
      </c>
      <c r="I11" s="153">
        <f>Z29</f>
        <v>230.21559999999999</v>
      </c>
      <c r="J11" s="152">
        <f>J9+((COS(RADIANS($B$4)))*$B$3*(ABS((F9-I9)*(J9-I10)*(J9-I11)/((I9-I10)*(I9-I11))+(F10-I10)*(J9-I9)*(J9-I11)/((I10-I9)*(I10-I11))+(F11-I11)*(J9-I9)*(J9-I10)/((I11-I9)*(I11-I10)))/9))</f>
        <v>239.48237088811703</v>
      </c>
      <c r="K11" s="112"/>
      <c r="L11" s="112"/>
      <c r="M11" s="112"/>
      <c r="N11" s="109">
        <v>80</v>
      </c>
      <c r="O11" s="109">
        <v>249.74</v>
      </c>
      <c r="P11" s="109">
        <f>Q9*((N11-(100/360))-N10)*((N11-(100/360))-N11)/((N9-N10)*(N9-N11))+Q10*((N11-(100/360))-N9)*((N11-(100/360))-N11)/((N10-N9)*(N10-N11))+Q11*((N11-(100/360))-N9)*((N11-(100/360))-N10)/((N11-N9)*(N11-N10))</f>
        <v>249.83586033950624</v>
      </c>
      <c r="Q11" s="126">
        <v>250.51</v>
      </c>
      <c r="R11" s="109"/>
      <c r="S11" s="109"/>
      <c r="T11" s="120" t="s">
        <v>248</v>
      </c>
      <c r="X11" s="109">
        <v>299.92</v>
      </c>
      <c r="Y11" s="109">
        <v>299.39</v>
      </c>
      <c r="Z11" s="109">
        <v>299.67</v>
      </c>
    </row>
    <row r="12" spans="1:30" ht="20.100000000000001" customHeight="1">
      <c r="A12" s="109" t="s">
        <v>39</v>
      </c>
      <c r="B12" s="149">
        <f>T9</f>
        <v>29.898658832971996</v>
      </c>
      <c r="C12" s="148">
        <f>T10</f>
        <v>29.583093251909371</v>
      </c>
      <c r="D12" s="112"/>
      <c r="W12" s="112"/>
      <c r="X12" s="151"/>
      <c r="Y12" s="150">
        <f>X11-Y11</f>
        <v>0.53000000000002956</v>
      </c>
      <c r="Z12" s="150">
        <f>X11-Z11</f>
        <v>0.25</v>
      </c>
    </row>
    <row r="13" spans="1:30" ht="20.100000000000001" customHeight="1">
      <c r="A13" s="109" t="s">
        <v>195</v>
      </c>
      <c r="B13" s="149">
        <f>B9/4</f>
        <v>8.6443752634487279</v>
      </c>
      <c r="C13" s="148">
        <f>C9/4</f>
        <v>9.1027401557645575</v>
      </c>
      <c r="D13" s="112"/>
      <c r="E13" s="653" t="s">
        <v>236</v>
      </c>
      <c r="F13" s="654"/>
      <c r="G13" s="654"/>
      <c r="H13" s="654"/>
      <c r="I13" s="654"/>
      <c r="J13" s="654"/>
      <c r="K13" s="646"/>
      <c r="L13" s="654"/>
      <c r="M13" s="654"/>
      <c r="N13" s="654"/>
      <c r="O13" s="654"/>
      <c r="P13" s="654"/>
      <c r="Q13" s="654"/>
      <c r="R13" s="654"/>
      <c r="S13" s="654"/>
      <c r="T13" s="654"/>
      <c r="U13" s="654"/>
      <c r="V13" s="655"/>
      <c r="W13" s="112"/>
    </row>
    <row r="14" spans="1:30" ht="20.100000000000001" customHeight="1">
      <c r="A14" s="112"/>
      <c r="B14" s="112"/>
      <c r="C14" s="112"/>
      <c r="D14" s="112"/>
      <c r="E14" s="170"/>
      <c r="F14" s="121"/>
      <c r="G14" s="121"/>
      <c r="H14" s="121"/>
      <c r="I14" s="121"/>
      <c r="J14" s="122"/>
      <c r="K14" s="122">
        <v>20</v>
      </c>
      <c r="L14" s="122">
        <v>10</v>
      </c>
      <c r="M14" s="122">
        <v>0</v>
      </c>
      <c r="N14" s="122">
        <v>-10</v>
      </c>
      <c r="O14" s="122">
        <v>-20</v>
      </c>
      <c r="P14" s="122">
        <v>-30</v>
      </c>
      <c r="Q14" s="122">
        <v>-40</v>
      </c>
      <c r="R14" s="121">
        <v>-50</v>
      </c>
      <c r="S14" s="121">
        <v>-60</v>
      </c>
      <c r="T14" s="121">
        <v>-70</v>
      </c>
      <c r="U14" s="121">
        <v>-80</v>
      </c>
      <c r="V14" s="169"/>
      <c r="W14" s="109">
        <v>-80</v>
      </c>
      <c r="X14" s="120" t="s">
        <v>14</v>
      </c>
      <c r="Y14" s="120" t="s">
        <v>231</v>
      </c>
      <c r="Z14" s="109"/>
    </row>
    <row r="15" spans="1:30" ht="20.100000000000001" customHeight="1">
      <c r="A15" s="112"/>
      <c r="B15" s="644">
        <v>276</v>
      </c>
      <c r="C15" s="644"/>
      <c r="D15" s="112"/>
      <c r="E15" s="138"/>
      <c r="F15" s="112"/>
      <c r="G15" s="112"/>
      <c r="H15" s="112"/>
      <c r="I15" s="112"/>
      <c r="J15" s="142"/>
      <c r="K15" s="30">
        <v>247.15</v>
      </c>
      <c r="L15" s="142">
        <v>277.58</v>
      </c>
      <c r="M15" s="141">
        <v>299.92</v>
      </c>
      <c r="N15" s="141">
        <v>316.77999999999997</v>
      </c>
      <c r="O15" s="141">
        <v>329.97</v>
      </c>
      <c r="P15" s="141">
        <v>340.65</v>
      </c>
      <c r="Q15" s="141">
        <v>349.54</v>
      </c>
      <c r="R15" s="130">
        <v>357</v>
      </c>
      <c r="S15" s="130">
        <v>363.52</v>
      </c>
      <c r="T15" s="130">
        <v>369.14</v>
      </c>
      <c r="U15" s="130">
        <v>374.11</v>
      </c>
      <c r="V15" s="136"/>
      <c r="W15" s="112"/>
      <c r="X15" s="111">
        <f xml:space="preserve"> -0.0404*B2^2 - 1.8295*B2 + 299.92</f>
        <v>291.9556</v>
      </c>
      <c r="Y15" s="110">
        <f xml:space="preserve"> -0.00000000008*B2^6 - 0.00000003*B2^5 - 0.000004*B2^4 - 0.0004*B2^3 - 0.0269*B2^2 - 1.9214*B2 + 299.92</f>
        <v>291.77734495231999</v>
      </c>
      <c r="Z15" s="109">
        <f>IF($B$2&gt;0,X15,Y15)</f>
        <v>291.9556</v>
      </c>
    </row>
    <row r="16" spans="1:30" ht="20.100000000000001" customHeight="1">
      <c r="A16" s="112"/>
      <c r="B16" s="109">
        <v>100</v>
      </c>
      <c r="C16" s="109">
        <f>$B$15*B16/100</f>
        <v>276</v>
      </c>
      <c r="D16" s="112"/>
      <c r="E16" s="138"/>
      <c r="F16" s="112"/>
      <c r="G16" s="112"/>
      <c r="H16" s="112"/>
      <c r="I16" s="112"/>
      <c r="K16" s="30">
        <v>223.58</v>
      </c>
      <c r="L16" s="30">
        <v>252.47</v>
      </c>
      <c r="M16" s="137">
        <v>275</v>
      </c>
      <c r="N16" s="137">
        <v>292.49</v>
      </c>
      <c r="O16" s="137">
        <v>306.35000000000002</v>
      </c>
      <c r="P16" s="137">
        <v>317.58999999999997</v>
      </c>
      <c r="Q16" s="137">
        <v>326.93</v>
      </c>
      <c r="R16" s="130">
        <v>334.82</v>
      </c>
      <c r="S16" s="130">
        <v>341.6</v>
      </c>
      <c r="T16" s="130">
        <v>347.5</v>
      </c>
      <c r="U16" s="130">
        <v>352.68</v>
      </c>
      <c r="V16" s="136"/>
      <c r="W16" s="112"/>
      <c r="X16" s="111">
        <f xml:space="preserve"> -0.0318*B2^2 - 1.935*B2 + 275</f>
        <v>266.75119999999998</v>
      </c>
      <c r="Y16" s="110">
        <f xml:space="preserve"> -0.00000000004*B2^6 - 0.00000001*B2^5 - 0.000003*B2^4 - 0.0003*B2^3 - 0.0253*B2^2 - 1.9758*B2 + 275</f>
        <v>266.67202159615999</v>
      </c>
      <c r="Z16" s="109">
        <f>IF($B$2&gt;0,X16,Y16)</f>
        <v>266.75119999999998</v>
      </c>
    </row>
    <row r="17" spans="1:26" ht="20.100000000000001" customHeight="1">
      <c r="A17" s="112"/>
      <c r="B17" s="109">
        <v>90</v>
      </c>
      <c r="C17" s="109">
        <f>$B$15*B17/100</f>
        <v>248.4</v>
      </c>
      <c r="D17" s="112"/>
      <c r="E17" s="135"/>
      <c r="F17" s="116"/>
      <c r="G17" s="116"/>
      <c r="H17" s="116"/>
      <c r="I17" s="116"/>
      <c r="J17" s="134"/>
      <c r="K17" s="134">
        <v>202.73</v>
      </c>
      <c r="L17" s="134">
        <v>228.91</v>
      </c>
      <c r="M17" s="133">
        <v>250.51</v>
      </c>
      <c r="N17" s="133">
        <v>267.93</v>
      </c>
      <c r="O17" s="133">
        <v>282.01</v>
      </c>
      <c r="P17" s="133">
        <v>293.55</v>
      </c>
      <c r="Q17" s="133">
        <v>303.17</v>
      </c>
      <c r="R17" s="132">
        <v>311.32</v>
      </c>
      <c r="S17" s="132">
        <v>318.32</v>
      </c>
      <c r="T17" s="132">
        <v>324.39999999999998</v>
      </c>
      <c r="U17" s="132">
        <v>329.74</v>
      </c>
      <c r="V17" s="131"/>
      <c r="W17" s="112"/>
      <c r="X17" s="111">
        <f xml:space="preserve"> -0.0229*B2^2 - 1.931*B2 + 250.51</f>
        <v>242.4196</v>
      </c>
      <c r="Y17" s="110">
        <f xml:space="preserve"> 0.00000000001*B2^6 - 0.0000000003*B2^5 - 0.0000009*B2^4 - 0.0002*B2^3 - 0.0216*B2^2 - 1.9409*B2 + 250.51</f>
        <v>242.38776933375999</v>
      </c>
      <c r="Z17" s="109">
        <f>IF($B$2&gt;0,X17,Y17)</f>
        <v>242.4196</v>
      </c>
    </row>
    <row r="18" spans="1:26" ht="20.100000000000001" customHeight="1">
      <c r="A18" s="112"/>
      <c r="B18" s="109">
        <v>80</v>
      </c>
      <c r="C18" s="109">
        <f>$B$15*B18/100</f>
        <v>220.8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</row>
    <row r="19" spans="1:26" ht="20.100000000000001" customHeight="1">
      <c r="A19" s="112"/>
      <c r="D19" s="112"/>
      <c r="E19" s="645" t="s">
        <v>235</v>
      </c>
      <c r="F19" s="646"/>
      <c r="G19" s="646"/>
      <c r="H19" s="646"/>
      <c r="I19" s="646"/>
      <c r="J19" s="646"/>
      <c r="K19" s="646"/>
      <c r="L19" s="646"/>
      <c r="M19" s="646"/>
      <c r="N19" s="646"/>
      <c r="O19" s="646"/>
      <c r="P19" s="646"/>
      <c r="Q19" s="646"/>
      <c r="R19" s="646"/>
      <c r="S19" s="646"/>
      <c r="T19" s="646"/>
      <c r="U19" s="646"/>
      <c r="V19" s="647"/>
      <c r="W19" s="112"/>
    </row>
    <row r="20" spans="1:26" ht="20.100000000000001" customHeight="1">
      <c r="B20" s="137"/>
      <c r="C20" s="137"/>
      <c r="D20" s="112"/>
      <c r="E20" s="168"/>
      <c r="F20" s="167"/>
      <c r="G20" s="167"/>
      <c r="H20" s="167"/>
      <c r="I20" s="167"/>
      <c r="J20" s="167"/>
      <c r="K20" s="122">
        <v>20</v>
      </c>
      <c r="L20" s="167">
        <v>10</v>
      </c>
      <c r="M20" s="167">
        <v>0</v>
      </c>
      <c r="N20" s="122">
        <v>-10</v>
      </c>
      <c r="O20" s="122">
        <v>-20</v>
      </c>
      <c r="P20" s="122">
        <v>-30</v>
      </c>
      <c r="Q20" s="122">
        <v>-40</v>
      </c>
      <c r="R20" s="167">
        <v>-50</v>
      </c>
      <c r="S20" s="167">
        <v>-60</v>
      </c>
      <c r="T20" s="167">
        <v>-70</v>
      </c>
      <c r="U20" s="167">
        <v>-80</v>
      </c>
      <c r="V20" s="166"/>
      <c r="W20" s="109">
        <v>-80</v>
      </c>
      <c r="X20" s="120" t="s">
        <v>14</v>
      </c>
      <c r="Y20" s="120" t="s">
        <v>231</v>
      </c>
      <c r="Z20" s="109"/>
    </row>
    <row r="21" spans="1:26" ht="20.100000000000001" customHeight="1">
      <c r="A21" s="112"/>
      <c r="D21" s="112"/>
      <c r="E21" s="138"/>
      <c r="F21" s="112"/>
      <c r="G21" s="112"/>
      <c r="H21" s="112"/>
      <c r="I21" s="112"/>
      <c r="J21" s="112"/>
      <c r="K21" s="112">
        <v>257.19</v>
      </c>
      <c r="L21" s="112">
        <v>289.17</v>
      </c>
      <c r="M21" s="130">
        <v>312.43</v>
      </c>
      <c r="N21" s="130">
        <v>329.89</v>
      </c>
      <c r="O21" s="130">
        <v>343.54</v>
      </c>
      <c r="P21" s="130">
        <v>354.59</v>
      </c>
      <c r="Q21" s="130">
        <v>363.77</v>
      </c>
      <c r="R21" s="130">
        <v>371.57</v>
      </c>
      <c r="S21" s="130">
        <v>378.3</v>
      </c>
      <c r="T21" s="130">
        <v>384.19</v>
      </c>
      <c r="U21" s="130">
        <v>389.38</v>
      </c>
      <c r="V21" s="136"/>
      <c r="W21" s="112"/>
      <c r="X21" s="111">
        <f xml:space="preserve"> -0.0436*B2^2 - 1.89*B2 + 312.43</f>
        <v>304.17239999999998</v>
      </c>
      <c r="Y21" s="110">
        <f xml:space="preserve"> -0.00000000008*B2^6 - 0.00000003*B2^5 - 0.000004*B2^4 - 0.0004*B2^3 - 0.0281*B2^2 - 1.9921*B2 + 312.43</f>
        <v>303.98534495232002</v>
      </c>
      <c r="Z21" s="109">
        <f>IF($B$2&gt;0,X21,Y21)</f>
        <v>304.17239999999998</v>
      </c>
    </row>
    <row r="22" spans="1:26" ht="20.100000000000001" customHeight="1">
      <c r="E22" s="138"/>
      <c r="F22" s="112"/>
      <c r="G22" s="112"/>
      <c r="H22" s="112"/>
      <c r="I22" s="112"/>
      <c r="J22" s="112"/>
      <c r="K22" s="112">
        <v>233.19</v>
      </c>
      <c r="L22" s="112">
        <v>263.83</v>
      </c>
      <c r="M22" s="130">
        <v>287.49</v>
      </c>
      <c r="N22" s="130">
        <v>305.74</v>
      </c>
      <c r="O22" s="130">
        <v>320.14</v>
      </c>
      <c r="P22" s="130">
        <v>331.81</v>
      </c>
      <c r="Q22" s="130">
        <v>341.51</v>
      </c>
      <c r="R22" s="130">
        <v>349.72</v>
      </c>
      <c r="S22" s="130">
        <v>356.79</v>
      </c>
      <c r="T22" s="130">
        <v>362.95</v>
      </c>
      <c r="U22" s="130">
        <v>368.38</v>
      </c>
      <c r="V22" s="136"/>
      <c r="W22" s="112"/>
      <c r="X22" s="111">
        <f xml:space="preserve"> -0.0349*B2^2 - 2.017*B2 + 287.49</f>
        <v>278.86360000000002</v>
      </c>
      <c r="Y22" s="110">
        <f xml:space="preserve"> -0.00000000004*B2^6 - 0.00000002*B2^5 - 0.000003*B2^4 - 0.0003*B2^3 - 0.0273*B2^2 - 2.0676*B2 + 287.49</f>
        <v>278.76281135616</v>
      </c>
      <c r="Z22" s="109">
        <f>IF($B$2&gt;0,X22,Y22)</f>
        <v>278.86360000000002</v>
      </c>
    </row>
    <row r="23" spans="1:26" ht="20.100000000000001" customHeight="1">
      <c r="B23" s="137"/>
      <c r="E23" s="135"/>
      <c r="F23" s="116"/>
      <c r="G23" s="116"/>
      <c r="H23" s="116"/>
      <c r="I23" s="116"/>
      <c r="J23" s="116"/>
      <c r="K23" s="116">
        <v>211.66</v>
      </c>
      <c r="L23" s="116">
        <v>239.7</v>
      </c>
      <c r="M23" s="132">
        <v>262.63</v>
      </c>
      <c r="N23" s="132">
        <v>280.97000000000003</v>
      </c>
      <c r="O23" s="132">
        <v>295.72000000000003</v>
      </c>
      <c r="P23" s="132">
        <v>307.77999999999997</v>
      </c>
      <c r="Q23" s="132">
        <v>317.83</v>
      </c>
      <c r="R23" s="132">
        <v>326.35000000000002</v>
      </c>
      <c r="S23" s="132">
        <v>333.68</v>
      </c>
      <c r="T23" s="132">
        <v>340.06</v>
      </c>
      <c r="U23" s="132">
        <v>345.67</v>
      </c>
      <c r="V23" s="131"/>
      <c r="W23" s="112"/>
      <c r="X23" s="111">
        <f xml:space="preserve"> -0.0255*B2^2 - 2.0375*B2 + 262.63</f>
        <v>254.072</v>
      </c>
      <c r="Y23" s="110">
        <f xml:space="preserve"> 0.000000000002*B2^6 - 0.000000003*B2^5 - 0.000001*B2^4 - 0.0002*B2^3 - 0.0237*B2^2 - 2.0503*B2 + 262.63</f>
        <v>254.03654093619198</v>
      </c>
      <c r="Z23" s="109">
        <f>IF($B$2&gt;0,X23,Y23)</f>
        <v>254.072</v>
      </c>
    </row>
    <row r="24" spans="1:26" ht="20.100000000000001" customHeight="1">
      <c r="B24" s="137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</row>
    <row r="25" spans="1:26" ht="20.100000000000001" customHeight="1">
      <c r="B25" s="137"/>
      <c r="E25" s="648" t="s">
        <v>233</v>
      </c>
      <c r="F25" s="648"/>
      <c r="G25" s="648"/>
      <c r="H25" s="648"/>
      <c r="I25" s="648"/>
      <c r="J25" s="648"/>
      <c r="K25" s="648"/>
      <c r="L25" s="648"/>
      <c r="M25" s="648"/>
      <c r="N25" s="648"/>
      <c r="O25" s="648"/>
      <c r="P25" s="648"/>
      <c r="Q25" s="648"/>
      <c r="R25" s="648"/>
      <c r="S25" s="648"/>
      <c r="T25" s="648"/>
      <c r="U25" s="648"/>
      <c r="V25" s="648"/>
      <c r="W25" s="112"/>
    </row>
    <row r="26" spans="1:26" ht="20.100000000000001" customHeight="1">
      <c r="E26" s="120"/>
      <c r="F26" s="120"/>
      <c r="G26" s="120"/>
      <c r="H26" s="120"/>
      <c r="I26" s="120"/>
      <c r="J26" s="120"/>
      <c r="K26" s="122">
        <v>20</v>
      </c>
      <c r="L26" s="120">
        <v>10</v>
      </c>
      <c r="M26" s="120">
        <v>0</v>
      </c>
      <c r="N26" s="122">
        <v>-10</v>
      </c>
      <c r="O26" s="122">
        <v>-20</v>
      </c>
      <c r="P26" s="122">
        <v>-30</v>
      </c>
      <c r="Q26" s="122">
        <v>-40</v>
      </c>
      <c r="R26" s="120">
        <v>-50</v>
      </c>
      <c r="S26" s="120">
        <v>-60</v>
      </c>
      <c r="T26" s="120">
        <v>-70</v>
      </c>
      <c r="U26" s="120">
        <v>-80</v>
      </c>
      <c r="V26" s="120"/>
      <c r="W26" s="109">
        <v>-80</v>
      </c>
      <c r="X26" s="120" t="s">
        <v>14</v>
      </c>
      <c r="Y26" s="120" t="s">
        <v>231</v>
      </c>
      <c r="Z26" s="109"/>
    </row>
    <row r="27" spans="1:26" ht="20.100000000000001" customHeight="1">
      <c r="E27" s="138"/>
      <c r="F27" s="112"/>
      <c r="G27" s="112"/>
      <c r="H27" s="112"/>
      <c r="I27" s="112"/>
      <c r="J27" s="112"/>
      <c r="K27" s="112">
        <v>236.64</v>
      </c>
      <c r="L27" s="112">
        <v>265.39999999999998</v>
      </c>
      <c r="M27" s="112">
        <v>286.75</v>
      </c>
      <c r="N27" s="112">
        <v>302.94</v>
      </c>
      <c r="O27" s="112">
        <v>315.64</v>
      </c>
      <c r="P27" s="112">
        <v>325.92</v>
      </c>
      <c r="Q27" s="112">
        <v>334.44</v>
      </c>
      <c r="R27" s="112">
        <v>341.64</v>
      </c>
      <c r="S27" s="112">
        <v>347.83</v>
      </c>
      <c r="T27" s="112">
        <v>353.21</v>
      </c>
      <c r="U27" s="112">
        <v>357.93</v>
      </c>
      <c r="V27" s="165"/>
      <c r="W27" s="112"/>
      <c r="X27" s="111">
        <f xml:space="preserve"> -0.0371*B2^2 - 1.7645*B2 + 286.75</f>
        <v>279.09840000000003</v>
      </c>
      <c r="Y27" s="110">
        <f xml:space="preserve"> -0.00000000007*B2^6 - 0.00000002*B2^5 - 0.000003*B2^4 - 0.0003*B2^3 - 0.0253*B2^2 - 1.8419*B2 + 286.75</f>
        <v>278.95761123327998</v>
      </c>
      <c r="Z27" s="109">
        <f>IF($B$2&gt;0,X27,Y27)</f>
        <v>279.09840000000003</v>
      </c>
    </row>
    <row r="28" spans="1:26" ht="20.100000000000001" customHeight="1">
      <c r="A28" s="112"/>
      <c r="B28" s="112"/>
      <c r="C28" s="112"/>
      <c r="D28" s="112"/>
      <c r="E28" s="138"/>
      <c r="F28" s="112"/>
      <c r="G28" s="112"/>
      <c r="H28" s="112"/>
      <c r="I28" s="112"/>
      <c r="J28" s="112"/>
      <c r="K28" s="112">
        <v>213.73</v>
      </c>
      <c r="L28" s="112">
        <v>240.73</v>
      </c>
      <c r="M28" s="112">
        <v>262.02</v>
      </c>
      <c r="N28" s="112">
        <v>278.68</v>
      </c>
      <c r="O28" s="112">
        <v>291.92</v>
      </c>
      <c r="P28" s="112">
        <v>302.69</v>
      </c>
      <c r="Q28" s="112">
        <v>311.62</v>
      </c>
      <c r="R28" s="112">
        <v>319.16000000000003</v>
      </c>
      <c r="S28" s="112">
        <v>325.63</v>
      </c>
      <c r="T28" s="112">
        <v>331.24</v>
      </c>
      <c r="U28" s="112">
        <v>336.15</v>
      </c>
      <c r="V28" s="165"/>
      <c r="W28" s="112"/>
      <c r="X28" s="111">
        <f xml:space="preserve"> -0.0285*B2^2 - 1.8435*B2 + 262.02</f>
        <v>254.18999999999997</v>
      </c>
      <c r="Y28" s="110">
        <f xml:space="preserve"> -0.00000000004*B2^6 - 0.00000001*B2^5 - 0.000002*B2^4 - 0.0003*B2^3 - 0.0236*B2^2 - 1.8777*B2 + 262.02</f>
        <v>254.11187759615999</v>
      </c>
      <c r="Z28" s="109">
        <f>IF($B$2&gt;0,X28,Y28)</f>
        <v>254.18999999999997</v>
      </c>
    </row>
    <row r="29" spans="1:26" ht="20.100000000000001" customHeight="1">
      <c r="A29" s="112"/>
      <c r="B29" s="112"/>
      <c r="C29" s="112"/>
      <c r="D29" s="112"/>
      <c r="E29" s="135"/>
      <c r="F29" s="116"/>
      <c r="G29" s="116"/>
      <c r="H29" s="116"/>
      <c r="I29" s="116"/>
      <c r="J29" s="116"/>
      <c r="K29" s="116">
        <v>193.31</v>
      </c>
      <c r="L29" s="116">
        <v>217.6</v>
      </c>
      <c r="M29" s="116">
        <v>237.81</v>
      </c>
      <c r="N29" s="116">
        <v>254.22</v>
      </c>
      <c r="O29" s="116">
        <v>267.57</v>
      </c>
      <c r="P29" s="116">
        <v>278.52999999999997</v>
      </c>
      <c r="Q29" s="116">
        <v>287.68</v>
      </c>
      <c r="R29" s="116">
        <v>295.42</v>
      </c>
      <c r="S29" s="116">
        <v>302.07</v>
      </c>
      <c r="T29" s="116">
        <v>307.83</v>
      </c>
      <c r="U29" s="116">
        <v>312.87</v>
      </c>
      <c r="V29" s="164"/>
      <c r="W29" s="112"/>
      <c r="X29" s="111">
        <f xml:space="preserve"> -0.0204*B2^2 - 1.817*B2 + 237.81</f>
        <v>230.21559999999999</v>
      </c>
      <c r="Y29" s="110">
        <f xml:space="preserve"> 0.00000000003*B2^6 + 0.000000005*B2^5 - 0.0000002*B2^4 - 0.0001*B2^3 - 0.0192*B2^2 - 1.8197*B2 + 237.81</f>
        <v>230.21755404288001</v>
      </c>
      <c r="Z29" s="109">
        <f>IF($B$2&gt;0,X29,Y29)</f>
        <v>230.21559999999999</v>
      </c>
    </row>
    <row r="30" spans="1:26" ht="20.100000000000001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</row>
    <row r="31" spans="1:26" ht="20.100000000000001" customHeight="1">
      <c r="A31" s="112"/>
      <c r="B31" s="112"/>
      <c r="C31" s="112"/>
      <c r="D31" s="112"/>
      <c r="E31" s="648" t="s">
        <v>232</v>
      </c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8"/>
      <c r="T31" s="648"/>
      <c r="U31" s="648"/>
      <c r="V31" s="648"/>
      <c r="W31" s="112"/>
    </row>
    <row r="32" spans="1:26" ht="20.100000000000001" customHeight="1">
      <c r="A32" s="112"/>
      <c r="B32" s="112"/>
      <c r="C32" s="112"/>
      <c r="D32" s="112"/>
      <c r="E32" s="120"/>
      <c r="F32" s="120"/>
      <c r="G32" s="120"/>
      <c r="H32" s="120"/>
      <c r="I32" s="120"/>
      <c r="J32" s="120"/>
      <c r="K32" s="122">
        <v>20</v>
      </c>
      <c r="L32" s="120">
        <v>10</v>
      </c>
      <c r="M32" s="120">
        <v>0</v>
      </c>
      <c r="N32" s="122">
        <v>-10</v>
      </c>
      <c r="O32" s="122">
        <v>-20</v>
      </c>
      <c r="P32" s="122">
        <v>-30</v>
      </c>
      <c r="Q32" s="122">
        <v>-40</v>
      </c>
      <c r="R32" s="120">
        <v>-50</v>
      </c>
      <c r="S32" s="120">
        <v>-60</v>
      </c>
      <c r="T32" s="120">
        <v>-70</v>
      </c>
      <c r="U32" s="120">
        <v>-80</v>
      </c>
      <c r="V32" s="120"/>
      <c r="W32" s="109">
        <v>-80</v>
      </c>
      <c r="X32" s="120" t="s">
        <v>14</v>
      </c>
      <c r="Y32" s="120" t="s">
        <v>231</v>
      </c>
      <c r="Z32" s="109" t="s">
        <v>230</v>
      </c>
    </row>
    <row r="33" spans="1:30" ht="20.100000000000001" customHeight="1">
      <c r="A33" s="112"/>
      <c r="B33" s="112"/>
      <c r="C33" s="112"/>
      <c r="D33" s="112"/>
      <c r="E33" s="119"/>
      <c r="F33" s="112"/>
      <c r="G33" s="112"/>
      <c r="H33" s="112"/>
      <c r="I33" s="112"/>
      <c r="J33" s="112"/>
      <c r="K33" s="112">
        <v>374</v>
      </c>
      <c r="L33" s="112">
        <v>323</v>
      </c>
      <c r="M33" s="112">
        <v>283</v>
      </c>
      <c r="N33" s="112">
        <v>252</v>
      </c>
      <c r="O33" s="112">
        <v>227</v>
      </c>
      <c r="P33" s="112">
        <v>205</v>
      </c>
      <c r="Q33" s="112">
        <v>187</v>
      </c>
      <c r="R33" s="112">
        <v>171</v>
      </c>
      <c r="S33" s="112">
        <v>157</v>
      </c>
      <c r="T33" s="112">
        <v>144</v>
      </c>
      <c r="U33" s="112">
        <v>132</v>
      </c>
      <c r="V33" s="118"/>
      <c r="W33" s="112"/>
      <c r="X33" s="111">
        <f xml:space="preserve"> 0.055*B2^2 + 3.45*B2 + 283</f>
        <v>297.68</v>
      </c>
      <c r="Y33" s="110">
        <f xml:space="preserve"> 0.000000001*B2^6 + 0.0000003*B2^5 + 0.00003*B2^4 + 0.0013*B2^3 + 0.0529*B2^2 + 3.5142*B2 + 282.99</f>
        <v>297.98439129600001</v>
      </c>
      <c r="Z33" s="109">
        <f>ABS(((IF($B$2&gt;0,X33,Y33))-1280/2)/1.5/36)</f>
        <v>6.3392592592592596</v>
      </c>
    </row>
    <row r="34" spans="1:30" ht="20.100000000000001" customHeight="1">
      <c r="E34" s="119"/>
      <c r="F34" s="112"/>
      <c r="G34" s="112"/>
      <c r="H34" s="112"/>
      <c r="I34" s="112"/>
      <c r="J34" s="112"/>
      <c r="K34" s="112">
        <v>398</v>
      </c>
      <c r="L34" s="112">
        <v>348</v>
      </c>
      <c r="M34" s="112">
        <v>307</v>
      </c>
      <c r="N34" s="112">
        <v>274</v>
      </c>
      <c r="O34" s="112">
        <v>247</v>
      </c>
      <c r="P34" s="112">
        <v>225</v>
      </c>
      <c r="Q34" s="112">
        <v>205</v>
      </c>
      <c r="R34" s="112">
        <v>188</v>
      </c>
      <c r="S34" s="112">
        <v>172</v>
      </c>
      <c r="T34" s="112">
        <v>159</v>
      </c>
      <c r="U34" s="112">
        <v>146</v>
      </c>
      <c r="V34" s="118"/>
      <c r="W34" s="112"/>
      <c r="X34" s="111">
        <f xml:space="preserve"> 0.045*B2^2 + 3.65*B2 + 307</f>
        <v>322.32</v>
      </c>
      <c r="Y34" s="110">
        <f xml:space="preserve"> -0.000000002*B2^6 - 0.0000004*B2^5 - 0.00003*B2^4 - 0.0006*B2^3 + 0.026*B2^2 + 3.5993*B2 + 307</f>
        <v>321.76670220800003</v>
      </c>
      <c r="Z34" s="109">
        <f>ABS(((IF($B$2&gt;0,X34,Y34))-1280/2)/1.5/36)</f>
        <v>5.8829629629629627</v>
      </c>
    </row>
    <row r="35" spans="1:30" ht="20.100000000000001" customHeight="1">
      <c r="E35" s="117"/>
      <c r="F35" s="115"/>
      <c r="G35" s="115"/>
      <c r="H35" s="115"/>
      <c r="I35" s="115"/>
      <c r="J35" s="116"/>
      <c r="K35" s="116">
        <v>416</v>
      </c>
      <c r="L35" s="115">
        <v>369</v>
      </c>
      <c r="M35" s="115">
        <v>329</v>
      </c>
      <c r="N35" s="115">
        <v>295</v>
      </c>
      <c r="O35" s="115">
        <v>266</v>
      </c>
      <c r="P35" s="115">
        <v>242</v>
      </c>
      <c r="Q35" s="115">
        <v>222</v>
      </c>
      <c r="R35" s="115">
        <v>203</v>
      </c>
      <c r="S35" s="114">
        <v>187</v>
      </c>
      <c r="T35" s="114">
        <v>173</v>
      </c>
      <c r="U35" s="114">
        <v>160</v>
      </c>
      <c r="V35" s="113"/>
      <c r="W35" s="112"/>
      <c r="X35" s="111">
        <f xml:space="preserve"> 0.035*B2^2 + 3.65*B2 + 329</f>
        <v>344.16</v>
      </c>
      <c r="Y35" s="110">
        <f xml:space="preserve"> -0.000000003*B2^6 - 0.0000006*B2^5 - 0.00006*B2^4 - 0.0021*B2^3 - 0.0071*B2^2 + 3.4858*B2 + 329</f>
        <v>342.679213312</v>
      </c>
      <c r="Z35" s="109">
        <f>ABS(((IF($B$2&gt;0,X35,Y35))-1280/2)/1.5/36)</f>
        <v>5.4785185185185181</v>
      </c>
    </row>
    <row r="36" spans="1:30" ht="20.100000000000001" customHeight="1">
      <c r="Q36" s="112"/>
    </row>
    <row r="37" spans="1:30" ht="20.100000000000001" customHeight="1">
      <c r="Q37" s="112"/>
    </row>
    <row r="38" spans="1:30" ht="20.100000000000001" customHeight="1">
      <c r="A38" s="163" t="s">
        <v>247</v>
      </c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</row>
    <row r="39" spans="1:30" ht="20.100000000000001" customHeight="1">
      <c r="A39" s="112"/>
      <c r="B39" s="112"/>
      <c r="C39" s="112"/>
      <c r="D39" s="112"/>
      <c r="E39" s="109" t="s">
        <v>246</v>
      </c>
      <c r="F39" s="109" t="s">
        <v>245</v>
      </c>
      <c r="G39" s="109" t="s">
        <v>8</v>
      </c>
      <c r="H39" s="109" t="s">
        <v>244</v>
      </c>
      <c r="I39" s="109" t="s">
        <v>243</v>
      </c>
      <c r="J39" s="109" t="s">
        <v>242</v>
      </c>
      <c r="K39" s="112"/>
      <c r="L39" s="112"/>
      <c r="M39" s="112"/>
      <c r="N39" s="112"/>
      <c r="O39" s="112"/>
      <c r="P39" s="112"/>
      <c r="Q39" s="112"/>
      <c r="R39" s="112"/>
      <c r="S39" s="112"/>
      <c r="U39" s="111" t="s">
        <v>5</v>
      </c>
      <c r="V39" s="111" t="s">
        <v>241</v>
      </c>
      <c r="W39" s="111" t="s">
        <v>240</v>
      </c>
      <c r="X39" s="111" t="s">
        <v>239</v>
      </c>
      <c r="Y39" s="112"/>
      <c r="Z39" s="111" t="s">
        <v>39</v>
      </c>
      <c r="AA39" s="126">
        <f>MOD(B41/100*-360,1)*-ABS(((AB56)-(AC56))/((AB56)-(AD56)))+30</f>
        <v>29.998580761191853</v>
      </c>
      <c r="AB39" s="126">
        <f>MOD(C41/100*-360,1)*-ABS(((AB57)-(AC57))/((AB57)-(AD57)))+30</f>
        <v>29.992860919090944</v>
      </c>
    </row>
    <row r="40" spans="1:30" ht="20.100000000000001" customHeight="1">
      <c r="A40" s="109" t="s">
        <v>238</v>
      </c>
      <c r="B40" s="159">
        <f>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</f>
        <v>34.962803765595403</v>
      </c>
      <c r="C40" s="161">
        <f>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</f>
        <v>36.817730883190301</v>
      </c>
      <c r="D40" s="290">
        <f>Index!$C$13</f>
        <v>1</v>
      </c>
      <c r="E40" s="155">
        <v>1</v>
      </c>
      <c r="F40" s="154">
        <f>Z46</f>
        <v>306.55439999999999</v>
      </c>
      <c r="G40" s="153">
        <f>Z64</f>
        <v>6.8038074074074073</v>
      </c>
      <c r="H40" s="153">
        <f>Z52</f>
        <v>319.10480000000001</v>
      </c>
      <c r="I40" s="153">
        <f>Z58</f>
        <v>293.34399999999999</v>
      </c>
      <c r="J40" s="160">
        <f>0*($B$6-0.85)*($B$6-0.7)/((1-0.85)*(1-0.7))+AB43*($B$6-1)*($B$6-0.7)/((0.85-1)*(0.85-0.7))+AA43*($B$6-1)*($B$6-0.85)/((0.7-1)*(0.7-0.85))++$B$1-(ABS($B$5/0.2/20))</f>
        <v>235.09625</v>
      </c>
      <c r="K40" s="112"/>
      <c r="L40" s="112"/>
      <c r="M40" s="112"/>
      <c r="N40" s="112"/>
      <c r="O40" s="112"/>
      <c r="P40" s="112"/>
      <c r="Q40" s="112"/>
      <c r="R40" s="112"/>
      <c r="S40" s="130"/>
      <c r="U40" s="111">
        <v>100</v>
      </c>
      <c r="V40" s="111">
        <f>L40</f>
        <v>0</v>
      </c>
      <c r="W40" s="111">
        <v>331.41</v>
      </c>
      <c r="X40" s="111"/>
      <c r="Y40" s="112"/>
      <c r="Z40" s="112"/>
    </row>
    <row r="41" spans="1:30" ht="20.100000000000001" customHeight="1">
      <c r="A41" s="109" t="s">
        <v>5</v>
      </c>
      <c r="B41" s="159">
        <f>100*(J41-F41)*(J41-F42)/((F40-F41)*(F40-F42))+90*(J41-F40)*(J41-F42)/((F41-F40)*(F41-F42))+80*(J41-F40)*(J41-F41)/((F42-F40)*(F42-F41))</f>
        <v>71.598431409226293</v>
      </c>
      <c r="C41" s="158">
        <f>100*(J42-F41)*(J42-F42)/((F40-F41)*(F40-F42))+90*(J42-F40)*(J42-F42)/((F41-F40)*(F41-F42))+80*(J42-F40)*(J42-F41)/((F42-F40)*(F42-F41))</f>
        <v>74.824390930303224</v>
      </c>
      <c r="D41" s="112"/>
      <c r="E41" s="155">
        <v>0.9</v>
      </c>
      <c r="F41" s="154">
        <f>Z47</f>
        <v>279.78519999999997</v>
      </c>
      <c r="G41" s="153">
        <f>Z65</f>
        <v>6.3159629629629634</v>
      </c>
      <c r="H41" s="153">
        <f>Z53</f>
        <v>292.18279999999999</v>
      </c>
      <c r="I41" s="153">
        <f>Z59</f>
        <v>266.83359999999999</v>
      </c>
      <c r="J41" s="152">
        <f>J40-((COS(RADIANS($B$4)))*$B$3*(ABS((F40-H40)*(J40-H41)*(J40-H42)/((H40-H41)*(H40-H42))+(F41-H41)*(J40-H40)*(J40-H42)/((H41-H40)*(H41-H42))+(F42-H42)*(J40-H40)*(J40-H41)/((H42-H40)*(H42-H41)))/9))</f>
        <v>231.11418386720865</v>
      </c>
      <c r="K41" s="112"/>
      <c r="L41" s="112"/>
      <c r="M41" s="112"/>
      <c r="N41" s="112"/>
      <c r="O41" s="112"/>
      <c r="P41" s="112"/>
      <c r="Q41" s="112"/>
      <c r="R41" s="112"/>
      <c r="S41" s="130"/>
      <c r="U41" s="111">
        <v>90</v>
      </c>
      <c r="V41" s="111">
        <f>L41</f>
        <v>0</v>
      </c>
      <c r="W41" s="111">
        <v>306.41000000000003</v>
      </c>
      <c r="X41" s="111"/>
      <c r="Y41" s="112"/>
      <c r="Z41" s="109"/>
      <c r="AA41" s="109">
        <v>70</v>
      </c>
      <c r="AB41" s="109">
        <v>85</v>
      </c>
    </row>
    <row r="42" spans="1:30" ht="20.100000000000001" customHeight="1">
      <c r="A42" s="109" t="s">
        <v>237</v>
      </c>
      <c r="B42" s="157">
        <f>(360-ROUNDDOWN((1-(B41/100))*360,0))*B46/360</f>
        <v>204.96666666666667</v>
      </c>
      <c r="C42" s="156">
        <f>(360-ROUNDDOWN((1-(C41/100))*360,0))*C47/360</f>
        <v>214.5</v>
      </c>
      <c r="D42" s="112"/>
      <c r="E42" s="155">
        <v>0.8</v>
      </c>
      <c r="F42" s="154">
        <f>Z48</f>
        <v>253.24279999999999</v>
      </c>
      <c r="G42" s="153">
        <f>Z66</f>
        <v>5.8482518518518525</v>
      </c>
      <c r="H42" s="153">
        <f>Z54</f>
        <v>265.20760000000001</v>
      </c>
      <c r="I42" s="153">
        <f>Z60</f>
        <v>240.58519999999999</v>
      </c>
      <c r="J42" s="152">
        <f>J40+((COS(RADIANS($B$4)))*$B$3*(ABS((F40-I40)*(J40-I41)*(J40-I42)/((I40-I41)*(I40-I42))+(F41-I41)*(J40-I40)*(J40-I42)/((I41-I40)*(I41-I42))+(F42-I42)*(J40-I40)*(J40-I41)/((I42-I40)*(I42-I41)))/9))</f>
        <v>239.59268156402723</v>
      </c>
      <c r="K42" s="112"/>
      <c r="L42" s="112"/>
      <c r="M42" s="112"/>
      <c r="N42" s="112"/>
      <c r="O42" s="112"/>
      <c r="P42" s="112"/>
      <c r="Q42" s="112"/>
      <c r="R42" s="112"/>
      <c r="S42" s="112"/>
      <c r="U42" s="111">
        <v>80</v>
      </c>
      <c r="V42" s="111">
        <f>L42</f>
        <v>0</v>
      </c>
      <c r="W42" s="111">
        <v>278.16000000000003</v>
      </c>
      <c r="X42" s="111"/>
      <c r="Y42" s="112"/>
      <c r="Z42" s="109">
        <v>313.38</v>
      </c>
      <c r="AA42" s="109">
        <v>313.04000000000002</v>
      </c>
      <c r="AB42" s="109">
        <v>313.31</v>
      </c>
    </row>
    <row r="43" spans="1:30" ht="20.100000000000001" customHeight="1">
      <c r="A43" s="109" t="s">
        <v>39</v>
      </c>
      <c r="B43" s="149">
        <f>AA39</f>
        <v>29.998580761191853</v>
      </c>
      <c r="C43" s="148">
        <f>AB39</f>
        <v>29.992860919090944</v>
      </c>
      <c r="D43" s="112"/>
      <c r="W43" s="112"/>
      <c r="X43" s="112"/>
      <c r="Y43" s="112"/>
      <c r="Z43" s="151"/>
      <c r="AA43" s="150">
        <f>Z42-AA42</f>
        <v>0.33999999999997499</v>
      </c>
      <c r="AB43" s="150">
        <f>Z42-AB42</f>
        <v>6.9999999999993179E-2</v>
      </c>
    </row>
    <row r="44" spans="1:30" ht="20.100000000000001" customHeight="1">
      <c r="A44" s="109" t="s">
        <v>195</v>
      </c>
      <c r="B44" s="149">
        <f>B40/4</f>
        <v>8.7407009413988508</v>
      </c>
      <c r="C44" s="148">
        <f>C40/4</f>
        <v>9.2044327207975751</v>
      </c>
      <c r="D44" s="112"/>
      <c r="E44" s="649" t="s">
        <v>236</v>
      </c>
      <c r="F44" s="650"/>
      <c r="G44" s="650"/>
      <c r="H44" s="650"/>
      <c r="I44" s="650"/>
      <c r="J44" s="650"/>
      <c r="K44" s="651"/>
      <c r="L44" s="650"/>
      <c r="M44" s="650"/>
      <c r="N44" s="650"/>
      <c r="O44" s="650"/>
      <c r="P44" s="650"/>
      <c r="Q44" s="650"/>
      <c r="R44" s="650"/>
      <c r="S44" s="650"/>
      <c r="T44" s="650"/>
      <c r="U44" s="650"/>
      <c r="V44" s="652"/>
      <c r="W44" s="112"/>
    </row>
    <row r="45" spans="1:30" ht="20.100000000000001" customHeight="1">
      <c r="A45" s="112"/>
      <c r="B45" s="112"/>
      <c r="C45" s="112"/>
      <c r="D45" s="112"/>
      <c r="E45" s="145"/>
      <c r="F45" s="145"/>
      <c r="G45" s="145"/>
      <c r="H45" s="145"/>
      <c r="I45" s="145"/>
      <c r="J45" s="146"/>
      <c r="K45" s="146">
        <v>17.5</v>
      </c>
      <c r="L45" s="147">
        <v>10</v>
      </c>
      <c r="M45" s="146">
        <v>0</v>
      </c>
      <c r="N45" s="146">
        <v>-10</v>
      </c>
      <c r="O45" s="146">
        <v>-20</v>
      </c>
      <c r="P45" s="146">
        <v>-30</v>
      </c>
      <c r="Q45" s="146">
        <v>-40</v>
      </c>
      <c r="R45" s="145">
        <v>-50</v>
      </c>
      <c r="S45" s="145">
        <v>-60</v>
      </c>
      <c r="T45" s="145">
        <v>-70</v>
      </c>
      <c r="U45" s="145">
        <v>-80</v>
      </c>
      <c r="V45" s="145"/>
      <c r="W45" s="109">
        <v>-75</v>
      </c>
      <c r="X45" s="120" t="s">
        <v>14</v>
      </c>
      <c r="Y45" s="120" t="s">
        <v>231</v>
      </c>
      <c r="Z45" s="109"/>
    </row>
    <row r="46" spans="1:30" ht="20.100000000000001" customHeight="1">
      <c r="A46" s="112"/>
      <c r="B46" s="644">
        <v>286</v>
      </c>
      <c r="C46" s="644"/>
      <c r="D46" s="112"/>
      <c r="E46" s="144"/>
      <c r="F46" s="143"/>
      <c r="G46" s="143"/>
      <c r="H46" s="143"/>
      <c r="I46" s="143"/>
      <c r="J46" s="142"/>
      <c r="K46" s="142">
        <v>273.49</v>
      </c>
      <c r="L46" s="142">
        <v>293.77</v>
      </c>
      <c r="M46" s="141">
        <v>313.38</v>
      </c>
      <c r="N46" s="141">
        <v>328.45</v>
      </c>
      <c r="O46" s="141">
        <v>339.79</v>
      </c>
      <c r="P46" s="141">
        <v>349.64</v>
      </c>
      <c r="Q46" s="141">
        <v>357.53</v>
      </c>
      <c r="R46" s="140">
        <v>364.38</v>
      </c>
      <c r="S46" s="140">
        <v>370.3</v>
      </c>
      <c r="T46" s="140">
        <v>375.44</v>
      </c>
      <c r="U46" s="140">
        <v>380</v>
      </c>
      <c r="V46" s="139"/>
      <c r="W46" s="112"/>
      <c r="X46" s="111">
        <f xml:space="preserve"> -0.0425*B2^2 - 1.5364*B2 + 313.38</f>
        <v>306.55439999999999</v>
      </c>
      <c r="Y46" s="110">
        <f xml:space="preserve"> -0.0000000007*B2^6 - 0.0000002*B2^5 - 0.00002*B2^4 - 0.001*B2^3 - 0.0363*B2^2 - 1.7848*B2 + 313.39</f>
        <v>305.6006723328</v>
      </c>
      <c r="Z46" s="109">
        <f>IF($B$2&gt;0,X46,Y46)</f>
        <v>306.55439999999999</v>
      </c>
    </row>
    <row r="47" spans="1:30" ht="20.100000000000001" customHeight="1">
      <c r="A47" s="112"/>
      <c r="B47" s="109">
        <v>100</v>
      </c>
      <c r="C47" s="109">
        <f>$B$46*B47/100</f>
        <v>286</v>
      </c>
      <c r="D47" s="112"/>
      <c r="E47" s="138"/>
      <c r="F47" s="112"/>
      <c r="G47" s="112"/>
      <c r="H47" s="112"/>
      <c r="I47" s="112"/>
      <c r="K47" s="30">
        <v>245.85</v>
      </c>
      <c r="L47" s="30">
        <v>266.39999999999998</v>
      </c>
      <c r="M47" s="137">
        <v>287.2</v>
      </c>
      <c r="N47" s="137">
        <v>303.32</v>
      </c>
      <c r="O47" s="137">
        <v>315.79000000000002</v>
      </c>
      <c r="P47" s="137">
        <v>326.04000000000002</v>
      </c>
      <c r="Q47" s="137">
        <v>334.54</v>
      </c>
      <c r="R47" s="130">
        <v>341.61</v>
      </c>
      <c r="S47" s="130">
        <v>348.1</v>
      </c>
      <c r="T47" s="130">
        <v>353.54</v>
      </c>
      <c r="U47" s="130">
        <v>358.4</v>
      </c>
      <c r="V47" s="136"/>
      <c r="W47" s="112"/>
      <c r="X47" s="111">
        <f xml:space="preserve"> -0.0377*B2^2 - 1.7029*B2 + 287.2</f>
        <v>279.78519999999997</v>
      </c>
      <c r="Y47" s="110">
        <f xml:space="preserve"> -0.0000000002*B2^6 - 0.00000005*B2^5 - 0.000006*B2^4 - 0.0004*B2^3 - 0.0274*B2^2 - 1.845*B2 + 287.2</f>
        <v>279.35441198079997</v>
      </c>
      <c r="Z47" s="109">
        <f>IF($B$2&gt;0,X47,Y47)</f>
        <v>279.78519999999997</v>
      </c>
    </row>
    <row r="48" spans="1:30" ht="20.100000000000001" customHeight="1">
      <c r="A48" s="112"/>
      <c r="B48" s="109">
        <v>90</v>
      </c>
      <c r="C48" s="109">
        <f>$B$46*B48/100</f>
        <v>257.39999999999998</v>
      </c>
      <c r="D48" s="112"/>
      <c r="E48" s="135"/>
      <c r="F48" s="116"/>
      <c r="G48" s="116"/>
      <c r="H48" s="116"/>
      <c r="I48" s="116"/>
      <c r="J48" s="134"/>
      <c r="K48" s="134">
        <v>220.45</v>
      </c>
      <c r="L48" s="134">
        <v>240.05</v>
      </c>
      <c r="M48" s="133">
        <v>260.81</v>
      </c>
      <c r="N48" s="133">
        <v>277.5</v>
      </c>
      <c r="O48" s="133">
        <v>290.52999999999997</v>
      </c>
      <c r="P48" s="133">
        <v>301.35000000000002</v>
      </c>
      <c r="Q48" s="133">
        <v>310.27</v>
      </c>
      <c r="R48" s="132">
        <v>317.83999999999997</v>
      </c>
      <c r="S48" s="132">
        <v>324.39999999999998</v>
      </c>
      <c r="T48" s="132">
        <v>330.05</v>
      </c>
      <c r="U48" s="132">
        <v>335.05</v>
      </c>
      <c r="V48" s="131"/>
      <c r="W48" s="112"/>
      <c r="X48" s="111">
        <f xml:space="preserve"> -0.0307*B2^2 - 1.769*B2 + 260.81</f>
        <v>253.24279999999999</v>
      </c>
      <c r="Y48" s="110">
        <f xml:space="preserve"> -0.0000000002*B2^6 - 0.00000007*B2^5 - 0.000008*B2^4 - 0.0005*B2^3 - 0.0291*B2^2 - 1.9128*B2 + 260.81</f>
        <v>252.6590795008</v>
      </c>
      <c r="Z48" s="109">
        <f>IF($B$2&gt;0,X48,Y48)</f>
        <v>253.24279999999999</v>
      </c>
    </row>
    <row r="49" spans="1:30" ht="20.100000000000001" customHeight="1">
      <c r="A49" s="112"/>
      <c r="B49" s="109">
        <v>80</v>
      </c>
      <c r="C49" s="109">
        <f>$B$46*B49/100</f>
        <v>228.8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</row>
    <row r="50" spans="1:30" ht="20.100000000000001" customHeight="1">
      <c r="A50" s="112"/>
      <c r="D50" s="112"/>
      <c r="E50" s="649" t="s">
        <v>235</v>
      </c>
      <c r="F50" s="650"/>
      <c r="G50" s="650"/>
      <c r="H50" s="650"/>
      <c r="I50" s="650"/>
      <c r="J50" s="650"/>
      <c r="K50" s="651"/>
      <c r="L50" s="650"/>
      <c r="M50" s="650"/>
      <c r="N50" s="650"/>
      <c r="O50" s="650"/>
      <c r="P50" s="650"/>
      <c r="Q50" s="650"/>
      <c r="R50" s="650"/>
      <c r="S50" s="650"/>
      <c r="T50" s="650"/>
      <c r="U50" s="650"/>
      <c r="V50" s="652"/>
      <c r="W50" s="112"/>
    </row>
    <row r="51" spans="1:30" ht="20.100000000000001" customHeight="1">
      <c r="A51" s="112"/>
      <c r="D51" s="112"/>
      <c r="E51" s="121"/>
      <c r="F51" s="121"/>
      <c r="G51" s="121"/>
      <c r="H51" s="121"/>
      <c r="I51" s="121"/>
      <c r="J51" s="124"/>
      <c r="K51" s="122">
        <v>17.5</v>
      </c>
      <c r="L51" s="123">
        <v>10</v>
      </c>
      <c r="M51" s="121">
        <v>0</v>
      </c>
      <c r="N51" s="122">
        <v>-10</v>
      </c>
      <c r="O51" s="122">
        <v>-20</v>
      </c>
      <c r="P51" s="122">
        <v>-30</v>
      </c>
      <c r="Q51" s="122">
        <v>-40</v>
      </c>
      <c r="R51" s="121">
        <v>-50</v>
      </c>
      <c r="S51" s="121">
        <v>-60</v>
      </c>
      <c r="T51" s="121"/>
      <c r="U51" s="121"/>
      <c r="V51" s="121"/>
      <c r="W51" s="109">
        <v>-75</v>
      </c>
      <c r="X51" s="120" t="s">
        <v>14</v>
      </c>
      <c r="Y51" s="120" t="s">
        <v>231</v>
      </c>
      <c r="Z51" s="109"/>
    </row>
    <row r="52" spans="1:30" ht="20.100000000000001" customHeight="1">
      <c r="A52" s="112"/>
      <c r="D52" s="112"/>
      <c r="E52" s="119"/>
      <c r="F52" s="112"/>
      <c r="G52" s="112"/>
      <c r="H52" s="112"/>
      <c r="I52" s="112"/>
      <c r="J52" s="112"/>
      <c r="K52" s="112">
        <v>284.47000000000003</v>
      </c>
      <c r="L52" s="112">
        <v>305.76</v>
      </c>
      <c r="M52" s="130">
        <v>326.18</v>
      </c>
      <c r="N52" s="130">
        <v>341.56</v>
      </c>
      <c r="O52" s="130">
        <v>353.62</v>
      </c>
      <c r="P52" s="130">
        <v>363.38</v>
      </c>
      <c r="Q52" s="130">
        <v>371.76</v>
      </c>
      <c r="R52" s="130">
        <v>378.92</v>
      </c>
      <c r="S52" s="130">
        <v>385.07</v>
      </c>
      <c r="T52" s="130">
        <v>390.47</v>
      </c>
      <c r="U52" s="130">
        <v>395.26</v>
      </c>
      <c r="V52" s="129"/>
      <c r="W52" s="112"/>
      <c r="X52" s="111">
        <f xml:space="preserve"> -0.0455*B2^2 - 1.5868*B2 + 326.18</f>
        <v>319.10480000000001</v>
      </c>
      <c r="Y52" s="110">
        <f xml:space="preserve"> -0.00000000004*B2^6 - 0.00000002*B2^5 - 0.000004*B2^4 - 0.0004*B2^3 - 0.0263*B2^2 - 1.7664*B2 + 326.18</f>
        <v>318.66695535616003</v>
      </c>
      <c r="Z52" s="109">
        <f>IF($B$2&gt;0,X52,Y52)</f>
        <v>319.10480000000001</v>
      </c>
      <c r="AA52" s="111" t="s">
        <v>5</v>
      </c>
      <c r="AB52" s="111" t="s">
        <v>234</v>
      </c>
      <c r="AC52" s="111" t="str">
        <f>"-1 Spin"</f>
        <v>-1 Spin</v>
      </c>
      <c r="AD52" s="111" t="str">
        <f>"-1 Calip"</f>
        <v>-1 Calip</v>
      </c>
    </row>
    <row r="53" spans="1:30" ht="20.100000000000001" customHeight="1">
      <c r="A53" s="112"/>
      <c r="D53" s="112"/>
      <c r="E53" s="119"/>
      <c r="F53" s="112"/>
      <c r="G53" s="112"/>
      <c r="H53" s="112"/>
      <c r="I53" s="112"/>
      <c r="J53" s="112"/>
      <c r="K53" s="112">
        <v>256.70999999999998</v>
      </c>
      <c r="L53" s="112">
        <v>278.22000000000003</v>
      </c>
      <c r="M53" s="130">
        <v>299.89</v>
      </c>
      <c r="N53" s="130">
        <v>316.7</v>
      </c>
      <c r="O53" s="130">
        <v>329.77</v>
      </c>
      <c r="P53" s="130">
        <v>340.37</v>
      </c>
      <c r="Q53" s="130">
        <v>349.19</v>
      </c>
      <c r="R53" s="130">
        <v>356.69</v>
      </c>
      <c r="S53" s="130">
        <v>363.3</v>
      </c>
      <c r="T53" s="130">
        <v>369.01</v>
      </c>
      <c r="U53" s="130">
        <v>374.05</v>
      </c>
      <c r="V53" s="129"/>
      <c r="W53" s="112"/>
      <c r="X53" s="111">
        <f xml:space="preserve"> -0.0401*B2^2 - 1.7664*B2 + 299.89</f>
        <v>292.18279999999999</v>
      </c>
      <c r="Y53" s="110">
        <f xml:space="preserve"> -0.00000000005*B2^6 - 0.00000002*B2^5 - 0.000003*B2^4 - 0.0004*B2^3 - 0.0271*B2^2 - 1.9191*B2 + 299.89</f>
        <v>291.75361131519998</v>
      </c>
      <c r="Z53" s="109">
        <f>IF($B$2&gt;0,X53,Y53)</f>
        <v>292.18279999999999</v>
      </c>
      <c r="AA53" s="111">
        <v>100</v>
      </c>
      <c r="AB53" s="126">
        <f>M46</f>
        <v>313.38</v>
      </c>
      <c r="AC53" s="111">
        <v>312.41000000000003</v>
      </c>
      <c r="AD53" s="111">
        <v>285.2</v>
      </c>
    </row>
    <row r="54" spans="1:30" ht="20.100000000000001" customHeight="1">
      <c r="A54" s="112"/>
      <c r="B54" s="112"/>
      <c r="C54" s="112"/>
      <c r="D54" s="112"/>
      <c r="E54" s="117"/>
      <c r="F54" s="115"/>
      <c r="G54" s="115"/>
      <c r="H54" s="115"/>
      <c r="I54" s="115"/>
      <c r="J54" s="115"/>
      <c r="K54" s="115">
        <v>230.56</v>
      </c>
      <c r="L54" s="115">
        <v>251.04</v>
      </c>
      <c r="M54" s="128">
        <v>273.56</v>
      </c>
      <c r="N54" s="128">
        <v>290.77</v>
      </c>
      <c r="O54" s="128">
        <v>304.43</v>
      </c>
      <c r="P54" s="128">
        <v>315.55</v>
      </c>
      <c r="Q54" s="128">
        <v>324.95</v>
      </c>
      <c r="R54" s="128">
        <v>332.74</v>
      </c>
      <c r="S54" s="128">
        <v>339.77</v>
      </c>
      <c r="T54" s="128">
        <v>345.73</v>
      </c>
      <c r="U54" s="128">
        <v>351</v>
      </c>
      <c r="V54" s="127"/>
      <c r="W54" s="112"/>
      <c r="X54" s="111">
        <f xml:space="preserve"> -0.0274*B2^2 - 1.9785*B2 + 273.56</f>
        <v>265.20760000000001</v>
      </c>
      <c r="Y54" s="110">
        <f xml:space="preserve"> -0.00000000005*B2^6 - 0.00000002*B2^5 - 0.000003*B2^4 - 0.0003*B2^3 - 0.0248*B2^2 - 1.942*B2 + 273.56</f>
        <v>265.37521131519998</v>
      </c>
      <c r="Z54" s="109">
        <f>IF($B$2&gt;0,X54,Y54)</f>
        <v>265.20760000000001</v>
      </c>
      <c r="AA54" s="111">
        <v>90</v>
      </c>
      <c r="AB54" s="126">
        <f>M47</f>
        <v>287.2</v>
      </c>
      <c r="AC54" s="111">
        <v>286.27999999999997</v>
      </c>
      <c r="AD54" s="111">
        <v>256.60000000000002</v>
      </c>
    </row>
    <row r="55" spans="1:30" ht="20.100000000000001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1">
        <v>80</v>
      </c>
      <c r="AB55" s="126">
        <f>M48</f>
        <v>260.81</v>
      </c>
      <c r="AC55" s="111">
        <v>260.18</v>
      </c>
      <c r="AD55" s="111">
        <v>228</v>
      </c>
    </row>
    <row r="56" spans="1:30" ht="20.100000000000001" customHeight="1">
      <c r="A56" s="112"/>
      <c r="B56" s="112"/>
      <c r="C56" s="112"/>
      <c r="D56" s="112"/>
      <c r="E56" s="649" t="s">
        <v>233</v>
      </c>
      <c r="F56" s="650"/>
      <c r="G56" s="650"/>
      <c r="H56" s="650"/>
      <c r="I56" s="650"/>
      <c r="J56" s="650"/>
      <c r="K56" s="651"/>
      <c r="L56" s="650"/>
      <c r="M56" s="650"/>
      <c r="N56" s="650"/>
      <c r="O56" s="650"/>
      <c r="P56" s="650"/>
      <c r="Q56" s="650"/>
      <c r="R56" s="650"/>
      <c r="S56" s="650"/>
      <c r="T56" s="650"/>
      <c r="U56" s="650"/>
      <c r="V56" s="652"/>
      <c r="W56" s="112"/>
      <c r="AB56" s="111">
        <f xml:space="preserve"> -0.001*B41^2 + 2.8175*B41 + 42.13</f>
        <v>238.73224511523338</v>
      </c>
      <c r="AC56" s="111">
        <f xml:space="preserve"> 0.0002*B41^2 + 2.5845*B41 + 52.46</f>
        <v>238.53141305319767</v>
      </c>
      <c r="AD56" s="111">
        <f xml:space="preserve"> 2.86*B41 - 0.8</f>
        <v>203.97151383038718</v>
      </c>
    </row>
    <row r="57" spans="1:30" ht="20.100000000000001" customHeight="1">
      <c r="A57" s="112"/>
      <c r="B57" s="112"/>
      <c r="C57" s="112"/>
      <c r="D57" s="112"/>
      <c r="E57" s="121"/>
      <c r="F57" s="121"/>
      <c r="G57" s="121"/>
      <c r="H57" s="121"/>
      <c r="I57" s="121"/>
      <c r="J57" s="124"/>
      <c r="K57" s="122">
        <v>17.5</v>
      </c>
      <c r="L57" s="123">
        <v>10</v>
      </c>
      <c r="M57" s="121">
        <v>0</v>
      </c>
      <c r="N57" s="122">
        <v>-10</v>
      </c>
      <c r="O57" s="122">
        <v>-20</v>
      </c>
      <c r="P57" s="122">
        <v>-30</v>
      </c>
      <c r="Q57" s="122">
        <v>-40</v>
      </c>
      <c r="R57" s="121">
        <v>-50</v>
      </c>
      <c r="S57" s="121"/>
      <c r="T57" s="121"/>
      <c r="U57" s="121"/>
      <c r="V57" s="121"/>
      <c r="W57" s="109">
        <v>-75</v>
      </c>
      <c r="X57" s="120" t="s">
        <v>14</v>
      </c>
      <c r="Y57" s="120" t="s">
        <v>231</v>
      </c>
      <c r="Z57" s="109"/>
      <c r="AB57" s="111">
        <f xml:space="preserve"> -0.001*C41^2 + 2.8175*C41 + 42.13</f>
        <v>247.34903196803847</v>
      </c>
      <c r="AC57" s="111">
        <f xml:space="preserve"> 0.0002*C41^2 + 2.5845*C41 + 52.46</f>
        <v>246.96337625498683</v>
      </c>
      <c r="AD57" s="111">
        <f xml:space="preserve"> 2.86*C41 - 0.8</f>
        <v>213.19775806066721</v>
      </c>
    </row>
    <row r="58" spans="1:30" ht="20.100000000000001" customHeight="1">
      <c r="A58" s="112"/>
      <c r="B58" s="112"/>
      <c r="C58" s="112"/>
      <c r="D58" s="112"/>
      <c r="E58" s="119"/>
      <c r="F58" s="112"/>
      <c r="G58" s="112"/>
      <c r="H58" s="112"/>
      <c r="I58" s="112"/>
      <c r="J58" s="112"/>
      <c r="K58" s="112">
        <v>261.82</v>
      </c>
      <c r="L58" s="112">
        <v>281.06</v>
      </c>
      <c r="M58" s="112">
        <v>300</v>
      </c>
      <c r="N58" s="112">
        <v>314.32</v>
      </c>
      <c r="O58" s="112">
        <v>325.55</v>
      </c>
      <c r="P58" s="112">
        <v>334.57</v>
      </c>
      <c r="Q58" s="112">
        <v>342.42</v>
      </c>
      <c r="R58" s="112">
        <v>348.9</v>
      </c>
      <c r="S58" s="112">
        <v>354.54</v>
      </c>
      <c r="T58" s="112">
        <v>359.44</v>
      </c>
      <c r="U58" s="112">
        <v>363.76</v>
      </c>
      <c r="V58" s="118"/>
      <c r="W58" s="112"/>
      <c r="X58" s="111">
        <f xml:space="preserve"> -0.0384*B2^2 - 1.5104*B2 + 300</f>
        <v>293.34399999999999</v>
      </c>
      <c r="Y58" s="110">
        <f xml:space="preserve"> -0.0000000002*B2^6 - 0.00000005*B2^5 - 0.000007*B2^4 - 0.0005*B2^3 - 0.0264*B2^2 - 1.6562*B2 + 300</f>
        <v>292.91895598079998</v>
      </c>
      <c r="Z58" s="109">
        <f>IF($B$2&gt;0,X58,Y58)</f>
        <v>293.34399999999999</v>
      </c>
    </row>
    <row r="59" spans="1:30" ht="20.100000000000001" customHeight="1">
      <c r="A59" s="112"/>
      <c r="B59" s="112"/>
      <c r="C59" s="112"/>
      <c r="D59" s="112"/>
      <c r="E59" s="119"/>
      <c r="F59" s="112"/>
      <c r="G59" s="112"/>
      <c r="H59" s="112"/>
      <c r="I59" s="112"/>
      <c r="J59" s="112"/>
      <c r="K59" s="112">
        <v>234.64</v>
      </c>
      <c r="L59" s="112">
        <v>254.03</v>
      </c>
      <c r="M59" s="112">
        <v>274.02999999999997</v>
      </c>
      <c r="N59" s="112">
        <v>289.16000000000003</v>
      </c>
      <c r="O59" s="112">
        <v>301.29000000000002</v>
      </c>
      <c r="P59" s="112">
        <v>310.93</v>
      </c>
      <c r="Q59" s="112">
        <v>319.13</v>
      </c>
      <c r="R59" s="112">
        <v>326.07</v>
      </c>
      <c r="S59" s="112">
        <v>332.03</v>
      </c>
      <c r="T59" s="112">
        <v>337.2</v>
      </c>
      <c r="U59" s="112">
        <v>341.75</v>
      </c>
      <c r="V59" s="118"/>
      <c r="W59" s="112"/>
      <c r="X59" s="111">
        <f xml:space="preserve"> -0.0334*B2^2 - 1.6655*B2 + 274.03</f>
        <v>266.83359999999999</v>
      </c>
      <c r="Y59" s="110">
        <f xml:space="preserve"> 0.0000000002*B2^6 + 0.00000005*B2^5 + 0.000003*B2^4 - 0.00004*B2^3 - 0.0181*B2^2 - 1.6897*B2 + 274.03</f>
        <v>266.97986001919998</v>
      </c>
      <c r="Z59" s="109">
        <f>IF($B$2&gt;0,X59,Y59)</f>
        <v>266.83359999999999</v>
      </c>
    </row>
    <row r="60" spans="1:30" ht="20.100000000000001" customHeight="1">
      <c r="A60" s="112"/>
      <c r="B60" s="112"/>
      <c r="C60" s="112"/>
      <c r="D60" s="112"/>
      <c r="E60" s="117"/>
      <c r="F60" s="115"/>
      <c r="G60" s="115"/>
      <c r="H60" s="115"/>
      <c r="I60" s="115"/>
      <c r="J60" s="115"/>
      <c r="K60" s="115">
        <v>209.8</v>
      </c>
      <c r="L60" s="115">
        <v>228.07</v>
      </c>
      <c r="M60" s="115">
        <v>247.89</v>
      </c>
      <c r="N60" s="115">
        <v>263.45999999999998</v>
      </c>
      <c r="O60" s="115">
        <v>275.58999999999997</v>
      </c>
      <c r="P60" s="115">
        <v>286.11</v>
      </c>
      <c r="Q60" s="115">
        <v>294.58</v>
      </c>
      <c r="R60" s="115">
        <v>301.79000000000002</v>
      </c>
      <c r="S60" s="115">
        <v>307.99</v>
      </c>
      <c r="T60" s="115">
        <v>313.36</v>
      </c>
      <c r="U60" s="115">
        <v>318.07</v>
      </c>
      <c r="V60" s="125"/>
      <c r="W60" s="112"/>
      <c r="X60" s="111">
        <f xml:space="preserve"> -0.0259*B2^2 - 1.7226*B2 + 247.89</f>
        <v>240.58519999999999</v>
      </c>
      <c r="Y60" s="110">
        <f xml:space="preserve"> -0.0000000007*B2^6 - 0.0000002*B2^5 - 0.00002*B2^4 - 0.0008*B2^3 - 0.0321*B2^2 - 1.8049*B2 + 247.9</f>
        <v>240.11027233280001</v>
      </c>
      <c r="Z60" s="109">
        <f>IF($B$2&gt;0,X60,Y60)</f>
        <v>240.58519999999999</v>
      </c>
    </row>
    <row r="61" spans="1:30" ht="20.100000000000001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</row>
    <row r="62" spans="1:30" ht="20.100000000000001" customHeight="1">
      <c r="A62" s="112"/>
      <c r="B62" s="112"/>
      <c r="C62" s="112"/>
      <c r="D62" s="112"/>
      <c r="E62" s="649" t="s">
        <v>232</v>
      </c>
      <c r="F62" s="650"/>
      <c r="G62" s="650"/>
      <c r="H62" s="650"/>
      <c r="I62" s="650"/>
      <c r="J62" s="650"/>
      <c r="K62" s="651"/>
      <c r="L62" s="650"/>
      <c r="M62" s="650"/>
      <c r="N62" s="650"/>
      <c r="O62" s="650"/>
      <c r="P62" s="650"/>
      <c r="Q62" s="650"/>
      <c r="R62" s="650"/>
      <c r="S62" s="650"/>
      <c r="T62" s="650"/>
      <c r="U62" s="650"/>
      <c r="V62" s="652"/>
      <c r="W62" s="112"/>
    </row>
    <row r="63" spans="1:30" ht="20.100000000000001" customHeight="1">
      <c r="A63" s="112"/>
      <c r="B63" s="112"/>
      <c r="C63" s="112"/>
      <c r="D63" s="112"/>
      <c r="E63" s="121"/>
      <c r="F63" s="121"/>
      <c r="G63" s="121"/>
      <c r="H63" s="121"/>
      <c r="I63" s="121"/>
      <c r="J63" s="124"/>
      <c r="K63" s="122">
        <v>17.5</v>
      </c>
      <c r="L63" s="123">
        <v>10</v>
      </c>
      <c r="M63" s="121">
        <v>0</v>
      </c>
      <c r="N63" s="122">
        <v>-10</v>
      </c>
      <c r="O63" s="122">
        <v>-20</v>
      </c>
      <c r="P63" s="122">
        <v>-30</v>
      </c>
      <c r="Q63" s="122">
        <v>-40</v>
      </c>
      <c r="R63" s="121">
        <v>-50</v>
      </c>
      <c r="S63" s="121"/>
      <c r="T63" s="121"/>
      <c r="U63" s="121"/>
      <c r="V63" s="121"/>
      <c r="W63" s="109">
        <v>-75</v>
      </c>
      <c r="X63" s="120" t="s">
        <v>14</v>
      </c>
      <c r="Y63" s="120" t="s">
        <v>231</v>
      </c>
      <c r="Z63" s="109" t="s">
        <v>230</v>
      </c>
    </row>
    <row r="64" spans="1:30" ht="20.100000000000001" customHeight="1">
      <c r="A64" s="112"/>
      <c r="B64" s="112"/>
      <c r="C64" s="112"/>
      <c r="D64" s="112"/>
      <c r="E64" s="119"/>
      <c r="F64" s="112"/>
      <c r="G64" s="112"/>
      <c r="H64" s="112"/>
      <c r="I64" s="112"/>
      <c r="J64" s="112"/>
      <c r="K64" s="112">
        <v>325</v>
      </c>
      <c r="L64" s="112">
        <v>294</v>
      </c>
      <c r="M64" s="112">
        <v>260</v>
      </c>
      <c r="N64" s="112">
        <v>235</v>
      </c>
      <c r="O64" s="112">
        <v>214</v>
      </c>
      <c r="P64" s="112">
        <v>194</v>
      </c>
      <c r="Q64" s="112">
        <v>179</v>
      </c>
      <c r="R64" s="112">
        <v>151</v>
      </c>
      <c r="S64" s="112">
        <v>143</v>
      </c>
      <c r="T64" s="112">
        <v>131</v>
      </c>
      <c r="U64" s="112">
        <v>120</v>
      </c>
      <c r="V64" s="118"/>
      <c r="W64" s="112"/>
      <c r="X64" s="111">
        <f xml:space="preserve"> 0.0419*B2^2 + 2.981*B2 + 260</f>
        <v>272.59440000000001</v>
      </c>
      <c r="Y64" s="110">
        <f xml:space="preserve"> -0.000000008*B2^6 - 0.000002*B2^5 - 0.0001*B2^4 - 0.0029*B2^3 - 0.0085*B2^2 + 2.6389*B2 + 260.06</f>
        <v>270.266319232</v>
      </c>
      <c r="Z64" s="109">
        <f>ABS(((IF($B$2&gt;0,X64,Y64))-1280/2)/1.5/36)</f>
        <v>6.8038074074074073</v>
      </c>
    </row>
    <row r="65" spans="5:26" ht="20.100000000000001" customHeight="1">
      <c r="E65" s="119"/>
      <c r="F65" s="112"/>
      <c r="G65" s="112"/>
      <c r="H65" s="112"/>
      <c r="I65" s="112"/>
      <c r="J65" s="112"/>
      <c r="K65" s="112">
        <v>357</v>
      </c>
      <c r="L65" s="112">
        <v>322</v>
      </c>
      <c r="M65" s="112">
        <v>286</v>
      </c>
      <c r="N65" s="112">
        <v>257</v>
      </c>
      <c r="O65" s="112">
        <v>231</v>
      </c>
      <c r="P65" s="112">
        <v>210</v>
      </c>
      <c r="Q65" s="112">
        <v>185</v>
      </c>
      <c r="R65" s="112">
        <v>168</v>
      </c>
      <c r="S65" s="112">
        <v>159</v>
      </c>
      <c r="T65" s="112">
        <v>146</v>
      </c>
      <c r="U65" s="112">
        <v>134</v>
      </c>
      <c r="V65" s="118"/>
      <c r="W65" s="112"/>
      <c r="X65" s="111">
        <f xml:space="preserve"> 0.061*B2^2 + 2.9905*B2 + 286</f>
        <v>298.93799999999999</v>
      </c>
      <c r="Y65" s="110">
        <f xml:space="preserve"> 0.000000008*B2^6 + 0.000002*B2^5 + 0.0002*B2^4 + 0.0089*B2^3 + 0.1864*B2^2 + 4.1368*B2 + 286.12</f>
        <v>306.27248076799998</v>
      </c>
      <c r="Z65" s="109">
        <f>ABS(((IF($B$2&gt;0,X65,Y65))-1280/2)/1.5/36)</f>
        <v>6.3159629629629634</v>
      </c>
    </row>
    <row r="66" spans="5:26" ht="20.100000000000001" customHeight="1">
      <c r="E66" s="117"/>
      <c r="F66" s="115"/>
      <c r="G66" s="115"/>
      <c r="H66" s="115"/>
      <c r="I66" s="115"/>
      <c r="J66" s="116"/>
      <c r="K66" s="116">
        <v>382</v>
      </c>
      <c r="L66" s="115">
        <v>348</v>
      </c>
      <c r="M66" s="115">
        <v>310</v>
      </c>
      <c r="N66" s="115">
        <v>281</v>
      </c>
      <c r="O66" s="115">
        <v>252</v>
      </c>
      <c r="P66" s="115">
        <v>225</v>
      </c>
      <c r="Q66" s="115">
        <v>207</v>
      </c>
      <c r="R66" s="115">
        <v>184</v>
      </c>
      <c r="S66" s="114">
        <v>174</v>
      </c>
      <c r="T66" s="114">
        <v>161</v>
      </c>
      <c r="U66" s="114">
        <v>148</v>
      </c>
      <c r="V66" s="113"/>
      <c r="W66" s="112"/>
      <c r="X66" s="111">
        <f xml:space="preserve"> 0.0419*B2^2 + 3.381*B2 + 310</f>
        <v>324.19439999999997</v>
      </c>
      <c r="Y66" s="110">
        <f xml:space="preserve"> -0.000000004*B2^6 - 0.0000009*B2^5 - 0.00008*B2^4 - 0.0037*B2^3 - 0.0665*B2^2 + 2.5299*B2 + 310.01</f>
        <v>318.80738201600002</v>
      </c>
      <c r="Z66" s="109">
        <f>ABS(((IF($B$2&gt;0,X66,Y66))-1280/2)/1.5/36)</f>
        <v>5.8482518518518525</v>
      </c>
    </row>
  </sheetData>
  <sheetProtection sheet="1" objects="1" scenarios="1" selectLockedCells="1" selectUnlockedCells="1"/>
  <mergeCells count="10">
    <mergeCell ref="E50:V50"/>
    <mergeCell ref="E56:V56"/>
    <mergeCell ref="E62:V62"/>
    <mergeCell ref="E44:V44"/>
    <mergeCell ref="E13:V13"/>
    <mergeCell ref="B15:C15"/>
    <mergeCell ref="E19:V19"/>
    <mergeCell ref="E25:V25"/>
    <mergeCell ref="E31:V31"/>
    <mergeCell ref="B46:C4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AC379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44"/>
  </cols>
  <sheetData>
    <row r="1" spans="1:22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2" ht="20.100000000000001" customHeight="1">
      <c r="A2" s="43"/>
      <c r="B2" s="43"/>
      <c r="C2" s="84"/>
      <c r="D2" s="84"/>
      <c r="E2" s="43"/>
      <c r="F2" s="43"/>
      <c r="G2" s="626" t="s">
        <v>0</v>
      </c>
      <c r="H2" s="627"/>
      <c r="I2" s="626" t="s">
        <v>1</v>
      </c>
      <c r="J2" s="627"/>
      <c r="K2" s="626" t="s">
        <v>2</v>
      </c>
      <c r="L2" s="627"/>
      <c r="M2" s="42"/>
      <c r="N2" s="45" t="s">
        <v>3</v>
      </c>
      <c r="O2" s="46">
        <f>COS(Index!$E$4*PI()/180)</f>
        <v>0.64278760968653936</v>
      </c>
      <c r="P2" s="43"/>
      <c r="Q2" s="84"/>
      <c r="R2" s="84"/>
      <c r="S2" s="84"/>
      <c r="T2" s="84"/>
      <c r="U2" s="84"/>
      <c r="V2" s="84"/>
    </row>
    <row r="3" spans="1:22" ht="20.100000000000001" customHeight="1">
      <c r="A3" s="43"/>
      <c r="B3" s="43"/>
      <c r="C3" s="84"/>
      <c r="D3" s="84"/>
      <c r="E3" s="43"/>
      <c r="F3" s="43"/>
      <c r="G3" s="47">
        <v>0.7</v>
      </c>
      <c r="H3" s="48">
        <v>24.75</v>
      </c>
      <c r="I3" s="47">
        <v>0.7</v>
      </c>
      <c r="J3" s="40">
        <v>25.2</v>
      </c>
      <c r="K3" s="47">
        <v>0.7</v>
      </c>
      <c r="L3" s="48">
        <v>24.75</v>
      </c>
      <c r="M3" s="42"/>
      <c r="N3" s="49" t="s">
        <v>4</v>
      </c>
      <c r="O3" s="50">
        <f>SIN(Index!$E$4*PI()/180)</f>
        <v>0.76604444311897801</v>
      </c>
      <c r="P3" s="43"/>
      <c r="Q3" s="84"/>
      <c r="R3" s="84"/>
      <c r="S3" s="84"/>
      <c r="T3" s="84"/>
      <c r="U3" s="84"/>
      <c r="V3" s="84"/>
    </row>
    <row r="4" spans="1:22" ht="20.100000000000001" customHeight="1">
      <c r="A4" s="43"/>
      <c r="B4" s="43"/>
      <c r="C4" s="84"/>
      <c r="D4" s="84"/>
      <c r="E4" s="43"/>
      <c r="F4" s="43"/>
      <c r="G4" s="47">
        <v>0.75</v>
      </c>
      <c r="H4" s="48">
        <v>21</v>
      </c>
      <c r="I4" s="47">
        <v>0.75</v>
      </c>
      <c r="J4" s="40">
        <v>21.1</v>
      </c>
      <c r="K4" s="47">
        <v>0.75</v>
      </c>
      <c r="L4" s="48">
        <v>21</v>
      </c>
      <c r="M4" s="42"/>
      <c r="N4" s="49"/>
      <c r="O4" s="50"/>
      <c r="P4" s="43"/>
      <c r="Q4" s="84"/>
      <c r="R4" s="84"/>
      <c r="S4" s="84"/>
      <c r="T4" s="84"/>
      <c r="U4" s="84"/>
      <c r="V4" s="84"/>
    </row>
    <row r="5" spans="1:22" ht="20.100000000000001" customHeight="1">
      <c r="A5" s="43"/>
      <c r="B5" s="43"/>
      <c r="C5" s="84"/>
      <c r="D5" s="84"/>
      <c r="E5" s="43"/>
      <c r="F5" s="43"/>
      <c r="G5" s="47">
        <v>0.8</v>
      </c>
      <c r="H5" s="48">
        <v>15.6</v>
      </c>
      <c r="I5" s="47">
        <v>0.8</v>
      </c>
      <c r="J5" s="40">
        <v>16.3</v>
      </c>
      <c r="K5" s="47">
        <v>0.8</v>
      </c>
      <c r="L5" s="48">
        <v>16</v>
      </c>
      <c r="M5" s="42"/>
      <c r="N5" s="51" t="s">
        <v>3</v>
      </c>
      <c r="O5" s="52">
        <f>COS(RADIANS(Index!$E$4))</f>
        <v>0.64278760968653936</v>
      </c>
      <c r="P5" s="43"/>
      <c r="Q5" s="84"/>
      <c r="R5" s="84"/>
      <c r="S5" s="84"/>
      <c r="T5" s="84"/>
      <c r="U5" s="84"/>
      <c r="V5" s="84"/>
    </row>
    <row r="6" spans="1:22" ht="20.100000000000001" customHeight="1">
      <c r="A6" s="53"/>
      <c r="B6" s="43"/>
      <c r="C6" s="84"/>
      <c r="D6" s="84"/>
      <c r="E6" s="43"/>
      <c r="F6" s="43"/>
      <c r="G6" s="47">
        <v>0.82</v>
      </c>
      <c r="H6" s="54">
        <v>14.6</v>
      </c>
      <c r="I6" s="47">
        <v>0.82</v>
      </c>
      <c r="J6" s="41">
        <v>14.8</v>
      </c>
      <c r="K6" s="47">
        <v>0.82</v>
      </c>
      <c r="L6" s="54">
        <v>15</v>
      </c>
      <c r="M6" s="42"/>
      <c r="N6" s="43"/>
      <c r="O6" s="43"/>
      <c r="P6" s="43"/>
      <c r="Q6" s="84"/>
      <c r="R6" s="84"/>
      <c r="S6" s="84"/>
      <c r="T6" s="84"/>
      <c r="U6" s="84"/>
      <c r="V6" s="84"/>
    </row>
    <row r="7" spans="1:22" ht="20.100000000000001" customHeight="1">
      <c r="A7" s="43"/>
      <c r="B7" s="43"/>
      <c r="C7" s="84"/>
      <c r="D7" s="84"/>
      <c r="E7" s="43"/>
      <c r="F7" s="43"/>
      <c r="G7" s="47">
        <v>0.85</v>
      </c>
      <c r="H7" s="48">
        <v>13</v>
      </c>
      <c r="I7" s="47">
        <v>0.85</v>
      </c>
      <c r="J7" s="40">
        <v>12.15</v>
      </c>
      <c r="K7" s="47">
        <v>0.85</v>
      </c>
      <c r="L7" s="48">
        <v>12</v>
      </c>
      <c r="M7" s="42"/>
      <c r="N7" s="43"/>
      <c r="O7" s="43"/>
      <c r="P7" s="43"/>
      <c r="Q7" s="84"/>
      <c r="R7" s="84"/>
      <c r="S7" s="84"/>
      <c r="T7" s="84"/>
      <c r="U7" s="84"/>
      <c r="V7" s="84"/>
    </row>
    <row r="8" spans="1:22" ht="20.100000000000001" customHeight="1">
      <c r="A8" s="43"/>
      <c r="B8" s="43"/>
      <c r="C8" s="84"/>
      <c r="D8" s="84"/>
      <c r="E8" s="43"/>
      <c r="F8" s="43"/>
      <c r="G8" s="47">
        <v>0.9</v>
      </c>
      <c r="H8" s="48">
        <v>8</v>
      </c>
      <c r="I8" s="47">
        <v>0.9</v>
      </c>
      <c r="J8" s="40">
        <v>7.7</v>
      </c>
      <c r="K8" s="47">
        <v>0.9</v>
      </c>
      <c r="L8" s="48">
        <v>8</v>
      </c>
      <c r="M8" s="42"/>
      <c r="N8" s="43"/>
      <c r="O8" s="43"/>
      <c r="P8" s="43"/>
      <c r="Q8" s="84"/>
      <c r="R8" s="84"/>
      <c r="S8" s="84"/>
      <c r="T8" s="84"/>
      <c r="U8" s="84"/>
      <c r="V8" s="84"/>
    </row>
    <row r="9" spans="1:22" ht="20.100000000000001" customHeight="1">
      <c r="A9" s="43"/>
      <c r="B9" s="43"/>
      <c r="C9" s="84"/>
      <c r="D9" s="84"/>
      <c r="E9" s="43"/>
      <c r="F9" s="43"/>
      <c r="G9" s="47">
        <v>0.92</v>
      </c>
      <c r="H9" s="48">
        <v>6.25</v>
      </c>
      <c r="I9" s="47">
        <v>0.92</v>
      </c>
      <c r="J9" s="40">
        <v>6.2</v>
      </c>
      <c r="K9" s="47">
        <v>0.92</v>
      </c>
      <c r="L9" s="48">
        <v>8.5</v>
      </c>
      <c r="M9" s="42"/>
      <c r="N9" s="42"/>
      <c r="O9" s="42"/>
      <c r="P9" s="43"/>
      <c r="Q9" s="84"/>
      <c r="R9" s="84"/>
      <c r="S9" s="84"/>
      <c r="T9" s="84"/>
      <c r="U9" s="84"/>
      <c r="V9" s="84"/>
    </row>
    <row r="10" spans="1:22" ht="20.100000000000001" customHeight="1">
      <c r="A10" s="43"/>
      <c r="B10" s="43"/>
      <c r="C10" s="84"/>
      <c r="D10" s="84"/>
      <c r="E10" s="43"/>
      <c r="F10" s="43"/>
      <c r="G10" s="47">
        <v>0.95</v>
      </c>
      <c r="H10" s="48">
        <v>4</v>
      </c>
      <c r="I10" s="47">
        <v>0.95</v>
      </c>
      <c r="J10" s="40">
        <v>3.92</v>
      </c>
      <c r="K10" s="47">
        <v>0.95</v>
      </c>
      <c r="L10" s="48">
        <v>4</v>
      </c>
      <c r="M10" s="42"/>
      <c r="N10" s="42"/>
      <c r="O10" s="42"/>
      <c r="P10" s="43"/>
      <c r="Q10" s="84"/>
      <c r="R10" s="84"/>
      <c r="S10" s="84"/>
      <c r="T10" s="84"/>
      <c r="U10" s="84"/>
      <c r="V10" s="84"/>
    </row>
    <row r="11" spans="1:22" ht="20.100000000000001" customHeight="1">
      <c r="A11" s="43"/>
      <c r="B11" s="43"/>
      <c r="C11" s="84"/>
      <c r="D11" s="84"/>
      <c r="E11" s="43"/>
      <c r="F11" s="43"/>
      <c r="G11" s="47">
        <v>0.97</v>
      </c>
      <c r="H11" s="48">
        <v>2.35</v>
      </c>
      <c r="I11" s="47">
        <v>0.97</v>
      </c>
      <c r="J11" s="40">
        <v>2.2000000000000002</v>
      </c>
      <c r="K11" s="47">
        <v>0.97</v>
      </c>
      <c r="L11" s="48">
        <v>4.5</v>
      </c>
      <c r="M11" s="42"/>
      <c r="N11" s="42"/>
      <c r="O11" s="42"/>
      <c r="P11" s="43"/>
      <c r="Q11" s="84"/>
      <c r="R11" s="84"/>
      <c r="S11" s="84"/>
      <c r="T11" s="84"/>
      <c r="U11" s="84"/>
      <c r="V11" s="84"/>
    </row>
    <row r="12" spans="1:22" ht="20.100000000000001" customHeight="1">
      <c r="A12" s="43"/>
      <c r="B12" s="43"/>
      <c r="C12" s="84"/>
      <c r="D12" s="84"/>
      <c r="E12" s="43"/>
      <c r="F12" s="43"/>
      <c r="G12" s="47">
        <v>0.98</v>
      </c>
      <c r="H12" s="48">
        <v>2</v>
      </c>
      <c r="I12" s="47">
        <v>0.98</v>
      </c>
      <c r="J12" s="40">
        <v>1.6</v>
      </c>
      <c r="K12" s="47">
        <v>0.98</v>
      </c>
      <c r="L12" s="48">
        <v>3.75</v>
      </c>
      <c r="M12" s="42"/>
      <c r="N12" s="42"/>
      <c r="O12" s="42"/>
      <c r="P12" s="43"/>
      <c r="Q12" s="84"/>
      <c r="R12" s="84"/>
      <c r="S12" s="84"/>
      <c r="T12" s="84"/>
      <c r="U12" s="84"/>
      <c r="V12" s="84"/>
    </row>
    <row r="13" spans="1:22" ht="20.100000000000001" customHeight="1">
      <c r="A13" s="43"/>
      <c r="B13" s="43"/>
      <c r="C13" s="84"/>
      <c r="D13" s="84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84"/>
      <c r="R13" s="84"/>
      <c r="S13" s="84"/>
      <c r="T13" s="84"/>
      <c r="U13" s="84"/>
      <c r="V13" s="84"/>
    </row>
    <row r="14" spans="1:22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LOOKUP(Index!H4,I3:I13:J3:J13)+Index!$B$4-(ABS(Link!C7/0.2/20))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</row>
    <row r="15" spans="1:22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2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26" t="s">
        <v>6</v>
      </c>
      <c r="C18" s="628"/>
      <c r="D18" s="628"/>
      <c r="E18" s="627"/>
      <c r="F18" s="43"/>
      <c r="G18" s="626" t="s">
        <v>6</v>
      </c>
      <c r="H18" s="628"/>
      <c r="I18" s="627"/>
      <c r="J18" s="43"/>
      <c r="K18" s="48" t="s">
        <v>7</v>
      </c>
      <c r="L18" s="53"/>
      <c r="M18" s="42"/>
      <c r="N18" s="48" t="s">
        <v>8</v>
      </c>
      <c r="O18" s="54">
        <f>O19/0.2165</f>
        <v>2.5070830627150658</v>
      </c>
      <c r="P18" s="43"/>
      <c r="Q18" s="48">
        <v>1</v>
      </c>
      <c r="R18" s="55">
        <v>0.67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16.775803248486127</v>
      </c>
      <c r="I19" s="54">
        <f>I20/0.2165</f>
        <v>17.095635069423313</v>
      </c>
      <c r="J19" s="43"/>
      <c r="K19" s="57" t="s">
        <v>11</v>
      </c>
      <c r="L19" s="58">
        <f>O19*$O$3*Index!$D$4</f>
        <v>2.078981355142608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0.54278348307781177</v>
      </c>
      <c r="P19" s="43"/>
      <c r="Q19" s="48">
        <v>5</v>
      </c>
      <c r="R19" s="55">
        <f>R18+0.01</f>
        <v>0.68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71">
        <v>296.8</v>
      </c>
      <c r="D20" s="60">
        <v>215</v>
      </c>
      <c r="E20" s="48">
        <f>D20/45*0.2165</f>
        <v>1.0343888888888888</v>
      </c>
      <c r="F20" s="43"/>
      <c r="G20" s="48" t="s">
        <v>7</v>
      </c>
      <c r="H20" s="48">
        <f>L21+O24+N30</f>
        <v>3.6319614032972467</v>
      </c>
      <c r="I20" s="48">
        <f>L22+O24+O30</f>
        <v>3.7012049925301476</v>
      </c>
      <c r="J20" s="43"/>
      <c r="K20" s="61" t="s">
        <v>13</v>
      </c>
      <c r="L20" s="62">
        <f>IF(L23&gt;0,L19*O22,L19*O23)</f>
        <v>2.0385027266496727</v>
      </c>
      <c r="M20" s="53"/>
      <c r="N20" s="48" t="s">
        <v>14</v>
      </c>
      <c r="O20" s="48">
        <f>H27*POWER(H26,(C20-O25))</f>
        <v>1.3241076039207484</v>
      </c>
      <c r="P20" s="43"/>
      <c r="Q20" s="48">
        <v>10</v>
      </c>
      <c r="R20" s="55">
        <f>R19+0.01</f>
        <v>0.69000000000000006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71">
        <v>263.7</v>
      </c>
      <c r="D21" s="60">
        <v>152</v>
      </c>
      <c r="E21" s="48">
        <f>D21/45*0.2165</f>
        <v>0.73128888888888888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82.292698912135521</v>
      </c>
      <c r="I21" s="48">
        <f>100*(L32-C21)*(L32-C22)/((C20-C21)*(C20-C22))+90*(L32-C20)*(L32-C22)/((C21-C20)*(C21-C22))+80*(L32-C20)*(L32-C21)/((C22-C20)*(C22-C21))</f>
        <v>83.394086652743781</v>
      </c>
      <c r="J21" s="43"/>
      <c r="K21" s="61" t="s">
        <v>15</v>
      </c>
      <c r="L21" s="62">
        <f>L20*L29</f>
        <v>2.0172450967286437</v>
      </c>
      <c r="M21" s="53"/>
      <c r="N21" s="48" t="s">
        <v>16</v>
      </c>
      <c r="O21" s="48">
        <f>I27*POWER(I26,(C20-O25))</f>
        <v>1.3710713876571368</v>
      </c>
      <c r="P21" s="43"/>
      <c r="Q21" s="48">
        <v>15</v>
      </c>
      <c r="R21" s="55">
        <f>R20+0.01</f>
        <v>0.70000000000000007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71">
        <v>231.6</v>
      </c>
      <c r="D22" s="60">
        <v>109</v>
      </c>
      <c r="E22" s="48">
        <f>D22/45*0.2165</f>
        <v>0.52441111111111105</v>
      </c>
      <c r="F22" s="43"/>
      <c r="G22" s="48" t="s">
        <v>17</v>
      </c>
      <c r="H22" s="48">
        <f>INDEX('R276'!F291:F363,(ROUNDUP(((H21-80)/(20/72))+1,0)),1)</f>
        <v>240.89999999999927</v>
      </c>
      <c r="I22" s="48">
        <f>INDEX('R276'!F291:F363,(ROUNDUP(((I21-80)/(20/72))+1,0)),1)</f>
        <v>244.14444444444368</v>
      </c>
      <c r="J22" s="43"/>
      <c r="K22" s="61" t="s">
        <v>18</v>
      </c>
      <c r="L22" s="62">
        <f>L20/L30</f>
        <v>2.0648776710340386</v>
      </c>
      <c r="M22" s="53"/>
      <c r="N22" s="48" t="s">
        <v>19</v>
      </c>
      <c r="O22" s="48">
        <f>IF((O25&gt;0),((100+(L23/-H25))/100))</f>
        <v>0.98052958561037273</v>
      </c>
      <c r="P22" s="43"/>
      <c r="Q22" s="48">
        <v>20</v>
      </c>
      <c r="R22" s="55">
        <f>R21+0.01</f>
        <v>0.71000000000000008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4.1939508121215319</v>
      </c>
      <c r="I23" s="54">
        <f>I19/4</f>
        <v>4.2739087673558283</v>
      </c>
      <c r="J23" s="43"/>
      <c r="K23" s="63" t="s">
        <v>21</v>
      </c>
      <c r="L23" s="64">
        <f>IF(Index!$C$4&gt;0,Index!$C$4*O20,Index!$C$4*O21)</f>
        <v>5.2964304156829938</v>
      </c>
      <c r="M23" s="53"/>
      <c r="N23" s="48" t="s">
        <v>22</v>
      </c>
      <c r="O23" s="48">
        <f>IF((O25&gt;0),((100+(L23/-I25))/100))</f>
        <v>0.97827940216442333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0.67777944862155404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276'!C25</f>
        <v>2.7202453474768591</v>
      </c>
      <c r="I25" s="48">
        <f>'inf 276'!D25</f>
        <v>2.4384367574854791</v>
      </c>
      <c r="J25" s="43"/>
      <c r="K25" s="48" t="s">
        <v>25</v>
      </c>
      <c r="L25" s="53"/>
      <c r="M25" s="53"/>
      <c r="N25" s="48" t="s">
        <v>26</v>
      </c>
      <c r="O25" s="48">
        <f>'276'!H14</f>
        <v>235.09625</v>
      </c>
      <c r="P25" s="43"/>
      <c r="Q25" s="48">
        <v>-1</v>
      </c>
      <c r="R25" s="55">
        <v>0.63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1.0109121282207316</v>
      </c>
      <c r="I26" s="48">
        <f>(1+(I28*S32))</f>
        <v>1.0124982623169485</v>
      </c>
      <c r="J26" s="43"/>
      <c r="K26" s="57" t="s">
        <v>28</v>
      </c>
      <c r="L26" s="58">
        <f>O19*Index!$D$4*$O$2</f>
        <v>1.7444724883246039</v>
      </c>
      <c r="M26" s="53"/>
      <c r="N26" s="43"/>
      <c r="O26" s="43"/>
      <c r="P26" s="43"/>
      <c r="Q26" s="48">
        <v>-10</v>
      </c>
      <c r="R26" s="55">
        <f t="shared" ref="R26:R31" si="0">R25-0.01</f>
        <v>0.62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0.67777944862155404</v>
      </c>
      <c r="I27" s="48">
        <f>R32</f>
        <v>0.63710697527886451</v>
      </c>
      <c r="J27" s="43"/>
      <c r="K27" s="61" t="s">
        <v>30</v>
      </c>
      <c r="L27" s="62">
        <f>O5*Index!D4*O19*0.95*(1-(L23*0.016))</f>
        <v>1.5168088112818074</v>
      </c>
      <c r="M27" s="42"/>
      <c r="N27" s="54" t="s">
        <v>31</v>
      </c>
      <c r="O27" s="48">
        <f>O25+L23</f>
        <v>240.392680415683</v>
      </c>
      <c r="P27" s="43"/>
      <c r="Q27" s="48">
        <v>-20</v>
      </c>
      <c r="R27" s="55">
        <f t="shared" si="0"/>
        <v>0.61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0.83732407488280025</v>
      </c>
      <c r="I28" s="54">
        <f>1*(O25-C21)*(O25-C22)/((C20-C21)*(C20-C22))+0.903*(O25-C20)*(O25-C22)/((C21-C20)*(C21-C22))+0.76*(O25-C20)*(O25-C21)/((C22-C20)*(C22-C21))</f>
        <v>0.77791323826911629</v>
      </c>
      <c r="J28" s="43"/>
      <c r="K28" s="61" t="s">
        <v>32</v>
      </c>
      <c r="L28" s="62">
        <f>O5*Index!D4*O19*1.25*(1-(L23*0.016))</f>
        <v>1.9958010674760627</v>
      </c>
      <c r="M28" s="42"/>
      <c r="N28" s="43"/>
      <c r="O28" s="43"/>
      <c r="P28" s="43"/>
      <c r="Q28" s="48">
        <v>-30</v>
      </c>
      <c r="R28" s="55">
        <f t="shared" si="0"/>
        <v>0.6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0.9895719394224376</v>
      </c>
      <c r="M29" s="42"/>
      <c r="N29" s="632" t="s">
        <v>121</v>
      </c>
      <c r="O29" s="632"/>
      <c r="P29" s="43"/>
      <c r="Q29" s="48">
        <v>-40</v>
      </c>
      <c r="R29" s="55">
        <f t="shared" si="0"/>
        <v>0.59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INDEX('R276'!G291:G363,(ROUNDUP(((Index!O29-80)/(20/72))+1,0)),1)</f>
        <v>#VALUE!</v>
      </c>
      <c r="I30" s="48">
        <f>INDEX('R276'!G291:G363,(ROUNDUP(((Index!P29-80)/(20/72))+1,0)),1)</f>
        <v>241.599999999999</v>
      </c>
      <c r="J30" s="43"/>
      <c r="K30" s="61" t="s">
        <v>35</v>
      </c>
      <c r="L30" s="62">
        <f>(100+(L28*4/-6.25))/100</f>
        <v>0.98722687316815327</v>
      </c>
      <c r="M30" s="42"/>
      <c r="N30" s="66">
        <f>H21/100*(O18*0.2165)*Link!$C$7</f>
        <v>1.6147163065686028</v>
      </c>
      <c r="O30" s="72">
        <f>I21/100*(O18*0.2165)*Link!$C$7</f>
        <v>1.6363273214961087</v>
      </c>
      <c r="P30" s="42"/>
      <c r="Q30" s="48">
        <v>-50</v>
      </c>
      <c r="R30" s="55">
        <f t="shared" si="0"/>
        <v>0.57999999999999996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238.8758716044012</v>
      </c>
      <c r="M31" s="43"/>
      <c r="N31" s="43"/>
      <c r="O31" s="43"/>
      <c r="P31" s="43"/>
      <c r="Q31" s="48">
        <v>-60</v>
      </c>
      <c r="R31" s="55">
        <f t="shared" si="0"/>
        <v>0.56999999999999995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242.38848148315907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0.63710697527886451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9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9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9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9" ht="20.100000000000001" customHeight="1">
      <c r="A36" s="43"/>
      <c r="B36" s="629" t="s">
        <v>38</v>
      </c>
      <c r="C36" s="630"/>
      <c r="D36" s="630"/>
      <c r="E36" s="631"/>
      <c r="F36" s="43"/>
      <c r="G36" s="629" t="s">
        <v>38</v>
      </c>
      <c r="H36" s="630"/>
      <c r="I36" s="631"/>
      <c r="J36" s="53"/>
      <c r="K36" s="48" t="s">
        <v>7</v>
      </c>
      <c r="L36" s="53"/>
      <c r="M36" s="43"/>
      <c r="N36" s="48" t="s">
        <v>8</v>
      </c>
      <c r="O36" s="48">
        <f>O37/0.2165</f>
        <v>4.1812947714251454</v>
      </c>
      <c r="P36" s="42"/>
      <c r="Q36" s="48">
        <v>1</v>
      </c>
      <c r="R36" s="55">
        <v>0.72</v>
      </c>
      <c r="S36" s="56">
        <v>1.2699999999999999E-2</v>
      </c>
      <c r="T36" s="43"/>
      <c r="U36" s="84"/>
      <c r="V36" s="84"/>
      <c r="W36" s="84"/>
      <c r="X36" s="84"/>
      <c r="Y36" s="84"/>
      <c r="Z36" s="84"/>
      <c r="AA36" s="84"/>
      <c r="AB36" s="84"/>
      <c r="AC36" s="84"/>
    </row>
    <row r="37" spans="1:29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30.180259577961198</v>
      </c>
      <c r="I37" s="54">
        <f>I38/0.2165</f>
        <v>31.107241144940573</v>
      </c>
      <c r="J37" s="53"/>
      <c r="K37" s="57" t="s">
        <v>11</v>
      </c>
      <c r="L37" s="58">
        <f>O37*$O$3*Index!$D$4</f>
        <v>3.4673098787298158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0.90525031801354405</v>
      </c>
      <c r="P37" s="43"/>
      <c r="Q37" s="48">
        <v>5</v>
      </c>
      <c r="R37" s="55">
        <f>R36+0.01</f>
        <v>0.73</v>
      </c>
      <c r="S37" s="56">
        <v>1.3100000000000001E-2</v>
      </c>
      <c r="T37" s="43"/>
      <c r="U37" s="84"/>
      <c r="V37" s="84"/>
      <c r="W37" s="84"/>
      <c r="X37" s="84"/>
      <c r="Y37" s="84"/>
      <c r="Z37" s="84"/>
      <c r="AA37" s="84"/>
      <c r="AB37" s="84"/>
      <c r="AC37" s="84"/>
    </row>
    <row r="38" spans="1:29" ht="20.100000000000001" customHeight="1">
      <c r="A38" s="43"/>
      <c r="B38" s="54">
        <v>100</v>
      </c>
      <c r="C38" s="60">
        <v>246.65</v>
      </c>
      <c r="D38" s="60">
        <v>216</v>
      </c>
      <c r="E38" s="54">
        <f>D38/45*0.2165</f>
        <v>1.0391999999999999</v>
      </c>
      <c r="F38" s="43"/>
      <c r="G38" s="48" t="s">
        <v>7</v>
      </c>
      <c r="H38" s="48">
        <f>L39+O42+B55</f>
        <v>6.5340261986285997</v>
      </c>
      <c r="I38" s="48">
        <f>L40+O42+C55</f>
        <v>6.7347177078796339</v>
      </c>
      <c r="J38" s="53"/>
      <c r="K38" s="61" t="s">
        <v>13</v>
      </c>
      <c r="L38" s="62">
        <f>IF(L41&gt;0,L37*O40,L37*O41)</f>
        <v>3.431600883816158</v>
      </c>
      <c r="M38" s="43"/>
      <c r="N38" s="48" t="s">
        <v>14</v>
      </c>
      <c r="O38" s="48">
        <f>H46*POWER((1+(H45)),C38-O43)</f>
        <v>0.84515527846180627</v>
      </c>
      <c r="P38" s="43"/>
      <c r="Q38" s="48">
        <v>10</v>
      </c>
      <c r="R38" s="55">
        <f>R37+0.01</f>
        <v>0.74</v>
      </c>
      <c r="S38" s="56">
        <v>1.3299999999999999E-2</v>
      </c>
      <c r="T38" s="43"/>
      <c r="U38" s="84"/>
      <c r="V38" s="84"/>
      <c r="W38" s="84"/>
      <c r="X38" s="84"/>
      <c r="Y38" s="84"/>
      <c r="Z38" s="84"/>
      <c r="AA38" s="84"/>
      <c r="AB38" s="84"/>
      <c r="AC38" s="84"/>
    </row>
    <row r="39" spans="1:29" ht="20.100000000000001" customHeight="1">
      <c r="A39" s="43"/>
      <c r="B39" s="54">
        <f>B38-10</f>
        <v>90</v>
      </c>
      <c r="C39" s="60">
        <v>212.75</v>
      </c>
      <c r="D39" s="60">
        <v>145</v>
      </c>
      <c r="E39" s="54">
        <f t="shared" ref="E39:E48" si="1">D39/45*0.2165</f>
        <v>0.69761111111111107</v>
      </c>
      <c r="F39" s="43"/>
      <c r="G39" s="48" t="s">
        <v>5</v>
      </c>
      <c r="H39" s="48">
        <f>IF(O43&gt;(C45-0.0001),H47,H48)</f>
        <v>96.787526197729491</v>
      </c>
      <c r="I39" s="48">
        <f>IF(O43&gt;(C45-0.0001),I47,I48)</f>
        <v>98.59484173801691</v>
      </c>
      <c r="J39" s="53"/>
      <c r="K39" s="61" t="s">
        <v>15</v>
      </c>
      <c r="L39" s="62">
        <f>L38*L47</f>
        <v>3.3666738584694658</v>
      </c>
      <c r="M39" s="43"/>
      <c r="N39" s="48" t="s">
        <v>16</v>
      </c>
      <c r="O39" s="48">
        <f>I46*POWER((1+(I45)),C38-O43)</f>
        <v>0.75250000000000183</v>
      </c>
      <c r="P39" s="43"/>
      <c r="Q39" s="48">
        <v>15</v>
      </c>
      <c r="R39" s="55">
        <f>R38+0.01</f>
        <v>0.75</v>
      </c>
      <c r="S39" s="56">
        <v>1.35E-2</v>
      </c>
      <c r="T39" s="43"/>
      <c r="U39" s="84"/>
      <c r="V39" s="84"/>
      <c r="W39" s="84"/>
      <c r="X39" s="84"/>
      <c r="Y39" s="84"/>
      <c r="Z39" s="84"/>
      <c r="AA39" s="84"/>
      <c r="AB39" s="84"/>
      <c r="AC39" s="84"/>
    </row>
    <row r="40" spans="1:29" ht="20.100000000000001" customHeight="1">
      <c r="A40" s="43"/>
      <c r="B40" s="54">
        <f t="shared" ref="B40:B47" si="2">B39-10</f>
        <v>80</v>
      </c>
      <c r="C40" s="60">
        <v>180.6</v>
      </c>
      <c r="D40" s="60">
        <v>98</v>
      </c>
      <c r="E40" s="54">
        <f t="shared" si="1"/>
        <v>0.47148888888888885</v>
      </c>
      <c r="F40" s="43"/>
      <c r="G40" s="48" t="s">
        <v>17</v>
      </c>
      <c r="H40" s="48">
        <f>IF(N53=0,INDEX('R276'!E39:E363,(ROUNDDOWN(((H39-10)/(20/72)+1),0)),1),INDEX('R276'!E39:E363,(ROUNDUP(((H39-10)/(20/72))+1,0)),1))</f>
        <v>267.56666666666683</v>
      </c>
      <c r="I40" s="48">
        <f>IF(O53=0,INDEX('R276'!E39:E363,(ROUNDDOWN(((I39-10)/(20/72)+1),0)),1),INDEX('R276'!E39:E363,(ROUNDUP(((I39-10)/(20/72))+1,0)),1))</f>
        <v>272.16666666666674</v>
      </c>
      <c r="J40" s="53"/>
      <c r="K40" s="61" t="s">
        <v>18</v>
      </c>
      <c r="L40" s="62">
        <f>L38/L48</f>
        <v>3.5082213299419038</v>
      </c>
      <c r="M40" s="43"/>
      <c r="N40" s="48" t="s">
        <v>19</v>
      </c>
      <c r="O40" s="48">
        <f>IF((O43&gt;0),((100+(L41/-H44))/100))</f>
        <v>0.98970123924235498</v>
      </c>
      <c r="P40" s="42"/>
      <c r="Q40" s="48">
        <v>20</v>
      </c>
      <c r="R40" s="55">
        <f>R39+0.01</f>
        <v>0.76</v>
      </c>
      <c r="S40" s="56">
        <v>1.38E-2</v>
      </c>
      <c r="T40" s="43"/>
      <c r="U40" s="84"/>
      <c r="V40" s="84"/>
      <c r="W40" s="84"/>
      <c r="X40" s="84"/>
      <c r="Y40" s="84"/>
      <c r="Z40" s="84"/>
      <c r="AA40" s="84"/>
      <c r="AB40" s="84"/>
      <c r="AC40" s="84"/>
    </row>
    <row r="41" spans="1:29" ht="20.100000000000001" customHeight="1">
      <c r="A41" s="43"/>
      <c r="B41" s="54">
        <f t="shared" si="2"/>
        <v>70</v>
      </c>
      <c r="C41" s="60">
        <v>151.19999999999999</v>
      </c>
      <c r="D41" s="60">
        <v>67</v>
      </c>
      <c r="E41" s="54">
        <f t="shared" si="1"/>
        <v>0.32234444444444443</v>
      </c>
      <c r="F41" s="43"/>
      <c r="G41" s="48" t="s">
        <v>39</v>
      </c>
      <c r="H41" s="48">
        <f>N54</f>
        <v>10</v>
      </c>
      <c r="I41" s="48">
        <f>O54</f>
        <v>11</v>
      </c>
      <c r="J41" s="53"/>
      <c r="K41" s="63" t="s">
        <v>21</v>
      </c>
      <c r="L41" s="64">
        <f>IF(Index!$C$4&gt;0,Index!$C$4*O38,Index!$C$4*O39)</f>
        <v>3.3806211138472251</v>
      </c>
      <c r="M41" s="43"/>
      <c r="N41" s="48" t="s">
        <v>22</v>
      </c>
      <c r="O41" s="48">
        <f>IF((O43&gt;0),((100+(L41/-I44))/100))</f>
        <v>0.99081271446656871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0.72777944862155397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  <c r="U41" s="84"/>
      <c r="V41" s="84"/>
      <c r="W41" s="84"/>
      <c r="X41" s="84"/>
      <c r="Y41" s="84"/>
      <c r="Z41" s="84"/>
      <c r="AA41" s="84"/>
      <c r="AB41" s="84"/>
      <c r="AC41" s="84"/>
    </row>
    <row r="42" spans="1:29" ht="20.100000000000001" customHeight="1">
      <c r="A42" s="43"/>
      <c r="B42" s="54">
        <f t="shared" si="2"/>
        <v>60</v>
      </c>
      <c r="C42" s="60">
        <v>125.1</v>
      </c>
      <c r="D42" s="60">
        <v>47</v>
      </c>
      <c r="E42" s="54">
        <f t="shared" si="1"/>
        <v>0.22612222222222222</v>
      </c>
      <c r="F42" s="43"/>
      <c r="G42" s="54" t="s">
        <v>20</v>
      </c>
      <c r="H42" s="54">
        <f>H37/4</f>
        <v>7.5450648944902996</v>
      </c>
      <c r="I42" s="54">
        <f>I37/4</f>
        <v>7.7768102862351434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  <c r="U42" s="84"/>
      <c r="V42" s="84"/>
      <c r="W42" s="84"/>
      <c r="X42" s="84"/>
      <c r="Y42" s="84"/>
      <c r="Z42" s="84"/>
      <c r="AA42" s="84"/>
      <c r="AB42" s="84"/>
      <c r="AC42" s="84"/>
    </row>
    <row r="43" spans="1:29" ht="20.100000000000001" customHeight="1">
      <c r="A43" s="43"/>
      <c r="B43" s="54">
        <f t="shared" si="2"/>
        <v>50</v>
      </c>
      <c r="C43" s="60">
        <v>102.1</v>
      </c>
      <c r="D43" s="60">
        <v>33</v>
      </c>
      <c r="E43" s="54">
        <f t="shared" si="1"/>
        <v>0.15876666666666667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0.73</v>
      </c>
      <c r="S43" s="56">
        <v>1.2699999999999999E-2</v>
      </c>
      <c r="T43" s="43"/>
      <c r="U43" s="84"/>
      <c r="V43" s="84"/>
      <c r="W43" s="84"/>
      <c r="X43" s="84"/>
      <c r="Y43" s="84"/>
      <c r="Z43" s="84"/>
      <c r="AA43" s="84"/>
      <c r="AB43" s="84"/>
      <c r="AC43" s="84"/>
    </row>
    <row r="44" spans="1:29" ht="20.100000000000001" customHeight="1">
      <c r="A44" s="43"/>
      <c r="B44" s="54">
        <f t="shared" si="2"/>
        <v>40</v>
      </c>
      <c r="C44" s="60">
        <v>81.400000000000006</v>
      </c>
      <c r="D44" s="60">
        <v>24</v>
      </c>
      <c r="E44" s="54">
        <f t="shared" si="1"/>
        <v>0.11546666666666666</v>
      </c>
      <c r="F44" s="43"/>
      <c r="G44" s="48" t="s">
        <v>24</v>
      </c>
      <c r="H44" s="48">
        <f>IF('276'!O43&gt;('276'!C45-0.0001),'inf 276'!C11,'inf 276'!C19)</f>
        <v>3.2825513606942289</v>
      </c>
      <c r="I44" s="48">
        <f>IF('276'!O43&gt;('276'!C45-0.0001),'inf 276'!D11,'inf 276'!D19)</f>
        <v>3.6796735026310099</v>
      </c>
      <c r="J44" s="43"/>
      <c r="K44" s="57" t="s">
        <v>28</v>
      </c>
      <c r="L44" s="58">
        <f>O37*Index!$D$4*$O$2</f>
        <v>2.909418440419528</v>
      </c>
      <c r="M44" s="53"/>
      <c r="N44" s="43"/>
      <c r="O44" s="43"/>
      <c r="P44" s="42"/>
      <c r="Q44" s="54">
        <v>-5</v>
      </c>
      <c r="R44" s="69">
        <f>R43-0.01</f>
        <v>0.72</v>
      </c>
      <c r="S44" s="56">
        <v>1.26E-2</v>
      </c>
      <c r="T44" s="43"/>
      <c r="U44" s="84"/>
      <c r="V44" s="84"/>
      <c r="W44" s="84"/>
      <c r="X44" s="84"/>
      <c r="Y44" s="84"/>
      <c r="Z44" s="84"/>
      <c r="AA44" s="84"/>
      <c r="AB44" s="84"/>
      <c r="AC44" s="84"/>
    </row>
    <row r="45" spans="1:29" ht="20.100000000000001" customHeight="1">
      <c r="A45" s="43"/>
      <c r="B45" s="54">
        <f t="shared" si="2"/>
        <v>30</v>
      </c>
      <c r="C45" s="60">
        <v>62.1</v>
      </c>
      <c r="D45" s="60">
        <v>16</v>
      </c>
      <c r="E45" s="54">
        <f t="shared" si="1"/>
        <v>7.6977777777777784E-2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1.3025557091585064E-2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$O$5*Index!$D$4*O37*1*(1-(L41*0.016))</f>
        <v>2.7520481778803485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0.89695662461368464</v>
      </c>
      <c r="P45" s="43"/>
      <c r="Q45" s="54">
        <v>-10</v>
      </c>
      <c r="R45" s="69">
        <f>R44-0.01</f>
        <v>0.71</v>
      </c>
      <c r="S45" s="56">
        <v>1.2500000000000001E-2</v>
      </c>
      <c r="T45" s="43"/>
      <c r="U45" s="84"/>
      <c r="V45" s="84"/>
      <c r="W45" s="84"/>
      <c r="X45" s="84"/>
      <c r="Y45" s="84"/>
      <c r="Z45" s="84"/>
      <c r="AA45" s="84"/>
      <c r="AB45" s="84"/>
      <c r="AC45" s="84"/>
    </row>
    <row r="46" spans="1:29" ht="20.100000000000001" customHeight="1">
      <c r="A46" s="43"/>
      <c r="B46" s="54">
        <f t="shared" si="2"/>
        <v>20</v>
      </c>
      <c r="C46" s="60">
        <v>43.2</v>
      </c>
      <c r="D46" s="60">
        <v>11</v>
      </c>
      <c r="E46" s="54">
        <f t="shared" si="1"/>
        <v>5.2922222222222218E-2</v>
      </c>
      <c r="F46" s="43"/>
      <c r="G46" s="48" t="s">
        <v>29</v>
      </c>
      <c r="H46" s="48">
        <f>R41</f>
        <v>0.72777944862155397</v>
      </c>
      <c r="I46" s="48">
        <f>IF(Index!C4&gt;(-25+0.0001),'276'!R49,'276'!R57)</f>
        <v>0.75250000000000183</v>
      </c>
      <c r="J46" s="43"/>
      <c r="K46" s="61" t="s">
        <v>32</v>
      </c>
      <c r="L46" s="62">
        <f>O5*Index!D4*O37*1.24*(1-(L41*0.016))</f>
        <v>3.4125397405716322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0.90525031801354405</v>
      </c>
      <c r="P46" s="43"/>
      <c r="Q46" s="54">
        <v>-15</v>
      </c>
      <c r="R46" s="69">
        <f>R45-0.01</f>
        <v>0.7</v>
      </c>
      <c r="S46" s="56">
        <v>1.24E-2</v>
      </c>
      <c r="T46" s="43"/>
      <c r="U46" s="84"/>
      <c r="V46" s="84"/>
      <c r="W46" s="84"/>
      <c r="X46" s="84"/>
      <c r="Y46" s="84"/>
      <c r="Z46" s="84"/>
      <c r="AA46" s="84"/>
      <c r="AB46" s="84"/>
      <c r="AC46" s="84"/>
    </row>
    <row r="47" spans="1:29" ht="20.100000000000001" customHeight="1">
      <c r="A47" s="43"/>
      <c r="B47" s="54">
        <f t="shared" si="2"/>
        <v>10</v>
      </c>
      <c r="C47" s="60">
        <v>23.4</v>
      </c>
      <c r="D47" s="60">
        <v>5</v>
      </c>
      <c r="E47" s="54">
        <f t="shared" si="1"/>
        <v>2.4055555555555556E-2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96.787526197729491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98.59484173801691</v>
      </c>
      <c r="J47" s="43"/>
      <c r="K47" s="61" t="s">
        <v>33</v>
      </c>
      <c r="L47" s="62">
        <f>(100+(L45*2.75/-4))/100</f>
        <v>0.98107966877707253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0.88401727859125856</v>
      </c>
      <c r="P47" s="43"/>
      <c r="Q47" s="54">
        <v>-20</v>
      </c>
      <c r="R47" s="69">
        <f>R46-0.01</f>
        <v>0.69</v>
      </c>
      <c r="S47" s="56">
        <v>1.23E-2</v>
      </c>
      <c r="T47" s="43"/>
      <c r="U47" s="84"/>
      <c r="V47" s="84"/>
      <c r="W47" s="84"/>
      <c r="X47" s="84"/>
      <c r="Y47" s="84"/>
      <c r="Z47" s="84"/>
      <c r="AA47" s="84"/>
      <c r="AB47" s="84"/>
      <c r="AC47" s="84"/>
    </row>
    <row r="48" spans="1:29" ht="20.100000000000001" customHeight="1">
      <c r="A48" s="43"/>
      <c r="B48" s="54">
        <f>B47-10</f>
        <v>0</v>
      </c>
      <c r="C48" s="60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75.761003901954609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75.727929175818645</v>
      </c>
      <c r="J48" s="43"/>
      <c r="K48" s="61" t="s">
        <v>35</v>
      </c>
      <c r="L48" s="62">
        <f>(100+(L46*4/-6.25))/100</f>
        <v>0.97815974566034158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11.57040837756416</v>
      </c>
      <c r="P48" s="43"/>
      <c r="Q48" s="54">
        <v>-25</v>
      </c>
      <c r="R48" s="69">
        <f>R47-0.01</f>
        <v>0.67999999999999994</v>
      </c>
      <c r="S48" s="56">
        <v>1.2200000000000001E-2</v>
      </c>
      <c r="T48" s="43"/>
      <c r="U48" s="84"/>
      <c r="V48" s="84"/>
      <c r="W48" s="84"/>
      <c r="X48" s="84"/>
      <c r="Y48" s="84"/>
      <c r="Z48" s="84"/>
      <c r="AA48" s="84"/>
      <c r="AB48" s="84"/>
      <c r="AC48" s="84"/>
    </row>
    <row r="49" spans="1:20" ht="20.100000000000001" customHeight="1">
      <c r="A49" s="43"/>
      <c r="B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235.72482293596687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0.75250000000000183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60">
        <v>238.2</v>
      </c>
      <c r="D50" s="60">
        <v>195</v>
      </c>
      <c r="E50" s="54">
        <f>D50/45*0.2165</f>
        <v>0.93816666666666659</v>
      </c>
      <c r="F50" s="43"/>
      <c r="G50" s="48">
        <v>107.5</v>
      </c>
      <c r="H50" s="54">
        <v>272</v>
      </c>
      <c r="I50" s="54">
        <v>1.3253999999999999</v>
      </c>
      <c r="J50" s="43"/>
      <c r="K50" s="63" t="s">
        <v>37</v>
      </c>
      <c r="L50" s="52">
        <f>O43+L41+L46</f>
        <v>241.88941085441886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60">
        <v>229.8</v>
      </c>
      <c r="D51" s="60">
        <v>177</v>
      </c>
      <c r="E51" s="54">
        <f>D51/45*0.2165</f>
        <v>0.85156666666666658</v>
      </c>
      <c r="F51" s="43"/>
      <c r="G51" s="54">
        <v>105</v>
      </c>
      <c r="H51" s="54">
        <v>263.60000000000002</v>
      </c>
      <c r="I51" s="54">
        <v>1.2316</v>
      </c>
      <c r="J51" s="43"/>
      <c r="K51" s="43"/>
      <c r="L51" s="43"/>
      <c r="M51" s="43"/>
      <c r="N51" s="61">
        <f>MOD(H39,20/72)</f>
        <v>0.12085953106282021</v>
      </c>
      <c r="O51" s="62">
        <f>MOD(I39,20/72)</f>
        <v>0.26150840468357273</v>
      </c>
      <c r="P51" s="43"/>
      <c r="Q51" s="54">
        <v>-30</v>
      </c>
      <c r="R51" s="69">
        <f>R48-0.01</f>
        <v>0.66999999999999993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60">
        <v>221.3</v>
      </c>
      <c r="D52" s="60">
        <v>160</v>
      </c>
      <c r="E52" s="54">
        <f>D52/45*0.2165</f>
        <v>0.76977777777777778</v>
      </c>
      <c r="F52" s="43"/>
      <c r="G52" s="54">
        <v>102.5</v>
      </c>
      <c r="H52" s="54">
        <v>255.1</v>
      </c>
      <c r="I52" s="54">
        <v>1.1377999999999999</v>
      </c>
      <c r="J52" s="53"/>
      <c r="K52" s="54" t="s">
        <v>31</v>
      </c>
      <c r="L52" s="48">
        <f>O43+L41</f>
        <v>238.47687111384721</v>
      </c>
      <c r="M52" s="53"/>
      <c r="N52" s="61">
        <f>N51/(20/72)</f>
        <v>0.43509431182615277</v>
      </c>
      <c r="O52" s="62">
        <f>O51/(20/72)</f>
        <v>0.94143025686086179</v>
      </c>
      <c r="P52" s="53"/>
      <c r="Q52" s="54">
        <v>-35</v>
      </c>
      <c r="R52" s="69">
        <f>R51-0.01</f>
        <v>0.65999999999999992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1</v>
      </c>
      <c r="O53" s="62">
        <f>IF(O52&lt;0.288,ROUNDDOWN(O52,0),ROUNDUP(O52,0))</f>
        <v>1</v>
      </c>
      <c r="P53" s="53"/>
      <c r="Q53" s="54">
        <v>-40</v>
      </c>
      <c r="R53" s="69">
        <f>R52-0.01</f>
        <v>0.64999999999999991</v>
      </c>
      <c r="S53" s="56">
        <v>1.115E-2</v>
      </c>
      <c r="T53" s="43"/>
    </row>
    <row r="54" spans="1:20" ht="20.100000000000001" customHeight="1">
      <c r="A54" s="43"/>
      <c r="B54" s="632" t="s">
        <v>121</v>
      </c>
      <c r="C54" s="632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0.99949453680570399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1.053756972744734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1.0506034481997817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1.0115445769453566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1.0193571264708101</v>
      </c>
      <c r="M54" s="43"/>
      <c r="N54" s="61">
        <f>IF(N51&lt;0.08,11,N55)</f>
        <v>10</v>
      </c>
      <c r="O54" s="62">
        <f>IF(O51&lt;0.08,11,O55)</f>
        <v>11</v>
      </c>
      <c r="P54" s="42"/>
      <c r="Q54" s="54">
        <v>-45</v>
      </c>
      <c r="R54" s="69">
        <f>R53-0.01</f>
        <v>0.6399999999999999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3.1673523401591339</v>
      </c>
      <c r="C55" s="48">
        <f>I39/100*(O36*0.2165)*Link!$C$7</f>
        <v>3.2264963779377296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1.0695438761000224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1.0069140778301591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0.99791599488865423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1.0751185376361392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1.1720588493001236</v>
      </c>
      <c r="M55" s="43"/>
      <c r="N55" s="63">
        <f>IF(N51&gt;(20/72)-0.08,11,10)</f>
        <v>10</v>
      </c>
      <c r="O55" s="64">
        <f>IF(O51&gt;(20/72)-0.08,11,10)</f>
        <v>11</v>
      </c>
      <c r="P55" s="42"/>
      <c r="Q55" s="54">
        <v>-50</v>
      </c>
      <c r="R55" s="69">
        <f>R54-0.01</f>
        <v>0.62999999999999989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0.61999999999999988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IF(Index!C4&gt;(-25+0.0001),'276'!S49,'276'!S57)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0.73799999999937427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26" t="s">
        <v>64</v>
      </c>
      <c r="C61" s="628"/>
      <c r="D61" s="628"/>
      <c r="E61" s="627"/>
      <c r="F61" s="43"/>
      <c r="G61" s="626" t="s">
        <v>64</v>
      </c>
      <c r="H61" s="628"/>
      <c r="I61" s="627"/>
      <c r="J61" s="43"/>
      <c r="K61" s="48" t="s">
        <v>7</v>
      </c>
      <c r="L61" s="53"/>
      <c r="M61" s="42"/>
      <c r="N61" s="48" t="s">
        <v>8</v>
      </c>
      <c r="O61" s="54">
        <f>O62/0.2165</f>
        <v>3.1406521559066007</v>
      </c>
      <c r="P61" s="43"/>
      <c r="Q61" s="48">
        <v>1</v>
      </c>
      <c r="R61" s="55">
        <v>0.57999999999999996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20.400845844700299</v>
      </c>
      <c r="I62" s="54">
        <f>I63/0.2165</f>
        <v>20.914261883181329</v>
      </c>
      <c r="J62" s="43"/>
      <c r="K62" s="57" t="s">
        <v>11</v>
      </c>
      <c r="L62" s="58">
        <f>O62*$O$3*Index!$D$4</f>
        <v>2.6043641601755456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0.67995119175377905</v>
      </c>
      <c r="P62" s="43"/>
      <c r="Q62" s="48">
        <v>5</v>
      </c>
      <c r="R62" s="55">
        <f>R61+0.01</f>
        <v>0.59</v>
      </c>
      <c r="S62" s="56">
        <v>1.3599999999999999E-2</v>
      </c>
    </row>
    <row r="63" spans="1:20" ht="20.100000000000001" customHeight="1">
      <c r="B63" s="59">
        <v>100</v>
      </c>
      <c r="C63" s="71">
        <v>280.89999999999998</v>
      </c>
      <c r="D63" s="60">
        <v>229</v>
      </c>
      <c r="E63" s="48">
        <f>D63/45*0.2165</f>
        <v>1.1017444444444444</v>
      </c>
      <c r="F63" s="43"/>
      <c r="G63" s="48" t="s">
        <v>7</v>
      </c>
      <c r="H63" s="48">
        <f>L64+O67+N73</f>
        <v>4.4167831253776146</v>
      </c>
      <c r="I63" s="48">
        <f>L65+O67+O73</f>
        <v>4.527937697708758</v>
      </c>
      <c r="J63" s="43"/>
      <c r="K63" s="61" t="s">
        <v>13</v>
      </c>
      <c r="L63" s="62">
        <f>IF(L66&gt;0,L62*O65,L62*O66)</f>
        <v>2.564840705408272</v>
      </c>
      <c r="M63" s="53"/>
      <c r="N63" s="48" t="s">
        <v>14</v>
      </c>
      <c r="O63" s="48">
        <f>H70*POWER(H69,(C63-O68))</f>
        <v>1.0005731504688182</v>
      </c>
      <c r="P63" s="43"/>
      <c r="Q63" s="48">
        <v>10</v>
      </c>
      <c r="R63" s="55">
        <f>R62+0.01</f>
        <v>0.6</v>
      </c>
      <c r="S63" s="56">
        <v>1.38E-2</v>
      </c>
    </row>
    <row r="64" spans="1:20" ht="20.100000000000001" customHeight="1">
      <c r="B64" s="59">
        <v>90</v>
      </c>
      <c r="C64" s="71">
        <v>251</v>
      </c>
      <c r="D64" s="60">
        <v>167</v>
      </c>
      <c r="E64" s="48">
        <f>D64/45*0.2165</f>
        <v>0.80345555555555559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85.262985592368807</v>
      </c>
      <c r="I64" s="48">
        <f>100*(L75-C64)*(L75-C65)/((C63-C64)*(C63-C65))+90*(L75-C63)*(L75-C65)/((C64-C63)*(C64-C65))+80*(L75-C63)*(L75-C64)/((C65-C63)*(C65-C64))</f>
        <v>86.810045717484286</v>
      </c>
      <c r="J64" s="43"/>
      <c r="K64" s="61" t="s">
        <v>15</v>
      </c>
      <c r="L64" s="62">
        <f>L63*L72</f>
        <v>2.5305772803287687</v>
      </c>
      <c r="M64" s="53"/>
      <c r="N64" s="48" t="s">
        <v>16</v>
      </c>
      <c r="O64" s="48">
        <f>I70*POWER(I69,(C63-O68))</f>
        <v>1.0774611878650076</v>
      </c>
      <c r="P64" s="43"/>
      <c r="Q64" s="48">
        <v>15</v>
      </c>
      <c r="R64" s="55">
        <f>R63+0.01</f>
        <v>0.61</v>
      </c>
      <c r="S64" s="56">
        <v>1.4E-2</v>
      </c>
    </row>
    <row r="65" spans="2:24" ht="20.100000000000001" customHeight="1">
      <c r="B65" s="59">
        <v>80</v>
      </c>
      <c r="C65" s="71">
        <v>222</v>
      </c>
      <c r="D65" s="60">
        <v>124</v>
      </c>
      <c r="E65" s="48">
        <f>D65/45*0.2165</f>
        <v>0.59657777777777776</v>
      </c>
      <c r="F65" s="43"/>
      <c r="G65" s="48" t="s">
        <v>17</v>
      </c>
      <c r="H65" s="48">
        <f>INDEX('R276'!I291:I363,(ROUNDUP(((H64-80)/(20/72))+1,0)),1)</f>
        <v>231.95555555555592</v>
      </c>
      <c r="I65" s="48">
        <f>INDEX('R276'!I291:I363,(ROUNDUP(((I64-80)/(20/72))+1,0)),1)</f>
        <v>236.48888888888928</v>
      </c>
      <c r="J65" s="43"/>
      <c r="K65" s="61" t="s">
        <v>18</v>
      </c>
      <c r="L65" s="62">
        <f>L63/L73</f>
        <v>2.6075074605586823</v>
      </c>
      <c r="M65" s="53"/>
      <c r="N65" s="48" t="s">
        <v>19</v>
      </c>
      <c r="O65" s="48">
        <f>IF((O68&gt;0),((100+(L66/-H68))/100))</f>
        <v>0.98482414426843845</v>
      </c>
      <c r="P65" s="43"/>
      <c r="Q65" s="48">
        <v>20</v>
      </c>
      <c r="R65" s="55">
        <f>R64+0.01</f>
        <v>0.62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5.1002114611750748</v>
      </c>
      <c r="I66" s="54">
        <f>I62/4</f>
        <v>5.2285654707953322</v>
      </c>
      <c r="J66" s="43"/>
      <c r="K66" s="63" t="s">
        <v>21</v>
      </c>
      <c r="L66" s="64">
        <f>IF(Index!$C$4&gt;0,Index!$C$4*O63,Index!$C$4*O64)</f>
        <v>4.0022926018752729</v>
      </c>
      <c r="M66" s="53"/>
      <c r="N66" s="48" t="s">
        <v>22</v>
      </c>
      <c r="O66" s="48">
        <f>IF((O68&gt;0),((100+(L66/-I68))/100))</f>
        <v>0.98377976974858894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0.58777944862155407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276'!G25</f>
        <v>2.6372763899907183</v>
      </c>
      <c r="I68" s="48">
        <f>'inf 276'!H25</f>
        <v>2.467469659702946</v>
      </c>
      <c r="J68" s="43"/>
      <c r="K68" s="48" t="s">
        <v>25</v>
      </c>
      <c r="L68" s="53"/>
      <c r="M68" s="53"/>
      <c r="N68" s="48" t="s">
        <v>26</v>
      </c>
      <c r="O68" s="48">
        <f>'276'!H14</f>
        <v>235.09625</v>
      </c>
      <c r="P68" s="43"/>
      <c r="Q68" s="48">
        <v>-1</v>
      </c>
      <c r="R68" s="55">
        <v>0.57999999999999996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1.0116819632711118</v>
      </c>
      <c r="I69" s="48">
        <f>(1+(I71*S75))</f>
        <v>1.0133438353988982</v>
      </c>
      <c r="J69" s="43"/>
      <c r="K69" s="57" t="s">
        <v>28</v>
      </c>
      <c r="L69" s="58">
        <f>O62*Index!$D$4*$O$2</f>
        <v>2.1853210062546271</v>
      </c>
      <c r="M69" s="53"/>
      <c r="N69" s="43"/>
      <c r="O69" s="43"/>
      <c r="P69" s="43"/>
      <c r="Q69" s="48">
        <v>-10</v>
      </c>
      <c r="R69" s="55">
        <f t="shared" ref="R69:R74" si="3">R68-0.01</f>
        <v>0.56999999999999995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0.58777944862155407</v>
      </c>
      <c r="I70" s="48">
        <f>R75</f>
        <v>0.58710697527886591</v>
      </c>
      <c r="J70" s="43"/>
      <c r="K70" s="61" t="s">
        <v>30</v>
      </c>
      <c r="L70" s="62">
        <f>O5*Index!D4*O62*0.95*(1-(L66*0.016))</f>
        <v>1.9431112856818515</v>
      </c>
      <c r="M70" s="42"/>
      <c r="N70" s="54" t="s">
        <v>31</v>
      </c>
      <c r="O70" s="48">
        <f>O68+L66</f>
        <v>239.09854260187527</v>
      </c>
      <c r="P70" s="43"/>
      <c r="Q70" s="48">
        <v>-20</v>
      </c>
      <c r="R70" s="55">
        <f t="shared" si="3"/>
        <v>0.55999999999999994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0.86327509961125615</v>
      </c>
      <c r="I71" s="54">
        <f>1*(O68-C64)*(O68-C65)/((C63-C64)*(C63-C65))+0.903*(O68-C63)*(O68-C65)/((C64-C63)*(C64-C65))+0.76*(O68-C63)*(O68-C64)/((C65-C63)*(C65-C64))</f>
        <v>0.83054315414794799</v>
      </c>
      <c r="J71" s="43"/>
      <c r="K71" s="61" t="s">
        <v>32</v>
      </c>
      <c r="L71" s="62">
        <f>O5*Index!D4*O62*1.25*(1-(L66*0.016))</f>
        <v>2.5567253758971735</v>
      </c>
      <c r="M71" s="42"/>
      <c r="N71" s="43"/>
      <c r="O71" s="43"/>
      <c r="P71" s="43"/>
      <c r="Q71" s="48">
        <v>-30</v>
      </c>
      <c r="R71" s="55">
        <f t="shared" si="3"/>
        <v>0.54999999999999993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0.98664110991093723</v>
      </c>
      <c r="M72" s="42"/>
      <c r="N72" s="632" t="s">
        <v>121</v>
      </c>
      <c r="O72" s="632"/>
      <c r="P72" s="43"/>
      <c r="Q72" s="48">
        <v>-40</v>
      </c>
      <c r="R72" s="55">
        <f t="shared" si="3"/>
        <v>0.53999999999999992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0.98363695759425807</v>
      </c>
      <c r="M73" s="42"/>
      <c r="N73" s="60">
        <f>H64/100*(O61*0.2165)*Link!$C$7*0.9</f>
        <v>1.8862058450488457</v>
      </c>
      <c r="O73" s="48">
        <f>I64/100*(O61*0.2165)*Link!$C$7*0.9</f>
        <v>1.9204302371500761</v>
      </c>
      <c r="P73" s="42"/>
      <c r="Q73" s="48">
        <v>-50</v>
      </c>
      <c r="R73" s="55">
        <f t="shared" si="3"/>
        <v>0.52999999999999992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237.15543131619341</v>
      </c>
      <c r="M74" s="43"/>
      <c r="N74" s="43"/>
      <c r="O74" s="43"/>
      <c r="P74" s="43"/>
      <c r="Q74" s="48">
        <v>-60</v>
      </c>
      <c r="R74" s="55">
        <f t="shared" si="3"/>
        <v>0.51999999999999991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241.65526797777244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0.58710697527886591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26" t="s">
        <v>65</v>
      </c>
      <c r="C79" s="628"/>
      <c r="D79" s="628"/>
      <c r="E79" s="627"/>
      <c r="F79" s="43"/>
      <c r="G79" s="626" t="s">
        <v>65</v>
      </c>
      <c r="H79" s="628"/>
      <c r="I79" s="627"/>
      <c r="J79" s="43"/>
      <c r="K79" s="48" t="s">
        <v>7</v>
      </c>
      <c r="L79" s="53"/>
      <c r="M79" s="42"/>
      <c r="N79" s="48" t="s">
        <v>8</v>
      </c>
      <c r="O79" s="54">
        <f>O80/0.2165</f>
        <v>3.9276964980128835</v>
      </c>
      <c r="P79" s="43"/>
      <c r="Q79" s="48">
        <v>1</v>
      </c>
      <c r="R79" s="55">
        <v>0.55000000000000004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24.663266540806589</v>
      </c>
      <c r="I80" s="54">
        <f>I81/0.2165</f>
        <v>25.467173840028057</v>
      </c>
      <c r="J80" s="43"/>
      <c r="K80" s="57" t="s">
        <v>11</v>
      </c>
      <c r="L80" s="58">
        <f>O80*$O$3*Index!$D$4</f>
        <v>3.2570152578768923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0.85034629181978927</v>
      </c>
      <c r="P80" s="43"/>
      <c r="Q80" s="48">
        <v>5</v>
      </c>
      <c r="R80" s="55">
        <f>R79+0.01</f>
        <v>0.56000000000000005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71">
        <v>264.2</v>
      </c>
      <c r="D81" s="60">
        <v>240</v>
      </c>
      <c r="E81" s="48">
        <f>D81/45*0.2165</f>
        <v>1.1546666666666665</v>
      </c>
      <c r="F81" s="43"/>
      <c r="G81" s="48" t="s">
        <v>7</v>
      </c>
      <c r="H81" s="48">
        <f>L82+O85+N91</f>
        <v>5.3395972060846262</v>
      </c>
      <c r="I81" s="48">
        <f>L83+O85+O91</f>
        <v>5.5136431363660741</v>
      </c>
      <c r="J81" s="43"/>
      <c r="K81" s="61" t="s">
        <v>13</v>
      </c>
      <c r="L81" s="62">
        <f>IF(L84&gt;0,L80*O83,L80*O84)</f>
        <v>3.2169715402523362</v>
      </c>
      <c r="M81" s="53"/>
      <c r="N81" s="48" t="s">
        <v>14</v>
      </c>
      <c r="O81" s="48">
        <f>H88*POWER(H87,(C81-O86))</f>
        <v>0.80611036086609977</v>
      </c>
      <c r="P81" s="43"/>
      <c r="Q81" s="48">
        <v>10</v>
      </c>
      <c r="R81" s="55">
        <f>R80+0.01</f>
        <v>0.57000000000000006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71">
        <v>236.8</v>
      </c>
      <c r="D82" s="60">
        <v>180</v>
      </c>
      <c r="E82" s="48">
        <f>D82/45*0.2165</f>
        <v>0.86599999999999999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89.648736791280086</v>
      </c>
      <c r="I82" s="48">
        <f>100*(L93-C82)*(L93-C83)/((C81-C82)*(C81-C83))+90*(L93-C81)*(L93-C83)/((C82-C81)*(C82-C83))+80*(L93-C81)*(L93-C82)/((C83-C81)*(C83-C82))</f>
        <v>91.768098897637273</v>
      </c>
      <c r="J82" s="43"/>
      <c r="K82" s="61" t="s">
        <v>15</v>
      </c>
      <c r="L82" s="62">
        <f>L81*L90</f>
        <v>3.1625121859785539</v>
      </c>
      <c r="M82" s="53"/>
      <c r="N82" s="48" t="s">
        <v>16</v>
      </c>
      <c r="O82" s="48">
        <f>I88*POWER(I87,(C81-O86))</f>
        <v>0.85933832963323731</v>
      </c>
      <c r="P82" s="43"/>
      <c r="Q82" s="48">
        <v>15</v>
      </c>
      <c r="R82" s="55">
        <f>R81+0.01</f>
        <v>0.58000000000000007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71">
        <v>210.5</v>
      </c>
      <c r="D83" s="60">
        <v>136</v>
      </c>
      <c r="E83" s="48">
        <f>D83/45*0.2165</f>
        <v>0.65431111111111107</v>
      </c>
      <c r="F83" s="43"/>
      <c r="G83" s="48" t="s">
        <v>17</v>
      </c>
      <c r="H83" s="48">
        <f>INDEX('R276'!L291:L363,(ROUNDUP(((H82-80)/(20/72))+1,0)),1)</f>
        <v>226.10000000000042</v>
      </c>
      <c r="I83" s="48">
        <f>INDEX('R276'!L291:L363,(ROUNDUP(((I82-80)/(20/72))+1,0)),1)</f>
        <v>231.70000000000033</v>
      </c>
      <c r="J83" s="43"/>
      <c r="K83" s="61" t="s">
        <v>18</v>
      </c>
      <c r="L83" s="62">
        <f>L81/L91</f>
        <v>3.2850902243623938</v>
      </c>
      <c r="M83" s="53"/>
      <c r="N83" s="48" t="s">
        <v>19</v>
      </c>
      <c r="O83" s="48">
        <f>IF((O86&gt;0),((100+(L84/-H86))/100))</f>
        <v>0.98770539452410833</v>
      </c>
      <c r="P83" s="43"/>
      <c r="Q83" s="48">
        <v>20</v>
      </c>
      <c r="R83" s="55">
        <f>R82+0.01</f>
        <v>0.59000000000000008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6.1658166352016472</v>
      </c>
      <c r="I84" s="54">
        <f>I80/4</f>
        <v>6.3667934600070142</v>
      </c>
      <c r="J84" s="43"/>
      <c r="K84" s="63" t="s">
        <v>21</v>
      </c>
      <c r="L84" s="64">
        <f>IF(Index!$C$4&gt;0,Index!$C$4*O81,Index!$C$4*O82)</f>
        <v>3.2244414434643991</v>
      </c>
      <c r="M84" s="53"/>
      <c r="N84" s="48" t="s">
        <v>22</v>
      </c>
      <c r="O84" s="48">
        <f>IF((O86&gt;0),((100+(L84/-I86))/100))</f>
        <v>0.98726068940924994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0.55777944862155404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276'!K25</f>
        <v>2.6226473470719931</v>
      </c>
      <c r="I86" s="48">
        <f>'inf 276'!L25</f>
        <v>2.5310957139279107</v>
      </c>
      <c r="J86" s="43"/>
      <c r="K86" s="48" t="s">
        <v>25</v>
      </c>
      <c r="L86" s="53"/>
      <c r="M86" s="53"/>
      <c r="N86" s="48" t="s">
        <v>26</v>
      </c>
      <c r="O86" s="48">
        <f>'276'!H14</f>
        <v>235.09625</v>
      </c>
      <c r="P86" s="43"/>
      <c r="Q86" s="48">
        <v>-1</v>
      </c>
      <c r="R86" s="55">
        <v>0.56000000000000005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1.0127336411391274</v>
      </c>
      <c r="I87" s="48">
        <f>(1+(I89*S93))</f>
        <v>1.0143829064799579</v>
      </c>
      <c r="J87" s="43"/>
      <c r="K87" s="57" t="s">
        <v>28</v>
      </c>
      <c r="L87" s="58">
        <f>O80*Index!$D$4*$O$2</f>
        <v>2.7329603016232742</v>
      </c>
      <c r="M87" s="53"/>
      <c r="N87" s="43"/>
      <c r="O87" s="43"/>
      <c r="P87" s="43"/>
      <c r="Q87" s="48">
        <v>-10</v>
      </c>
      <c r="R87" s="55">
        <f t="shared" ref="R87:R92" si="4">R86-0.01</f>
        <v>0.55000000000000004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0.55777944862155404</v>
      </c>
      <c r="I88" s="48">
        <f>R93</f>
        <v>0.56710697527886533</v>
      </c>
      <c r="J88" s="43"/>
      <c r="K88" s="61" t="s">
        <v>30</v>
      </c>
      <c r="L88" s="62">
        <f>O5*Index!D4*O80*0.95*(1-(L84*0.016))</f>
        <v>2.4623657755516746</v>
      </c>
      <c r="M88" s="42"/>
      <c r="N88" s="54" t="s">
        <v>31</v>
      </c>
      <c r="O88" s="48">
        <f>O86+L84</f>
        <v>238.3206914434644</v>
      </c>
      <c r="P88" s="43"/>
      <c r="Q88" s="48">
        <v>-20</v>
      </c>
      <c r="R88" s="55">
        <f t="shared" si="4"/>
        <v>0.54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0.90746223895807976</v>
      </c>
      <c r="I89" s="54">
        <f>1*(O86-C82)*(O86-C83)/((C81-C82)*(C81-C83))+0.903*(O86-C81)*(O86-C83)/((C82-C81)*(C82-C83))+0.76*(O86-C81)*(O86-C82)/((C83-C81)*(C83-C82))</f>
        <v>0.89521671667695057</v>
      </c>
      <c r="J89" s="43"/>
      <c r="K89" s="61" t="s">
        <v>32</v>
      </c>
      <c r="L89" s="62">
        <f>O5*Index!D4*O80*1.25*(1-(L84*0.016))</f>
        <v>3.2399549678311512</v>
      </c>
      <c r="M89" s="42"/>
      <c r="N89" s="43"/>
      <c r="O89" s="43"/>
      <c r="P89" s="43"/>
      <c r="Q89" s="48">
        <v>-30</v>
      </c>
      <c r="R89" s="55">
        <f t="shared" si="4"/>
        <v>0.53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0.98307123529308227</v>
      </c>
      <c r="M90" s="42"/>
      <c r="N90" s="632" t="s">
        <v>121</v>
      </c>
      <c r="O90" s="632"/>
      <c r="P90" s="43"/>
      <c r="Q90" s="48">
        <v>-40</v>
      </c>
      <c r="R90" s="55">
        <f t="shared" si="4"/>
        <v>0.52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0.97926428820588063</v>
      </c>
      <c r="M91" s="42"/>
      <c r="N91" s="60">
        <f>H82/100*(O79*0.2165)*Link!$C$7*0.79</f>
        <v>2.1770850201060723</v>
      </c>
      <c r="O91" s="48">
        <f>I82/100*(O79*0.2165)*Link!$C$7*0.79</f>
        <v>2.2285529120036802</v>
      </c>
      <c r="P91" s="42"/>
      <c r="Q91" s="48">
        <v>-50</v>
      </c>
      <c r="R91" s="55">
        <f t="shared" si="4"/>
        <v>0.51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235.85832566791271</v>
      </c>
      <c r="M92" s="43"/>
      <c r="N92" s="43"/>
      <c r="O92" s="43"/>
      <c r="P92" s="43"/>
      <c r="Q92" s="48">
        <v>-60</v>
      </c>
      <c r="R92" s="55">
        <f t="shared" si="4"/>
        <v>0.5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241.56064641129555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0.56710697527886533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29" t="s">
        <v>66</v>
      </c>
      <c r="C97" s="630"/>
      <c r="D97" s="630"/>
      <c r="E97" s="631"/>
      <c r="F97" s="43"/>
      <c r="G97" s="629" t="s">
        <v>66</v>
      </c>
      <c r="H97" s="630"/>
      <c r="I97" s="631"/>
      <c r="J97" s="53"/>
      <c r="K97" s="48" t="s">
        <v>7</v>
      </c>
      <c r="L97" s="53"/>
      <c r="M97" s="43"/>
      <c r="N97" s="48" t="s">
        <v>8</v>
      </c>
      <c r="O97" s="48">
        <f>O98/0.2165</f>
        <v>5.304135099695622</v>
      </c>
      <c r="P97" s="42"/>
      <c r="Q97" s="48">
        <v>1</v>
      </c>
      <c r="R97" s="55">
        <v>0.67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37.261237764750845</v>
      </c>
      <c r="I98" s="54">
        <f>I99/0.2165</f>
        <v>38.969856646792692</v>
      </c>
      <c r="J98" s="53"/>
      <c r="K98" s="57" t="s">
        <v>11</v>
      </c>
      <c r="L98" s="58">
        <f>O98*$O$3*Index!$D$4</f>
        <v>4.3984174842147752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1.1483452490841022</v>
      </c>
      <c r="P98" s="43"/>
      <c r="Q98" s="48">
        <v>5</v>
      </c>
      <c r="R98" s="55">
        <f>R97+0.01</f>
        <v>0.68</v>
      </c>
      <c r="S98" s="56">
        <v>1.3599999999999999E-2</v>
      </c>
    </row>
    <row r="99" spans="2:19" ht="20.100000000000001" customHeight="1">
      <c r="B99" s="54">
        <v>100</v>
      </c>
      <c r="C99" s="60">
        <v>229.9</v>
      </c>
      <c r="D99" s="60">
        <v>225</v>
      </c>
      <c r="E99" s="54">
        <f>D99/45*0.2165</f>
        <v>1.0825</v>
      </c>
      <c r="F99" s="43"/>
      <c r="G99" s="48" t="s">
        <v>7</v>
      </c>
      <c r="H99" s="48">
        <f>L100+O103+B116</f>
        <v>8.0670579760685577</v>
      </c>
      <c r="I99" s="48">
        <f>L101+O103+C116</f>
        <v>8.4369739640306172</v>
      </c>
      <c r="J99" s="53"/>
      <c r="K99" s="61" t="s">
        <v>13</v>
      </c>
      <c r="L99" s="62">
        <f>IF(L102&gt;0,L98*O101,L98*O102)</f>
        <v>4.3772564893348234</v>
      </c>
      <c r="M99" s="43"/>
      <c r="N99" s="48" t="s">
        <v>14</v>
      </c>
      <c r="O99" s="48">
        <f>H107*POWER((1+(H106)),C99-O104)</f>
        <v>0.62923108292440877</v>
      </c>
      <c r="P99" s="43"/>
      <c r="Q99" s="48">
        <v>10</v>
      </c>
      <c r="R99" s="55">
        <f>R98+0.01</f>
        <v>0.69000000000000006</v>
      </c>
      <c r="S99" s="56">
        <v>1.38E-2</v>
      </c>
    </row>
    <row r="100" spans="2:19" ht="20.100000000000001" customHeight="1">
      <c r="B100" s="54">
        <f>B99-10</f>
        <v>90</v>
      </c>
      <c r="C100" s="60">
        <v>199.4</v>
      </c>
      <c r="D100" s="60">
        <v>156</v>
      </c>
      <c r="E100" s="54">
        <f t="shared" ref="E100:E109" si="5">D100/45*0.2165</f>
        <v>0.75053333333333339</v>
      </c>
      <c r="F100" s="43"/>
      <c r="G100" s="48" t="s">
        <v>5</v>
      </c>
      <c r="H100" s="48">
        <f>IF(O104&gt;(C106-0.0001),H108,H109)</f>
        <v>101.61274345034222</v>
      </c>
      <c r="I100" s="48">
        <f>IF(O104&gt;(C106-0.0001),I108,I109)</f>
        <v>105.24396874700876</v>
      </c>
      <c r="J100" s="53"/>
      <c r="K100" s="61" t="s">
        <v>15</v>
      </c>
      <c r="L100" s="62">
        <f>L99*L108</f>
        <v>4.2706623345799191</v>
      </c>
      <c r="M100" s="43"/>
      <c r="N100" s="48" t="s">
        <v>16</v>
      </c>
      <c r="O100" s="48">
        <f>I107*POWER((1+(I106)),C99-O104)</f>
        <v>0.69250000000000234</v>
      </c>
      <c r="P100" s="43"/>
      <c r="Q100" s="48">
        <v>15</v>
      </c>
      <c r="R100" s="55">
        <f>R99+0.01</f>
        <v>0.70000000000000007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60">
        <v>170.4</v>
      </c>
      <c r="D101" s="60">
        <v>109</v>
      </c>
      <c r="E101" s="54">
        <f t="shared" si="5"/>
        <v>0.52441111111111105</v>
      </c>
      <c r="F101" s="43"/>
      <c r="G101" s="48" t="s">
        <v>17</v>
      </c>
      <c r="H101" s="48" t="e">
        <f>IF(N114=0,INDEX('R276'!H39:H363,(ROUNDDOWN(((H100-10)/(20/72)+1),0)),1),INDEX('R276'!H39:H363,(ROUNDUP(((H100-10)/(20/72))+1,0)),1))</f>
        <v>#REF!</v>
      </c>
      <c r="I101" s="48" t="e">
        <f>IF(O114=0,INDEX('R276'!H39:H363,(ROUNDDOWN(((I100-10)/(20/72)+1),0)),1),INDEX('R276'!H39:H363,(ROUNDUP(((I100-10)/(20/72))+1,0)),1))</f>
        <v>#REF!</v>
      </c>
      <c r="J101" s="53"/>
      <c r="K101" s="61" t="s">
        <v>18</v>
      </c>
      <c r="L101" s="62">
        <f>L99/L109</f>
        <v>4.5049106157029728</v>
      </c>
      <c r="M101" s="43"/>
      <c r="N101" s="48" t="s">
        <v>19</v>
      </c>
      <c r="O101" s="48">
        <f>IF((O104&gt;0),((100+(L102/-H105))/100))</f>
        <v>0.99518895262764506</v>
      </c>
      <c r="P101" s="42"/>
      <c r="Q101" s="48">
        <v>20</v>
      </c>
      <c r="R101" s="55">
        <f>R100+0.01</f>
        <v>0.71000000000000008</v>
      </c>
      <c r="S101" s="56">
        <v>1.43E-2</v>
      </c>
    </row>
    <row r="102" spans="2:19" ht="20.100000000000001" customHeight="1">
      <c r="B102" s="54">
        <f t="shared" si="6"/>
        <v>70</v>
      </c>
      <c r="C102" s="60">
        <v>144.1</v>
      </c>
      <c r="D102" s="60">
        <v>77</v>
      </c>
      <c r="E102" s="54">
        <f t="shared" si="5"/>
        <v>0.37045555555555554</v>
      </c>
      <c r="F102" s="43"/>
      <c r="G102" s="48" t="s">
        <v>39</v>
      </c>
      <c r="H102" s="48">
        <f>N115</f>
        <v>11</v>
      </c>
      <c r="I102" s="48">
        <f>O115</f>
        <v>11</v>
      </c>
      <c r="J102" s="53"/>
      <c r="K102" s="63" t="s">
        <v>21</v>
      </c>
      <c r="L102" s="64">
        <f>IF(Index!$C$4&gt;0,Index!$C$4*O99,Index!$C$4*O100)</f>
        <v>2.5169243316976351</v>
      </c>
      <c r="M102" s="43"/>
      <c r="N102" s="48" t="s">
        <v>22</v>
      </c>
      <c r="O102" s="48">
        <f>IF((O104&gt;0),((100+(L102/-I105))/100))</f>
        <v>0.99363764937503518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0.67777944862155404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60">
        <v>120.4</v>
      </c>
      <c r="D103" s="60">
        <v>56</v>
      </c>
      <c r="E103" s="54">
        <f t="shared" si="5"/>
        <v>0.26942222222222223</v>
      </c>
      <c r="F103" s="43"/>
      <c r="G103" s="54" t="s">
        <v>20</v>
      </c>
      <c r="H103" s="54">
        <f>H98/4</f>
        <v>9.3153094411877113</v>
      </c>
      <c r="I103" s="54">
        <f>I98/4</f>
        <v>9.7424641616981731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60">
        <v>99.2</v>
      </c>
      <c r="D104" s="60">
        <v>41</v>
      </c>
      <c r="E104" s="54">
        <f t="shared" si="5"/>
        <v>0.19725555555555555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0.67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60">
        <v>79.7</v>
      </c>
      <c r="D105" s="60">
        <v>30</v>
      </c>
      <c r="E105" s="54">
        <f t="shared" si="5"/>
        <v>0.14433333333333331</v>
      </c>
      <c r="F105" s="43"/>
      <c r="G105" s="48" t="s">
        <v>24</v>
      </c>
      <c r="H105" s="48">
        <f>IF('276'!O104&gt;('276'!C106-0.0001),'inf 276'!G11,'inf 276'!G19)</f>
        <v>5.2315517534918961</v>
      </c>
      <c r="I105" s="48">
        <f>IF('276'!O104&gt;('276'!C106-0.0001),'inf 276'!H11,'inf 276'!H19)</f>
        <v>3.9559660887308885</v>
      </c>
      <c r="J105" s="43"/>
      <c r="K105" s="57" t="s">
        <v>28</v>
      </c>
      <c r="L105" s="58">
        <f>O98*Index!$D$4*$O$2</f>
        <v>3.6907104887683184</v>
      </c>
      <c r="M105" s="53"/>
      <c r="N105" s="43"/>
      <c r="O105" s="43"/>
      <c r="P105" s="42"/>
      <c r="Q105" s="54">
        <v>-5</v>
      </c>
      <c r="R105" s="69">
        <f>R104-0.01</f>
        <v>0.66</v>
      </c>
      <c r="S105" s="56">
        <v>1.26E-2</v>
      </c>
    </row>
    <row r="106" spans="2:19" ht="20.100000000000001" customHeight="1">
      <c r="B106" s="54">
        <f t="shared" si="6"/>
        <v>30</v>
      </c>
      <c r="C106" s="60">
        <v>61.3</v>
      </c>
      <c r="D106" s="60">
        <v>21</v>
      </c>
      <c r="E106" s="54">
        <f t="shared" si="5"/>
        <v>0.10103333333333334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1.4406051333439751E-2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3.5420826642813958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1.1707574591037029</v>
      </c>
      <c r="P106" s="43"/>
      <c r="Q106" s="54">
        <v>-10</v>
      </c>
      <c r="R106" s="69">
        <f>R105-0.01</f>
        <v>0.65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60">
        <v>42.9</v>
      </c>
      <c r="D107" s="60">
        <v>14</v>
      </c>
      <c r="E107" s="54">
        <f t="shared" si="5"/>
        <v>6.7355555555555557E-2</v>
      </c>
      <c r="F107" s="43"/>
      <c r="G107" s="48" t="s">
        <v>29</v>
      </c>
      <c r="H107" s="48">
        <f>R102</f>
        <v>0.67777944862155404</v>
      </c>
      <c r="I107" s="48">
        <f>IF(Index!C4&gt;(-25+0.0001),'276'!R110,'276'!R118)</f>
        <v>0.69250000000000234</v>
      </c>
      <c r="J107" s="43"/>
      <c r="K107" s="61" t="s">
        <v>32</v>
      </c>
      <c r="L107" s="62">
        <f>O5*Index!D4*O98*1.25*(1-(L102*0.016))</f>
        <v>4.4276033303517446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1.1515909835705116</v>
      </c>
      <c r="P107" s="43"/>
      <c r="Q107" s="54">
        <v>-15</v>
      </c>
      <c r="R107" s="69">
        <f>R106-0.01</f>
        <v>0.64</v>
      </c>
      <c r="S107" s="56">
        <v>1.24E-2</v>
      </c>
    </row>
    <row r="108" spans="2:19" ht="20.100000000000001" customHeight="1">
      <c r="B108" s="54">
        <f t="shared" si="6"/>
        <v>10</v>
      </c>
      <c r="C108" s="60">
        <v>23.3</v>
      </c>
      <c r="D108" s="60">
        <v>7</v>
      </c>
      <c r="E108" s="54">
        <f t="shared" si="5"/>
        <v>3.3677777777777779E-2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101.61274345034222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105.24396874700876</v>
      </c>
      <c r="J108" s="43"/>
      <c r="K108" s="61" t="s">
        <v>33</v>
      </c>
      <c r="L108" s="62">
        <f>(100+(L106*2.75/-4))/100</f>
        <v>0.97564818168306544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1.1483452490841022</v>
      </c>
      <c r="P108" s="43"/>
      <c r="Q108" s="54">
        <v>-20</v>
      </c>
      <c r="R108" s="69">
        <f>R107-0.01</f>
        <v>0.63</v>
      </c>
      <c r="S108" s="56">
        <v>1.23E-2</v>
      </c>
    </row>
    <row r="109" spans="2:19" ht="20.100000000000001" customHeight="1">
      <c r="B109" s="54">
        <f>B108-10</f>
        <v>0</v>
      </c>
      <c r="C109" s="60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58.20382332265217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53.527432274651801</v>
      </c>
      <c r="J109" s="43"/>
      <c r="K109" s="61" t="s">
        <v>35</v>
      </c>
      <c r="L109" s="62">
        <f>(100+(L107*4/-6.25))/100</f>
        <v>0.97166333868574883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5.4521386429558589</v>
      </c>
      <c r="P109" s="43"/>
      <c r="Q109" s="54">
        <v>-25</v>
      </c>
      <c r="R109" s="69">
        <f>R108-0.01</f>
        <v>0.62</v>
      </c>
      <c r="S109" s="56">
        <v>1.2200000000000001E-2</v>
      </c>
    </row>
    <row r="110" spans="2:19" ht="20.100000000000001" customHeight="1">
      <c r="B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234.07109166741623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0.69250000000000234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60">
        <v>222.2</v>
      </c>
      <c r="D111" s="60">
        <v>205</v>
      </c>
      <c r="E111" s="54">
        <f>D111/45*0.2165</f>
        <v>0.9862777777777777</v>
      </c>
      <c r="F111" s="43"/>
      <c r="G111" s="48">
        <v>107.5</v>
      </c>
      <c r="H111" s="54">
        <v>253</v>
      </c>
      <c r="I111" s="54">
        <v>1.3616999999999999</v>
      </c>
      <c r="J111" s="43"/>
      <c r="K111" s="63" t="s">
        <v>37</v>
      </c>
      <c r="L111" s="52">
        <f>O104+L102+L107</f>
        <v>242.04077766204938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60">
        <v>214.5</v>
      </c>
      <c r="D112" s="60">
        <v>187</v>
      </c>
      <c r="E112" s="54">
        <f>D112/45*0.2165</f>
        <v>0.8996777777777778</v>
      </c>
      <c r="F112" s="43"/>
      <c r="G112" s="54">
        <v>105</v>
      </c>
      <c r="H112" s="54">
        <v>245.3</v>
      </c>
      <c r="I112" s="54">
        <v>1.2703</v>
      </c>
      <c r="J112" s="43"/>
      <c r="K112" s="43"/>
      <c r="L112" s="43"/>
      <c r="M112" s="43"/>
      <c r="N112" s="61">
        <f>MOD(H100,20/72)</f>
        <v>0.22385456145332883</v>
      </c>
      <c r="O112" s="62">
        <f>MOD(I100,20/72)</f>
        <v>0.24396874700876015</v>
      </c>
      <c r="P112" s="43"/>
      <c r="Q112" s="54">
        <v>-30</v>
      </c>
      <c r="R112" s="69">
        <f>R109-0.01</f>
        <v>0.61</v>
      </c>
      <c r="S112" s="56">
        <v>1.1350000000000001E-2</v>
      </c>
    </row>
    <row r="113" spans="1:20" ht="20.100000000000001" customHeight="1">
      <c r="B113" s="54">
        <v>92.5</v>
      </c>
      <c r="C113" s="60">
        <v>206.9</v>
      </c>
      <c r="D113" s="60">
        <v>171</v>
      </c>
      <c r="E113" s="54">
        <f>D113/45*0.2165</f>
        <v>0.82269999999999999</v>
      </c>
      <c r="F113" s="43"/>
      <c r="G113" s="54">
        <v>102.5</v>
      </c>
      <c r="H113" s="54">
        <v>237.6</v>
      </c>
      <c r="I113" s="54">
        <v>1.1789000000000001</v>
      </c>
      <c r="J113" s="53"/>
      <c r="K113" s="54" t="s">
        <v>31</v>
      </c>
      <c r="L113" s="48">
        <f>O104+L102</f>
        <v>237.61317433169762</v>
      </c>
      <c r="M113" s="53"/>
      <c r="N113" s="61">
        <f>N112/(20/72)</f>
        <v>0.80587642123198377</v>
      </c>
      <c r="O113" s="62">
        <f>O112/(20/72)</f>
        <v>0.87828748923153643</v>
      </c>
      <c r="P113" s="53"/>
      <c r="Q113" s="54">
        <v>-35</v>
      </c>
      <c r="R113" s="69">
        <f>R112-0.01</f>
        <v>0.6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1</v>
      </c>
      <c r="P114" s="53"/>
      <c r="Q114" s="54">
        <v>-40</v>
      </c>
      <c r="R114" s="69">
        <f>R113-0.01</f>
        <v>0.59</v>
      </c>
      <c r="S114" s="56">
        <v>1.115E-2</v>
      </c>
    </row>
    <row r="115" spans="1:20" ht="20.100000000000001" customHeight="1">
      <c r="B115" s="632" t="s">
        <v>121</v>
      </c>
      <c r="C115" s="632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1.0645800805275498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1.1255891355887102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1.1281419160163186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1.0386902357591219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1.0497070285073784</v>
      </c>
      <c r="M115" s="43"/>
      <c r="N115" s="61">
        <f>IF(N112&lt;0.08,11,N116)</f>
        <v>11</v>
      </c>
      <c r="O115" s="62">
        <f>IF(O112&lt;0.08,11,O116)</f>
        <v>11</v>
      </c>
      <c r="P115" s="42"/>
      <c r="Q115" s="54">
        <v>-45</v>
      </c>
      <c r="R115" s="69">
        <f>R114-0.01</f>
        <v>0.57999999999999996</v>
      </c>
      <c r="S115" s="56">
        <v>1.1050000000000001E-2</v>
      </c>
    </row>
    <row r="116" spans="1:20" ht="20.100000000000001" customHeight="1">
      <c r="B116" s="60">
        <f>H100/100*(O97*0.2165)*Link!$C$7*0.9</f>
        <v>3.7963956414886377</v>
      </c>
      <c r="C116" s="48">
        <f>I100/100*(O97*0.2165)*Link!$C$7*0.9</f>
        <v>3.9320633483276435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1.114137661778527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0.99000336932767485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0.99695830340041736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1.15971167341684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1.2017750112259706</v>
      </c>
      <c r="M116" s="43"/>
      <c r="N116" s="63">
        <f>IF(N112&gt;(20/72)-0.08,11,10)</f>
        <v>11</v>
      </c>
      <c r="O116" s="64">
        <f>IF(O112&gt;(20/72)-0.08,11,10)</f>
        <v>11</v>
      </c>
      <c r="P116" s="42"/>
      <c r="Q116" s="54">
        <v>-50</v>
      </c>
      <c r="R116" s="69">
        <f>R115-0.01</f>
        <v>0.56999999999999995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0.55999999999999994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IF(Index!C4&gt;(-25+0.0001),'276'!S110,'276'!S118)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0.67800000000008254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29" t="s">
        <v>67</v>
      </c>
      <c r="C122" s="630"/>
      <c r="D122" s="630"/>
      <c r="E122" s="631"/>
      <c r="F122" s="43"/>
      <c r="G122" s="629" t="s">
        <v>67</v>
      </c>
      <c r="H122" s="630"/>
      <c r="I122" s="631"/>
      <c r="J122" s="53"/>
      <c r="K122" s="48" t="s">
        <v>7</v>
      </c>
      <c r="L122" s="53"/>
      <c r="M122" s="43"/>
      <c r="N122" s="48" t="s">
        <v>8</v>
      </c>
      <c r="O122" s="48">
        <f>O123/0.2165</f>
        <v>6.468362039676987</v>
      </c>
      <c r="P122" s="42"/>
      <c r="Q122" s="48">
        <v>1</v>
      </c>
      <c r="R122" s="55">
        <v>0.65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44.254767656896021</v>
      </c>
      <c r="I123" s="54">
        <f>I124/0.2165</f>
        <v>47.301605267345103</v>
      </c>
      <c r="J123" s="53"/>
      <c r="K123" s="57" t="s">
        <v>11</v>
      </c>
      <c r="L123" s="58">
        <f>O123*$O$3*Index!$D$4</f>
        <v>5.3638446522938388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1.4004003815900676</v>
      </c>
      <c r="P123" s="43"/>
      <c r="Q123" s="48">
        <v>5</v>
      </c>
      <c r="R123" s="55">
        <f>R122+0.01</f>
        <v>0.66</v>
      </c>
      <c r="S123" s="56">
        <v>1.41E-2</v>
      </c>
    </row>
    <row r="124" spans="1:20" ht="20.100000000000001" customHeight="1">
      <c r="B124" s="54">
        <v>100</v>
      </c>
      <c r="C124" s="60">
        <v>212.4</v>
      </c>
      <c r="D124" s="60">
        <v>230</v>
      </c>
      <c r="E124" s="54">
        <f>D124/45*0.2165</f>
        <v>1.1065555555555555</v>
      </c>
      <c r="F124" s="43"/>
      <c r="G124" s="48" t="s">
        <v>7</v>
      </c>
      <c r="H124" s="48">
        <f>L125+O128+B141</f>
        <v>9.5811571977179888</v>
      </c>
      <c r="I124" s="48">
        <f>L126+O128+C141</f>
        <v>10.240797540380214</v>
      </c>
      <c r="J124" s="53"/>
      <c r="K124" s="61" t="s">
        <v>13</v>
      </c>
      <c r="L124" s="62">
        <f>IF(L127&gt;0,L123*O126,L123*O127)</f>
        <v>5.3585714316898683</v>
      </c>
      <c r="M124" s="43"/>
      <c r="N124" s="48" t="s">
        <v>14</v>
      </c>
      <c r="O124" s="48">
        <f>H132*POWER((1+(H131)),C124-O129)</f>
        <v>0.45059275975452728</v>
      </c>
      <c r="P124" s="43"/>
      <c r="Q124" s="48">
        <v>10</v>
      </c>
      <c r="R124" s="55">
        <f>R123+0.01</f>
        <v>0.67</v>
      </c>
      <c r="S124" s="56">
        <v>1.43E-2</v>
      </c>
    </row>
    <row r="125" spans="1:20" ht="20.100000000000001" customHeight="1">
      <c r="B125" s="54">
        <f>B124-10</f>
        <v>90</v>
      </c>
      <c r="C125" s="60">
        <v>184.6</v>
      </c>
      <c r="D125" s="60">
        <v>163</v>
      </c>
      <c r="E125" s="54">
        <f t="shared" ref="E125:E134" si="7">D125/45*0.2165</f>
        <v>0.78421111111111108</v>
      </c>
      <c r="F125" s="43"/>
      <c r="G125" s="48" t="s">
        <v>5</v>
      </c>
      <c r="H125" s="48">
        <f>IF(O129&gt;(C131-0.0001),H133,H134)</f>
        <v>109.60862591434936</v>
      </c>
      <c r="I125" s="48">
        <f>IF(O129&gt;(C131-0.0001),I133,I134)</f>
        <v>117.22097450533499</v>
      </c>
      <c r="J125" s="53"/>
      <c r="K125" s="61" t="s">
        <v>15</v>
      </c>
      <c r="L125" s="62">
        <f>L124*L133</f>
        <v>5.197542779620453</v>
      </c>
      <c r="M125" s="43"/>
      <c r="N125" s="48" t="s">
        <v>16</v>
      </c>
      <c r="O125" s="48">
        <f>I132*POWER((1+(I131)),C124-O129)</f>
        <v>0.68250000000000144</v>
      </c>
      <c r="P125" s="43"/>
      <c r="Q125" s="48">
        <v>15</v>
      </c>
      <c r="R125" s="55">
        <f>R124+0.01</f>
        <v>0.68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60">
        <v>158.5</v>
      </c>
      <c r="D126" s="60">
        <v>117</v>
      </c>
      <c r="E126" s="54">
        <f t="shared" si="7"/>
        <v>0.56290000000000007</v>
      </c>
      <c r="F126" s="43"/>
      <c r="G126" s="48" t="s">
        <v>17</v>
      </c>
      <c r="H126" s="48" t="e">
        <f>IF(N139=0,INDEX('R276'!K39:K363,(ROUNDDOWN(((H125-10)/(20/72)+1),0)),1),INDEX('R276'!K39:K363,(ROUNDUP(((H125-10)/(20/72))+1,0)),1))</f>
        <v>#REF!</v>
      </c>
      <c r="I126" s="48" t="e">
        <f>IF(O139=0,INDEX('R276'!K39:K363,(ROUNDDOWN(((I125-10)/(20/72)+1),0)),1),INDEX('R276'!K39:K363,(ROUNDUP(((I125-10)/(20/72))+1,0)),1))</f>
        <v>#REF!</v>
      </c>
      <c r="J126" s="53"/>
      <c r="K126" s="61" t="s">
        <v>18</v>
      </c>
      <c r="L126" s="62">
        <f>L124/L134</f>
        <v>5.5527399202932219</v>
      </c>
      <c r="M126" s="43"/>
      <c r="N126" s="48" t="s">
        <v>19</v>
      </c>
      <c r="O126" s="48">
        <f>IF((O129&gt;0),((100+(L127/-H130))/100))</f>
        <v>0.99901689535290417</v>
      </c>
      <c r="P126" s="42"/>
      <c r="Q126" s="48">
        <v>20</v>
      </c>
      <c r="R126" s="55">
        <f>R125+0.01</f>
        <v>0.69000000000000006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60">
        <v>134.80000000000001</v>
      </c>
      <c r="D127" s="60">
        <v>85</v>
      </c>
      <c r="E127" s="54">
        <f t="shared" si="7"/>
        <v>0.40894444444444444</v>
      </c>
      <c r="F127" s="43"/>
      <c r="G127" s="48" t="s">
        <v>39</v>
      </c>
      <c r="H127" s="48">
        <f>N140</f>
        <v>10</v>
      </c>
      <c r="I127" s="48">
        <f>O140</f>
        <v>11</v>
      </c>
      <c r="J127" s="53"/>
      <c r="K127" s="63" t="s">
        <v>21</v>
      </c>
      <c r="L127" s="64">
        <f>IF(Index!$C$4&gt;0,Index!$C$4*O124,Index!$C$4*O125)</f>
        <v>1.8023710390181091</v>
      </c>
      <c r="M127" s="43"/>
      <c r="N127" s="48" t="s">
        <v>22</v>
      </c>
      <c r="O127" s="48">
        <f>IF((O129&gt;0),((100+(L127/-I130))/100))</f>
        <v>0.99593243294262512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0.6577794486215538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60">
        <v>113.3</v>
      </c>
      <c r="D128" s="60">
        <v>63</v>
      </c>
      <c r="E128" s="54">
        <f t="shared" si="7"/>
        <v>0.30309999999999998</v>
      </c>
      <c r="F128" s="43"/>
      <c r="G128" s="54" t="s">
        <v>20</v>
      </c>
      <c r="H128" s="54">
        <f>H123/4</f>
        <v>11.063691914224005</v>
      </c>
      <c r="I128" s="54">
        <f>I123/4</f>
        <v>11.825401316836276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60">
        <v>93.8</v>
      </c>
      <c r="D129" s="60">
        <v>47</v>
      </c>
      <c r="E129" s="54">
        <f t="shared" si="7"/>
        <v>0.22612222222222222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0.66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60">
        <v>75.7</v>
      </c>
      <c r="D130" s="60">
        <v>35</v>
      </c>
      <c r="E130" s="54">
        <f t="shared" si="7"/>
        <v>0.16838888888888889</v>
      </c>
      <c r="F130" s="43"/>
      <c r="G130" s="48" t="s">
        <v>24</v>
      </c>
      <c r="H130" s="48">
        <f>IF('276'!O129&gt;('276'!C131-0.0001),'inf 276'!K11,'inf 276'!K19)</f>
        <v>18.333460678294916</v>
      </c>
      <c r="I130" s="48">
        <f>IF('276'!O129&gt;('276'!C131-0.0001),'inf 276'!L11,'inf 276'!L19)</f>
        <v>4.4310788576926123</v>
      </c>
      <c r="J130" s="43"/>
      <c r="K130" s="57" t="s">
        <v>28</v>
      </c>
      <c r="L130" s="58">
        <f>O123*Index!$D$4*$O$2</f>
        <v>4.5008000694319854</v>
      </c>
      <c r="M130" s="53"/>
      <c r="N130" s="43"/>
      <c r="O130" s="43"/>
      <c r="P130" s="42"/>
      <c r="Q130" s="54">
        <v>-5</v>
      </c>
      <c r="R130" s="69">
        <f>R129-0.01</f>
        <v>0.65</v>
      </c>
      <c r="S130" s="56">
        <v>1.26E-2</v>
      </c>
    </row>
    <row r="131" spans="2:19" ht="20.100000000000001" customHeight="1">
      <c r="B131" s="54">
        <f t="shared" si="8"/>
        <v>30</v>
      </c>
      <c r="C131" s="60">
        <v>58.4</v>
      </c>
      <c r="D131" s="60">
        <v>25</v>
      </c>
      <c r="E131" s="54">
        <f t="shared" si="7"/>
        <v>0.12027777777777778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1.680789381663305E-2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4.3710062822711064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1.6563419220607263</v>
      </c>
      <c r="P131" s="43"/>
      <c r="Q131" s="54">
        <v>-10</v>
      </c>
      <c r="R131" s="69">
        <f>R130-0.01</f>
        <v>0.64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60">
        <v>40.9</v>
      </c>
      <c r="D132" s="60">
        <v>17</v>
      </c>
      <c r="E132" s="54">
        <f t="shared" si="7"/>
        <v>8.1788888888888883E-2</v>
      </c>
      <c r="F132" s="43"/>
      <c r="G132" s="48" t="s">
        <v>29</v>
      </c>
      <c r="H132" s="48">
        <f>R127</f>
        <v>0.6577794486215538</v>
      </c>
      <c r="I132" s="48">
        <f>IF(Index!C4&gt;(-25+0.0001),'276'!R135,'276'!R143)</f>
        <v>0.68250000000000144</v>
      </c>
      <c r="J132" s="43"/>
      <c r="K132" s="61" t="s">
        <v>32</v>
      </c>
      <c r="L132" s="62">
        <f>O5*Index!D4*O123*1.25*(1-(L127*0.016))</f>
        <v>5.4637578528388833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0.91050016817940715</v>
      </c>
      <c r="P132" s="43"/>
      <c r="Q132" s="54">
        <v>-15</v>
      </c>
      <c r="R132" s="69">
        <f>R131-0.01</f>
        <v>0.63</v>
      </c>
      <c r="S132" s="56">
        <v>1.24E-2</v>
      </c>
    </row>
    <row r="133" spans="2:19" ht="20.100000000000001" customHeight="1">
      <c r="B133" s="54">
        <f t="shared" si="8"/>
        <v>10</v>
      </c>
      <c r="C133" s="60">
        <v>22.2</v>
      </c>
      <c r="D133" s="60">
        <v>9</v>
      </c>
      <c r="E133" s="54">
        <f t="shared" si="7"/>
        <v>4.3300000000000005E-2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109.60862591434936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117.22097450533499</v>
      </c>
      <c r="J133" s="43"/>
      <c r="K133" s="61" t="s">
        <v>33</v>
      </c>
      <c r="L133" s="62">
        <f>(100+(L131*2.75/-4))/100</f>
        <v>0.96994933180938614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1.4004003815900676</v>
      </c>
      <c r="P133" s="43"/>
      <c r="Q133" s="54">
        <v>-20</v>
      </c>
      <c r="R133" s="69">
        <f>R132-0.01</f>
        <v>0.62</v>
      </c>
      <c r="S133" s="56">
        <v>1.23E-2</v>
      </c>
    </row>
    <row r="134" spans="2:19" ht="20.100000000000001" customHeight="1">
      <c r="B134" s="54">
        <f>B133-10</f>
        <v>0</v>
      </c>
      <c r="C134" s="60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92.632946675159474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93.221445597384445</v>
      </c>
      <c r="J134" s="43"/>
      <c r="K134" s="61" t="s">
        <v>35</v>
      </c>
      <c r="L134" s="62">
        <f>(100+(L132*4/-6.25))/100</f>
        <v>0.96503194974183115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5.7440579210778253</v>
      </c>
      <c r="P134" s="43"/>
      <c r="Q134" s="54">
        <v>-25</v>
      </c>
      <c r="R134" s="69">
        <f>R133-0.01</f>
        <v>0.61</v>
      </c>
      <c r="S134" s="56">
        <v>1.2200000000000001E-2</v>
      </c>
    </row>
    <row r="135" spans="2:19" ht="20.100000000000001" customHeight="1">
      <c r="B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232.527614756747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0.68250000000000144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60">
        <v>205.4</v>
      </c>
      <c r="D136" s="60">
        <v>211</v>
      </c>
      <c r="E136" s="54">
        <f>D136/45*0.2165</f>
        <v>1.0151444444444444</v>
      </c>
      <c r="F136" s="43"/>
      <c r="G136" s="48">
        <v>107.5</v>
      </c>
      <c r="H136" s="54">
        <v>233.4</v>
      </c>
      <c r="I136" s="54">
        <v>1.3783000000000001</v>
      </c>
      <c r="J136" s="43"/>
      <c r="K136" s="63" t="s">
        <v>37</v>
      </c>
      <c r="L136" s="52">
        <f>O129+L127+L132</f>
        <v>242.36237889185699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60">
        <v>198.4</v>
      </c>
      <c r="D137" s="60">
        <v>193</v>
      </c>
      <c r="E137" s="54">
        <f>D137/45*0.2165</f>
        <v>0.92854444444444439</v>
      </c>
      <c r="F137" s="43"/>
      <c r="G137" s="54">
        <v>105</v>
      </c>
      <c r="H137" s="54">
        <v>226.4</v>
      </c>
      <c r="I137" s="54">
        <v>1.2892999999999999</v>
      </c>
      <c r="J137" s="43"/>
      <c r="K137" s="43"/>
      <c r="L137" s="43"/>
      <c r="M137" s="43"/>
      <c r="N137" s="61">
        <f>MOD(H125,20/72)</f>
        <v>0.16418146990491134</v>
      </c>
      <c r="O137" s="62">
        <f>MOD(I125,20/72)</f>
        <v>0.27653006089054377</v>
      </c>
      <c r="P137" s="43"/>
      <c r="Q137" s="54">
        <v>-30</v>
      </c>
      <c r="R137" s="69">
        <f>R134-0.01</f>
        <v>0.6</v>
      </c>
      <c r="S137" s="56">
        <v>1.1350000000000001E-2</v>
      </c>
    </row>
    <row r="138" spans="2:19" ht="20.100000000000001" customHeight="1">
      <c r="B138" s="54">
        <v>92.5</v>
      </c>
      <c r="C138" s="60">
        <v>191.5</v>
      </c>
      <c r="D138" s="60">
        <v>178</v>
      </c>
      <c r="E138" s="54">
        <f>D138/45*0.2165</f>
        <v>0.85637777777777779</v>
      </c>
      <c r="F138" s="43"/>
      <c r="G138" s="54">
        <v>102.5</v>
      </c>
      <c r="H138" s="54">
        <v>219.4</v>
      </c>
      <c r="I138" s="54">
        <v>1.2002999999999999</v>
      </c>
      <c r="J138" s="53"/>
      <c r="K138" s="54" t="s">
        <v>31</v>
      </c>
      <c r="L138" s="48">
        <f>O129+L127</f>
        <v>236.89862103901811</v>
      </c>
      <c r="M138" s="53"/>
      <c r="N138" s="61">
        <f>N137/(20/72)</f>
        <v>0.59105329165768083</v>
      </c>
      <c r="O138" s="62">
        <f>O137/(20/72)</f>
        <v>0.99550821920595756</v>
      </c>
      <c r="P138" s="53"/>
      <c r="Q138" s="54">
        <v>-35</v>
      </c>
      <c r="R138" s="69">
        <f>R137-0.01</f>
        <v>0.59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1</v>
      </c>
      <c r="O139" s="62">
        <f>IF(O138&lt;0.288,ROUNDDOWN(O138,0),ROUNDUP(O138,0))</f>
        <v>1</v>
      </c>
      <c r="P139" s="53"/>
      <c r="Q139" s="54">
        <v>-40</v>
      </c>
      <c r="R139" s="69">
        <f>R138-0.01</f>
        <v>0.57999999999999996</v>
      </c>
      <c r="S139" s="56">
        <v>1.115E-2</v>
      </c>
    </row>
    <row r="140" spans="2:19" ht="20.100000000000001" customHeight="1">
      <c r="B140" s="632" t="s">
        <v>121</v>
      </c>
      <c r="C140" s="632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1.197813633065582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1.2414923205282007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1.2602625934475256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1.0648996885650956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1.0788964597687427</v>
      </c>
      <c r="M140" s="43"/>
      <c r="N140" s="61">
        <f>IF(N137&lt;0.08,11,N141)</f>
        <v>10</v>
      </c>
      <c r="O140" s="62">
        <f>IF(O137&lt;0.08,11,O141)</f>
        <v>11</v>
      </c>
      <c r="P140" s="42"/>
      <c r="Q140" s="54">
        <v>-45</v>
      </c>
      <c r="R140" s="69">
        <f>R139-0.01</f>
        <v>0.56999999999999995</v>
      </c>
      <c r="S140" s="56">
        <v>1.1050000000000001E-2</v>
      </c>
    </row>
    <row r="141" spans="2:19" ht="20.100000000000001" customHeight="1">
      <c r="B141" s="60">
        <f>H125/100*(O122*0.2165)*Link!$C$7*0.79</f>
        <v>4.3836144180975358</v>
      </c>
      <c r="C141" s="48">
        <f>I125/100*(O122*0.2165)*Link!$C$7*0.79</f>
        <v>4.6880576200869912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1.1562356507810643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0.89603354212949415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0.95221687368377683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1.2924830565000021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1.0950369166820504</v>
      </c>
      <c r="M141" s="43"/>
      <c r="N141" s="63">
        <f>IF(N137&gt;(20/72)-0.08,11,10)</f>
        <v>10</v>
      </c>
      <c r="O141" s="64">
        <f>IF(O137&gt;(20/72)-0.08,11,10)</f>
        <v>11</v>
      </c>
      <c r="P141" s="42"/>
      <c r="Q141" s="54">
        <v>-50</v>
      </c>
      <c r="R141" s="69">
        <f>R140-0.01</f>
        <v>0.55999999999999994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0.54999999999999993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IF(Index!C4&gt;(-25+0.0001),'276'!S135,'276'!S143)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0.6679999999999211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26" t="s">
        <v>48</v>
      </c>
      <c r="C147" s="628"/>
      <c r="D147" s="628"/>
      <c r="E147" s="627"/>
      <c r="F147" s="43"/>
      <c r="G147" s="629" t="s">
        <v>48</v>
      </c>
      <c r="H147" s="630"/>
      <c r="I147" s="631"/>
      <c r="J147" s="43"/>
      <c r="K147" s="48" t="s">
        <v>7</v>
      </c>
      <c r="L147" s="53"/>
      <c r="M147" s="43"/>
      <c r="N147" s="54" t="s">
        <v>8</v>
      </c>
      <c r="O147" s="54">
        <f>O148/0.2165</f>
        <v>5.5405353307682406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30.430756774622488</v>
      </c>
      <c r="I148" s="48">
        <f>I149/0.2165</f>
        <v>30.838533701418481</v>
      </c>
      <c r="J148" s="43"/>
      <c r="K148" s="57" t="s">
        <v>11</v>
      </c>
      <c r="L148" s="58">
        <f>O148*$O$3*Index!$D$4</f>
        <v>4.5944507469576283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1.199525899111324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71">
        <v>298</v>
      </c>
      <c r="D149" s="60">
        <v>294</v>
      </c>
      <c r="E149" s="48">
        <f>D149/45*0.2165</f>
        <v>1.4144666666666665</v>
      </c>
      <c r="F149" s="42"/>
      <c r="G149" s="48" t="s">
        <v>7</v>
      </c>
      <c r="H149" s="48">
        <f>L150+O153+N158</f>
        <v>6.5882588417057688</v>
      </c>
      <c r="I149" s="48">
        <f>L151+O153+O158</f>
        <v>6.6765425463571013</v>
      </c>
      <c r="J149" s="43"/>
      <c r="K149" s="61" t="s">
        <v>13</v>
      </c>
      <c r="L149" s="62">
        <f>IF(L152&gt;0,L148*O151,L148*O152)</f>
        <v>4.4732241023194446</v>
      </c>
      <c r="M149" s="43"/>
      <c r="N149" s="48" t="s">
        <v>14</v>
      </c>
      <c r="O149" s="48">
        <f>R152*POWER(1.001,(C149-Index!B4))</f>
        <v>2.1438177095215947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71">
        <v>273.8</v>
      </c>
      <c r="D150" s="60">
        <v>275</v>
      </c>
      <c r="E150" s="48">
        <f>D150/45*0.2165</f>
        <v>1.3230555555555554</v>
      </c>
      <c r="F150" s="42"/>
      <c r="G150" s="48" t="s">
        <v>5</v>
      </c>
      <c r="H150" s="48">
        <f>IF(L160&lt;=C150,80+(L160-C151)/((C150-C151)/10),90+(L160-C150)/((C149-C150)/10))</f>
        <v>76.330606987955392</v>
      </c>
      <c r="I150" s="48">
        <f>IF(L161&lt;=C150,80+(L161-C151)/((C150-C151)/10),90+(L161-C150)/((C149-C150)/10))</f>
        <v>79.516724283190371</v>
      </c>
      <c r="J150" s="43"/>
      <c r="K150" s="61" t="s">
        <v>15</v>
      </c>
      <c r="L150" s="62">
        <f>L149*L158</f>
        <v>4.4732241023194446</v>
      </c>
      <c r="M150" s="43"/>
      <c r="N150" s="48" t="s">
        <v>16</v>
      </c>
      <c r="O150" s="48">
        <f>R161*POWER(1.001,(C149-Index!B4))</f>
        <v>1.420914798857517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71">
        <v>249.6</v>
      </c>
      <c r="D151" s="60">
        <v>258</v>
      </c>
      <c r="E151" s="48">
        <f>D151/45*0.2165</f>
        <v>1.2412666666666667</v>
      </c>
      <c r="F151" s="42"/>
      <c r="G151" s="48" t="s">
        <v>17</v>
      </c>
      <c r="H151" s="48" t="e">
        <f>INDEX('R276'!F291:F363,(ROUNDUP(((H150-80)/(20/72))+1,0)),1)</f>
        <v>#VALUE!</v>
      </c>
      <c r="I151" s="48" t="e">
        <f>INDEX('R276'!F291:F363,(ROUNDUP(((I150-80)/(20/72))+1,0)),1)</f>
        <v>#VALUE!</v>
      </c>
      <c r="J151" s="43"/>
      <c r="K151" s="61" t="s">
        <v>18</v>
      </c>
      <c r="L151" s="62">
        <f>L149/L159</f>
        <v>4.4732241023194446</v>
      </c>
      <c r="M151" s="43"/>
      <c r="N151" s="48" t="s">
        <v>19</v>
      </c>
      <c r="O151" s="48">
        <f>IF((Index!B4&gt;0),((100+(L152/-3.25))/100))</f>
        <v>0.97361455126742658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7.6076891936556219</v>
      </c>
      <c r="I152" s="48">
        <f>I148/4</f>
        <v>7.7096334253546202</v>
      </c>
      <c r="J152" s="43"/>
      <c r="K152" s="63" t="s">
        <v>21</v>
      </c>
      <c r="L152" s="64">
        <f>IF(Index!C4&gt;0,Index!C4*O149,Index!C4*O150)</f>
        <v>8.5752708380863787</v>
      </c>
      <c r="M152" s="43"/>
      <c r="N152" s="48" t="s">
        <v>22</v>
      </c>
      <c r="O152" s="48">
        <f>IF((Index!B4&gt;0),((100+(L152/-3.25))/100))</f>
        <v>0.97361455126742658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INDEX('R276'!G291:G363,(ROUNDUP(((Index!K17-80)/(20/72))+1,0)),1)</f>
        <v>#VALUE!</v>
      </c>
      <c r="I154" s="48" t="e">
        <f>INDEX('R276'!G291:G363,(ROUNDUP(((Index!L17-80)/(20/72))+1,0)),1)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1.3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3.8552019272343245</v>
      </c>
      <c r="M155" s="43"/>
      <c r="N155" s="48">
        <f>100*(L160-C150)*(L160-C151)/((C149-C150)*(C149-C151))+90*(L160-C149)*(L160-C151)/((C150-C149)*(C150-C151))+80*(L160-C149)*(L160-C150)/((C151-C149)*(C151-C150))</f>
        <v>76.330606987955406</v>
      </c>
      <c r="O155" s="48">
        <f>100*(L161-C150)*(L161-C151)/((C149-C150)*(C149-C151))+90*(L161-C149)*(L161-C151)/((C150-C149)*(C150-C151))+80*(L161-C149)*(L161-C150)/((C151-C149)*(C151-C150))</f>
        <v>79.516724283190385</v>
      </c>
      <c r="P155" s="53"/>
      <c r="Q155" s="48">
        <v>-10</v>
      </c>
      <c r="R155" s="55">
        <f t="shared" ref="R155:R160" si="9">R154-0.05</f>
        <v>1.25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3.8552019272343245</v>
      </c>
      <c r="M156" s="43"/>
      <c r="N156" s="53"/>
      <c r="O156" s="43"/>
      <c r="P156" s="53"/>
      <c r="Q156" s="48">
        <v>-20</v>
      </c>
      <c r="R156" s="55">
        <f t="shared" si="9"/>
        <v>1.2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3.8552019272343245</v>
      </c>
      <c r="M157" s="43"/>
      <c r="N157" s="632" t="s">
        <v>121</v>
      </c>
      <c r="O157" s="632"/>
      <c r="P157" s="42"/>
      <c r="Q157" s="48">
        <v>-30</v>
      </c>
      <c r="R157" s="55">
        <f t="shared" si="9"/>
        <v>1.1499999999999999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2.1150347393863242</v>
      </c>
      <c r="O158" s="48">
        <f>I150/100*(O147*0.2165)*Link!$C$7*0.639</f>
        <v>2.2033184440376563</v>
      </c>
      <c r="P158" s="42"/>
      <c r="Q158" s="48">
        <v>-40</v>
      </c>
      <c r="R158" s="55">
        <f t="shared" si="9"/>
        <v>1.0999999999999999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1.0499999999999998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240.72006891085204</v>
      </c>
      <c r="M160" s="42"/>
      <c r="N160" s="42"/>
      <c r="O160" s="42"/>
      <c r="P160" s="42"/>
      <c r="Q160" s="48">
        <v>-60</v>
      </c>
      <c r="R160" s="55">
        <f t="shared" si="9"/>
        <v>0.99999999999999978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248.4304727653207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1.3355348763943291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26" t="s">
        <v>47</v>
      </c>
      <c r="C165" s="628"/>
      <c r="D165" s="628"/>
      <c r="E165" s="627"/>
      <c r="F165" s="43"/>
      <c r="G165" s="629" t="s">
        <v>47</v>
      </c>
      <c r="H165" s="630"/>
      <c r="I165" s="631"/>
      <c r="J165" s="43"/>
      <c r="K165" s="48" t="s">
        <v>7</v>
      </c>
      <c r="L165" s="53"/>
      <c r="M165" s="43"/>
      <c r="N165" s="48" t="s">
        <v>8</v>
      </c>
      <c r="O165" s="48">
        <f>O166/0.2165</f>
        <v>4.3335311824022629</v>
      </c>
      <c r="P165" s="42"/>
      <c r="Q165" s="48">
        <v>1</v>
      </c>
      <c r="R165" s="55">
        <v>0.66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31.041596016610516</v>
      </c>
      <c r="I166" s="48">
        <f>I167/0.2165</f>
        <v>32.040066938051496</v>
      </c>
      <c r="J166" s="43"/>
      <c r="K166" s="57" t="s">
        <v>11</v>
      </c>
      <c r="L166" s="58">
        <f>O166*$O$3*Index!$D$4</f>
        <v>3.5935508735744381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0.93820950099008982</v>
      </c>
      <c r="P166" s="42"/>
      <c r="Q166" s="48">
        <v>5</v>
      </c>
      <c r="R166" s="55">
        <f>R165+0.01</f>
        <v>0.67</v>
      </c>
      <c r="S166" s="56">
        <v>1.3100000000000001E-2</v>
      </c>
    </row>
    <row r="167" spans="2:19" ht="20.100000000000001" customHeight="1">
      <c r="B167" s="59">
        <v>100</v>
      </c>
      <c r="C167" s="71">
        <v>259.35000000000002</v>
      </c>
      <c r="D167" s="60">
        <v>258</v>
      </c>
      <c r="E167" s="48">
        <f t="shared" ref="E167:E172" si="10">D167/45*0.2165</f>
        <v>1.2412666666666667</v>
      </c>
      <c r="F167" s="43"/>
      <c r="G167" s="48" t="s">
        <v>7</v>
      </c>
      <c r="H167" s="48">
        <f>L168+O171+B179</f>
        <v>6.7205055375961766</v>
      </c>
      <c r="I167" s="48">
        <f>L169+O171+C179</f>
        <v>6.9366744920881489</v>
      </c>
      <c r="J167" s="43"/>
      <c r="K167" s="61" t="s">
        <v>13</v>
      </c>
      <c r="L167" s="62">
        <f>IF(L170&gt;0,L166*O169,L166*O170)</f>
        <v>3.5561783527798232</v>
      </c>
      <c r="M167" s="43"/>
      <c r="N167" s="48" t="s">
        <v>14</v>
      </c>
      <c r="O167" s="48">
        <f>H175*POWER((1+(H174)),C167-O172)</f>
        <v>0.91233408313802355</v>
      </c>
      <c r="P167" s="42"/>
      <c r="Q167" s="48">
        <v>10</v>
      </c>
      <c r="R167" s="55">
        <f>R166+0.01</f>
        <v>0.68</v>
      </c>
      <c r="S167" s="56">
        <v>1.3299999999999999E-2</v>
      </c>
    </row>
    <row r="168" spans="2:19" ht="20.100000000000001" customHeight="1">
      <c r="B168" s="59">
        <v>90</v>
      </c>
      <c r="C168" s="71">
        <v>223.4</v>
      </c>
      <c r="D168" s="60">
        <v>170</v>
      </c>
      <c r="E168" s="48">
        <f t="shared" si="10"/>
        <v>0.81788888888888889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93.475401835006295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95.26954896693411</v>
      </c>
      <c r="J168" s="43"/>
      <c r="K168" s="61" t="s">
        <v>15</v>
      </c>
      <c r="L168" s="62">
        <f>L167*L176</f>
        <v>3.4867615012928392</v>
      </c>
      <c r="M168" s="43"/>
      <c r="N168" s="48" t="s">
        <v>16</v>
      </c>
      <c r="O168" s="48">
        <f>I175*POWER((1+(I174)),C167-O172)</f>
        <v>0.65210697527886763</v>
      </c>
      <c r="P168" s="42"/>
      <c r="Q168" s="48">
        <v>15</v>
      </c>
      <c r="R168" s="55">
        <f>R167+0.01</f>
        <v>0.69000000000000006</v>
      </c>
      <c r="S168" s="56">
        <v>1.35E-2</v>
      </c>
    </row>
    <row r="169" spans="2:19" ht="20.100000000000001" customHeight="1">
      <c r="B169" s="59">
        <v>80</v>
      </c>
      <c r="C169" s="71">
        <v>188.6</v>
      </c>
      <c r="D169" s="60">
        <v>112</v>
      </c>
      <c r="E169" s="48">
        <f t="shared" si="10"/>
        <v>0.53884444444444446</v>
      </c>
      <c r="F169" s="42"/>
      <c r="G169" s="48" t="s">
        <v>17</v>
      </c>
      <c r="H169" s="48">
        <f>IF(N180=0,INDEX('R276'!E183:E363,(ROUNDDOWN(((H168-50)/(20/72)+1),0)),1),INDEX('R276'!E183:E363,(ROUNDUP(((H168-50)/(20/72))+1,0)),1))</f>
        <v>258.36666666666702</v>
      </c>
      <c r="I169" s="48">
        <f>IF(O180=0,INDEX('R276'!E183:E363,(ROUNDDOWN(((I168-50)/(20/72)+1),0)),1),INDEX('R276'!E183:E363,(ROUNDUP(((I168-50)/(20/72))+1,0)),1))</f>
        <v>262.96666666666692</v>
      </c>
      <c r="J169" s="43"/>
      <c r="K169" s="61" t="s">
        <v>18</v>
      </c>
      <c r="L169" s="62">
        <f>L167/L177</f>
        <v>3.6408626553343448</v>
      </c>
      <c r="M169" s="43"/>
      <c r="N169" s="48" t="s">
        <v>19</v>
      </c>
      <c r="O169" s="48">
        <f>IF((O172&gt;0),((100+(L170/-H173))/100))</f>
        <v>0.98960011361758149</v>
      </c>
      <c r="P169" s="42"/>
      <c r="Q169" s="48">
        <v>20</v>
      </c>
      <c r="R169" s="55">
        <f>R168+0.01</f>
        <v>0.70000000000000007</v>
      </c>
      <c r="S169" s="56">
        <v>1.38E-2</v>
      </c>
    </row>
    <row r="170" spans="2:19" ht="20.100000000000001" customHeight="1">
      <c r="B170" s="59">
        <v>70</v>
      </c>
      <c r="C170" s="71">
        <v>157</v>
      </c>
      <c r="D170" s="60">
        <v>75</v>
      </c>
      <c r="E170" s="48">
        <f t="shared" si="10"/>
        <v>0.36083333333333334</v>
      </c>
      <c r="F170" s="42"/>
      <c r="G170" s="48" t="s">
        <v>39</v>
      </c>
      <c r="H170" s="48">
        <f>N181</f>
        <v>29</v>
      </c>
      <c r="I170" s="48">
        <f>O181</f>
        <v>30</v>
      </c>
      <c r="J170" s="43"/>
      <c r="K170" s="63" t="s">
        <v>21</v>
      </c>
      <c r="L170" s="64">
        <f>IF(Index!$C$4&gt;0,Index!$C$4*O167,Index!$C$4*O168)</f>
        <v>3.6493363325520942</v>
      </c>
      <c r="M170" s="43"/>
      <c r="N170" s="48" t="s">
        <v>22</v>
      </c>
      <c r="O170" s="48">
        <f>IF((O172&gt;0),((100+(L170/-I173))/100))</f>
        <v>0.9898709313184697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0.66777944862155403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71">
        <v>129.19999999999999</v>
      </c>
      <c r="D171" s="60">
        <v>51</v>
      </c>
      <c r="E171" s="48">
        <f t="shared" si="10"/>
        <v>0.24536666666666665</v>
      </c>
      <c r="F171" s="42"/>
      <c r="G171" s="54" t="s">
        <v>20</v>
      </c>
      <c r="H171" s="54">
        <f>H166/4</f>
        <v>7.760399004152629</v>
      </c>
      <c r="I171" s="48">
        <f>I166/4</f>
        <v>8.0100167345128739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71">
        <v>104.9</v>
      </c>
      <c r="D172" s="60">
        <v>36</v>
      </c>
      <c r="E172" s="48">
        <f t="shared" si="10"/>
        <v>0.17320000000000002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'276'!$J$14</f>
        <v>235.09625</v>
      </c>
      <c r="P172" s="42"/>
      <c r="Q172" s="48">
        <v>-1</v>
      </c>
      <c r="R172" s="55">
        <v>0.64500000000000002</v>
      </c>
      <c r="S172" s="56">
        <v>1.2699999999999999E-2</v>
      </c>
    </row>
    <row r="173" spans="2:19" ht="20.100000000000001" customHeight="1">
      <c r="B173" s="43"/>
      <c r="E173" s="43"/>
      <c r="F173" s="42"/>
      <c r="G173" s="54" t="s">
        <v>24</v>
      </c>
      <c r="H173" s="48">
        <f>'inf 276'!O9</f>
        <v>3.5090155780177139</v>
      </c>
      <c r="I173" s="48">
        <f>'inf 276'!P9</f>
        <v>3.6028350160231635</v>
      </c>
      <c r="J173" s="43"/>
      <c r="K173" s="57" t="s">
        <v>28</v>
      </c>
      <c r="L173" s="58">
        <f>O166*Index!$D$4*$O$2</f>
        <v>3.0153472126331033</v>
      </c>
      <c r="M173" s="43"/>
      <c r="N173" s="42"/>
      <c r="O173" s="42"/>
      <c r="P173" s="43"/>
      <c r="Q173" s="48">
        <v>-10</v>
      </c>
      <c r="R173" s="55">
        <f t="shared" ref="R173:R178" si="11">R172-0.01</f>
        <v>0.63500000000000001</v>
      </c>
      <c r="S173" s="56">
        <v>1.2500000000000001E-2</v>
      </c>
    </row>
    <row r="174" spans="2:19" ht="20.100000000000001" customHeight="1">
      <c r="B174" s="54">
        <v>97.5</v>
      </c>
      <c r="C174" s="71">
        <v>250.5</v>
      </c>
      <c r="D174" s="60">
        <v>233</v>
      </c>
      <c r="E174" s="54">
        <f>D174/45*0.2165</f>
        <v>1.120988888888889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1.2949103972853869E-2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$O$5*Index!$D$4*O166*1*(1-(L170*0.016))</f>
        <v>2.8392829544199567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0.9382060652243448</v>
      </c>
      <c r="P174" s="43"/>
      <c r="Q174" s="48">
        <v>-20</v>
      </c>
      <c r="R174" s="55">
        <f t="shared" si="11"/>
        <v>0.625</v>
      </c>
      <c r="S174" s="56">
        <v>1.23E-2</v>
      </c>
    </row>
    <row r="175" spans="2:19" ht="20.100000000000001" customHeight="1">
      <c r="B175" s="54">
        <v>95</v>
      </c>
      <c r="C175" s="71">
        <v>241.5</v>
      </c>
      <c r="D175" s="60">
        <v>210</v>
      </c>
      <c r="E175" s="54">
        <f>D175/45*0.2165</f>
        <v>1.0103333333333333</v>
      </c>
      <c r="F175" s="43"/>
      <c r="G175" s="54" t="s">
        <v>29</v>
      </c>
      <c r="H175" s="54">
        <f>R170</f>
        <v>0.66777944862155403</v>
      </c>
      <c r="I175" s="48">
        <f>R179</f>
        <v>0.65210697527886763</v>
      </c>
      <c r="J175" s="43"/>
      <c r="K175" s="61" t="s">
        <v>32</v>
      </c>
      <c r="L175" s="62">
        <f>O5*Index!D4*O166*1.28*(1-(L170*0.016))</f>
        <v>3.6342821816575444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0.93820950099008982</v>
      </c>
      <c r="P175" s="43"/>
      <c r="Q175" s="48">
        <v>-30</v>
      </c>
      <c r="R175" s="55">
        <f t="shared" si="11"/>
        <v>0.61499999999999999</v>
      </c>
      <c r="S175" s="56">
        <v>1.1350000000000001E-2</v>
      </c>
    </row>
    <row r="176" spans="2:19" ht="20.100000000000001" customHeight="1">
      <c r="B176" s="54">
        <v>92.5</v>
      </c>
      <c r="C176" s="71">
        <v>232.4</v>
      </c>
      <c r="D176" s="60">
        <v>189</v>
      </c>
      <c r="E176" s="54">
        <f>D176/45*0.2165</f>
        <v>0.9093</v>
      </c>
      <c r="F176" s="43"/>
      <c r="J176" s="42"/>
      <c r="K176" s="61" t="s">
        <v>33</v>
      </c>
      <c r="L176" s="62">
        <f>(100+(L174*2.75/-4))/100</f>
        <v>0.98047992968836284</v>
      </c>
      <c r="M176" s="42"/>
      <c r="N176" s="43"/>
      <c r="O176" s="43"/>
      <c r="P176" s="43"/>
      <c r="Q176" s="48">
        <v>-40</v>
      </c>
      <c r="R176" s="55">
        <f t="shared" si="11"/>
        <v>0.60499999999999998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0.99362803344187056</v>
      </c>
      <c r="I177" s="48">
        <f>1.1*(O172-C169)*(O172-C171)/((C167-C169)*(C167-C171))+0.911*(O172-C167)*(O172-C171)/((C169-C167)*(C169-C171))+0.772*(O172-C167)*(O172-C169)/((C171-C167)*(C171-C169))</f>
        <v>1.0323383611410331</v>
      </c>
      <c r="J177" s="43"/>
      <c r="K177" s="61" t="s">
        <v>35</v>
      </c>
      <c r="L177" s="62">
        <f>(100+(L175*4/-6.25))/100</f>
        <v>0.97674059403739166</v>
      </c>
      <c r="M177" s="43"/>
      <c r="N177" s="57" t="s">
        <v>43</v>
      </c>
      <c r="O177" s="46"/>
      <c r="P177" s="43"/>
      <c r="Q177" s="48">
        <v>-50</v>
      </c>
      <c r="R177" s="55">
        <f t="shared" si="11"/>
        <v>0.59499999999999997</v>
      </c>
      <c r="S177" s="56">
        <v>1.095E-2</v>
      </c>
    </row>
    <row r="178" spans="2:19" ht="20.100000000000001" customHeight="1">
      <c r="B178" s="632" t="s">
        <v>121</v>
      </c>
      <c r="C178" s="632"/>
      <c r="D178" s="65"/>
      <c r="E178" s="65"/>
      <c r="F178" s="43"/>
      <c r="G178" s="43"/>
      <c r="H178" s="48">
        <f>1.1*(O172-C169)*(O172-C171)/((C167-C169)*(C167-C171))+0.912*(O172-C167)*(O172-C171)/((C169-C167)*(C169-C171))+0.835*(O172-C167)*(O172-C169)/((C171-C167)*(C171-C169))</f>
        <v>1.0237596946730934</v>
      </c>
      <c r="I178" s="54">
        <f>1*(O172-C169)*(O172-C171)/((C167-C169)*(C167-C171))+0.903*(O172-C167)*(O172-C171)/((C169-C167)*(C169-C171))+0.76*(O172-C167)*(O172-C169)/((C171-C167)*(C171-C169))</f>
        <v>0.97572743560763264</v>
      </c>
      <c r="J178" s="43"/>
      <c r="K178" s="61" t="s">
        <v>36</v>
      </c>
      <c r="L178" s="62">
        <f>O172+L170-L174</f>
        <v>235.90630337813212</v>
      </c>
      <c r="M178" s="43"/>
      <c r="N178" s="61">
        <f>MOD(H168,20/72)</f>
        <v>0.14206850167295748</v>
      </c>
      <c r="O178" s="62">
        <f>MOD(I168,20/72)</f>
        <v>0.26954896693410579</v>
      </c>
      <c r="P178" s="43"/>
      <c r="Q178" s="48">
        <v>-60</v>
      </c>
      <c r="R178" s="55">
        <f t="shared" si="11"/>
        <v>0.58499999999999996</v>
      </c>
      <c r="S178" s="56">
        <v>1.0749999999999999E-2</v>
      </c>
    </row>
    <row r="179" spans="2:19" ht="20.100000000000001" customHeight="1">
      <c r="B179" s="60">
        <f>H168/100*(O165*0.2165)*Link!$C$7*1.02</f>
        <v>3.2337440363033378</v>
      </c>
      <c r="C179" s="48">
        <f>I168/100*(O165*0.2165)*Link!$C$7*1.02</f>
        <v>3.2958118367538041</v>
      </c>
      <c r="D179" s="43"/>
      <c r="E179" s="43"/>
      <c r="F179" s="43"/>
      <c r="G179" s="43"/>
      <c r="H179" s="48">
        <f>1.04*(O172-C169)*(O172-C171)/((C167-C169)*(C167-C171))+0.909*(O172-C167)*(O172-C171)/((C169-C167)*(C169-C171))+0.853*(O172-C167)*(O172-C169)/((C171-C167)*(C171-C169))</f>
        <v>0.98721728034765799</v>
      </c>
      <c r="I179" s="48">
        <f>1*(O172-C169)*(O172-C171)/((C167-C169)*(C167-C171))+0.9*(O172-C167)*(O172-C171)/((C169-C167)*(C169-C171))+0.752*(O172-C167)*(O172-C169)/((C171-C167)*(C171-C169))</f>
        <v>0.97506095139151727</v>
      </c>
      <c r="J179" s="43"/>
      <c r="K179" s="63" t="s">
        <v>37</v>
      </c>
      <c r="L179" s="64">
        <f>O172+L170+L175</f>
        <v>242.37986851420962</v>
      </c>
      <c r="M179" s="43"/>
      <c r="N179" s="61">
        <f>N178/(20/72)</f>
        <v>0.51144660602264691</v>
      </c>
      <c r="O179" s="62">
        <f>O178/(20/72)</f>
        <v>0.97037628096278084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0.65210697527886763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1.6066396227884815E-2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0.98892217032158847</v>
      </c>
      <c r="I180" s="48">
        <f>1.13*(O172-C169)*(O172-C171)/((C167-C169)*(C167-C171))+0.886*(O172-C167)*(O172-C171)/((C169-C167)*(C169-C171))+0.721*(O172-C167)*(O172-C169)/((C171-C167)*(C171-C169))</f>
        <v>1.040540682237614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1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0.99430863123961377</v>
      </c>
      <c r="I181" s="54">
        <f>1.2*(O172-C169)*(O172-C171)/((C167-C169)*(C167-C171))+0.85*(O172-C167)*(O172-C171)/((C169-C167)*(C169-C171))+0.64*(O172-C167)*(O172-C169)/((C171-C167)*(C171-C169))</f>
        <v>1.0677853466938474</v>
      </c>
      <c r="J181" s="43"/>
      <c r="K181" s="48" t="s">
        <v>31</v>
      </c>
      <c r="L181" s="48">
        <f>O172+L170</f>
        <v>238.74558633255208</v>
      </c>
      <c r="M181" s="43"/>
      <c r="N181" s="61">
        <f>IF(N178&lt;0.08,30,N182)</f>
        <v>29</v>
      </c>
      <c r="O181" s="62">
        <f>IF(O178&lt;0.08,30,O182)</f>
        <v>30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29</v>
      </c>
      <c r="O182" s="64">
        <f>IF(O178&gt;(20/72)-0.08,30,29)</f>
        <v>30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26" t="s">
        <v>49</v>
      </c>
      <c r="C186" s="628"/>
      <c r="D186" s="628"/>
      <c r="E186" s="627"/>
      <c r="F186" s="43"/>
      <c r="G186" s="629" t="s">
        <v>49</v>
      </c>
      <c r="H186" s="630"/>
      <c r="I186" s="631"/>
      <c r="J186" s="43"/>
      <c r="K186" s="48" t="s">
        <v>7</v>
      </c>
      <c r="L186" s="53"/>
      <c r="M186" s="43"/>
      <c r="N186" s="48" t="s">
        <v>8</v>
      </c>
      <c r="O186" s="54">
        <f>O187/0.2165</f>
        <v>3.8344851530188451</v>
      </c>
      <c r="P186" s="43"/>
      <c r="Q186" s="48">
        <v>1</v>
      </c>
      <c r="R186" s="55">
        <v>0.65600000000000003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27.019951470699574</v>
      </c>
      <c r="I187" s="48">
        <f>I188/0.2165</f>
        <v>27.779407675858057</v>
      </c>
      <c r="J187" s="43"/>
      <c r="K187" s="57" t="s">
        <v>11</v>
      </c>
      <c r="L187" s="58">
        <f>O187*$O$3*Index!$D$4</f>
        <v>3.1797203922969257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0.83016603562857993</v>
      </c>
      <c r="P187" s="43"/>
      <c r="Q187" s="48">
        <v>5</v>
      </c>
      <c r="R187" s="55">
        <f>R186+0.01</f>
        <v>0.66600000000000004</v>
      </c>
      <c r="S187" s="56">
        <v>1.3100000000000001E-2</v>
      </c>
    </row>
    <row r="188" spans="2:19" ht="20.100000000000001" customHeight="1">
      <c r="B188" s="59">
        <v>100</v>
      </c>
      <c r="C188" s="71">
        <v>272.55</v>
      </c>
      <c r="D188" s="60">
        <v>264</v>
      </c>
      <c r="E188" s="54">
        <f>D188/45*0.2165</f>
        <v>1.2701333333333333</v>
      </c>
      <c r="F188" s="43"/>
      <c r="G188" s="48" t="s">
        <v>7</v>
      </c>
      <c r="H188" s="48">
        <f>L189+O192+B194</f>
        <v>5.849819493406458</v>
      </c>
      <c r="I188" s="48">
        <f>L190+O192+C194</f>
        <v>6.0142417618232695</v>
      </c>
      <c r="J188" s="43"/>
      <c r="K188" s="61" t="s">
        <v>13</v>
      </c>
      <c r="L188" s="62">
        <f>IF(L191&gt;0,L187*O190,L187*O191)</f>
        <v>3.1443276454654931</v>
      </c>
      <c r="M188" s="43"/>
      <c r="N188" s="48" t="s">
        <v>14</v>
      </c>
      <c r="O188" s="48">
        <f>H196*POWER(H195,(C188-O193))</f>
        <v>1.0318752631643824</v>
      </c>
      <c r="P188" s="42"/>
      <c r="Q188" s="48">
        <v>10</v>
      </c>
      <c r="R188" s="55">
        <f>R187+0.01</f>
        <v>0.67600000000000005</v>
      </c>
      <c r="S188" s="56">
        <v>1.3299999999999999E-2</v>
      </c>
    </row>
    <row r="189" spans="2:19" ht="20.100000000000001" customHeight="1">
      <c r="B189" s="59">
        <v>90</v>
      </c>
      <c r="C189" s="71">
        <v>236.3</v>
      </c>
      <c r="D189" s="60">
        <v>175</v>
      </c>
      <c r="E189" s="54">
        <f>D189/45*0.2165</f>
        <v>0.84194444444444438</v>
      </c>
      <c r="F189" s="43"/>
      <c r="G189" s="48" t="s">
        <v>5</v>
      </c>
      <c r="H189" s="48">
        <f>IF(L199&lt;=C189,80+(L199-C190)/((C189-C190)/10),90+(L199-C189)/((C188-C189)/10))</f>
        <v>90.126005342331737</v>
      </c>
      <c r="I189" s="48">
        <f>IF(L200&lt;=C189,80+(L200-C190)/((C189-C190)/10),90+(L200-C189)/((C188-C189)/10))</f>
        <v>91.665828115781864</v>
      </c>
      <c r="J189" s="43"/>
      <c r="K189" s="61" t="s">
        <v>15</v>
      </c>
      <c r="L189" s="62">
        <f>L188*L197</f>
        <v>3.0909982792767439</v>
      </c>
      <c r="M189" s="43"/>
      <c r="N189" s="48" t="s">
        <v>16</v>
      </c>
      <c r="O189" s="48">
        <f>I196*POWER(I195,(C188-O193))</f>
        <v>1.0747681921692294</v>
      </c>
      <c r="P189" s="42"/>
      <c r="Q189" s="48">
        <v>15</v>
      </c>
      <c r="R189" s="55">
        <v>0.68</v>
      </c>
      <c r="S189" s="56">
        <v>1.35E-2</v>
      </c>
    </row>
    <row r="190" spans="2:19" ht="20.100000000000001" customHeight="1">
      <c r="B190" s="59">
        <v>80</v>
      </c>
      <c r="C190" s="71">
        <v>201.2</v>
      </c>
      <c r="D190" s="60">
        <v>117</v>
      </c>
      <c r="E190" s="54">
        <f>D190/45*0.2165</f>
        <v>0.56290000000000007</v>
      </c>
      <c r="F190" s="43"/>
      <c r="G190" s="48" t="s">
        <v>17</v>
      </c>
      <c r="H190" s="48">
        <f>IF(N200=0,INDEX('R276'!F255:F363,(ROUNDDOWN(((H189-70)/(20/72)+1),0)),1),INDEX('R276'!F255:F363,(ROUNDUP(((H189-70)/(20/72))+1,0)),1))</f>
        <v>263.6111111111104</v>
      </c>
      <c r="I190" s="48">
        <f>IF(O200=0,INDEX('R276'!F255:F363,(ROUNDDOWN(((I189-70)/(20/72)+1),0)),1),INDEX('R276'!F255:F363,(ROUNDUP(((I189-70)/(20/72))+1,0)),1))</f>
        <v>267.66666666666606</v>
      </c>
      <c r="J190" s="43"/>
      <c r="K190" s="61" t="s">
        <v>18</v>
      </c>
      <c r="L190" s="62">
        <f>L188/L198</f>
        <v>3.2082854758876049</v>
      </c>
      <c r="M190" s="43"/>
      <c r="N190" s="48" t="s">
        <v>19</v>
      </c>
      <c r="O190" s="48">
        <f>IF((O193&gt;0),((100+(L191/-H194))/100))</f>
        <v>0.98886922670396626</v>
      </c>
      <c r="P190" s="42"/>
      <c r="Q190" s="48">
        <v>20</v>
      </c>
      <c r="R190" s="55">
        <f>R189+0.01</f>
        <v>0.69000000000000006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29</v>
      </c>
      <c r="I191" s="48">
        <f>O201</f>
        <v>30</v>
      </c>
      <c r="J191" s="43"/>
      <c r="K191" s="63" t="s">
        <v>21</v>
      </c>
      <c r="L191" s="64">
        <f>IF(Index!$C$4&gt;0,Index!$C$4*O188,Index!$C$4*O189)</f>
        <v>4.1275010526575295</v>
      </c>
      <c r="M191" s="43"/>
      <c r="N191" s="48" t="s">
        <v>22</v>
      </c>
      <c r="O191" s="48">
        <f>IF((O193&gt;0),((100+(L191/-I194))/100))</f>
        <v>0.98859890927363414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0.66336910275689231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6.7549878676748936</v>
      </c>
      <c r="I192" s="48">
        <f>I187/4</f>
        <v>6.9448519189645141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32" t="s">
        <v>121</v>
      </c>
      <c r="C193" s="632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'276'!$J$14</f>
        <v>235.09625</v>
      </c>
      <c r="P193" s="42"/>
      <c r="Q193" s="48">
        <v>-1</v>
      </c>
      <c r="R193" s="55">
        <v>0.6</v>
      </c>
      <c r="S193" s="56">
        <v>1.2699999999999999E-2</v>
      </c>
    </row>
    <row r="194" spans="2:19" ht="20.100000000000001" customHeight="1">
      <c r="B194" s="60">
        <f>H189/100*(O186*0.2165)*Link!$C$7*1.02</f>
        <v>2.7588212141297141</v>
      </c>
      <c r="C194" s="48">
        <f>I189/100*(O186*0.2165)*Link!$C$7*1.02</f>
        <v>2.8059562859356642</v>
      </c>
      <c r="D194" s="43"/>
      <c r="E194" s="43"/>
      <c r="F194" s="43"/>
      <c r="G194" s="54" t="s">
        <v>24</v>
      </c>
      <c r="H194" s="48">
        <f>'inf 276'!C31</f>
        <v>3.7081889486764537</v>
      </c>
      <c r="I194" s="48">
        <f>'inf 276'!D31</f>
        <v>3.6202685793143834</v>
      </c>
      <c r="J194" s="43"/>
      <c r="K194" s="57" t="s">
        <v>28</v>
      </c>
      <c r="L194" s="58">
        <f>O187*Index!$D$4*$O$2</f>
        <v>2.6681022084232269</v>
      </c>
      <c r="M194" s="43"/>
      <c r="N194" s="43"/>
      <c r="O194" s="42"/>
      <c r="P194" s="42"/>
      <c r="Q194" s="48">
        <v>-10</v>
      </c>
      <c r="R194" s="55">
        <f>R193-0.02</f>
        <v>0.57999999999999996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1.0118657683797472</v>
      </c>
      <c r="I195" s="48">
        <f>(1+(I197*S200))</f>
        <v>1.0144420100283367</v>
      </c>
      <c r="J195" s="43"/>
      <c r="K195" s="61" t="s">
        <v>30</v>
      </c>
      <c r="L195" s="62">
        <f>$O$5*Index!$D$4*O187*0.99*(1-(L191*0.016))</f>
        <v>2.466981686704977</v>
      </c>
      <c r="M195" s="42"/>
      <c r="N195" s="54" t="s">
        <v>31</v>
      </c>
      <c r="O195" s="48">
        <f>O193+L191</f>
        <v>239.22375105265752</v>
      </c>
      <c r="P195" s="42"/>
      <c r="Q195" s="48">
        <v>-20</v>
      </c>
      <c r="R195" s="55">
        <f>R194-0.01</f>
        <v>0.56999999999999995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0.66336910275689231</v>
      </c>
      <c r="I196" s="48">
        <f>R200</f>
        <v>0.62817672806752678</v>
      </c>
      <c r="J196" s="43"/>
      <c r="K196" s="61" t="s">
        <v>32</v>
      </c>
      <c r="L196" s="62">
        <f>$O$5*Index!$D$4*O187*1.25*(1-(L191*0.016))</f>
        <v>3.1148758670517385</v>
      </c>
      <c r="M196" s="42"/>
      <c r="N196" s="43"/>
      <c r="O196" s="43"/>
      <c r="P196" s="53"/>
      <c r="Q196" s="48">
        <v>-30</v>
      </c>
      <c r="R196" s="55">
        <f>R195-0.01</f>
        <v>0.55999999999999994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0.91050007206377948</v>
      </c>
      <c r="I197" s="54">
        <f>1*(O193-C189)*(O193-C190)/((C188-C189)*(C188-C190))+0.903*(O193-C188)*(O193-C190)/((C189-C188)*(C189-C190))+0.76*(O193-C188)*(O193-C189)/((C190-C188)*(C190-C189))</f>
        <v>0.89889542268795952</v>
      </c>
      <c r="J197" s="43"/>
      <c r="K197" s="61" t="s">
        <v>33</v>
      </c>
      <c r="L197" s="62">
        <f>(100+(L195*2.75/-4))/100</f>
        <v>0.98303950090390335</v>
      </c>
      <c r="M197" s="42"/>
      <c r="N197" s="57" t="s">
        <v>43</v>
      </c>
      <c r="O197" s="58"/>
      <c r="P197" s="53"/>
      <c r="Q197" s="48">
        <v>-40</v>
      </c>
      <c r="R197" s="55">
        <f>R196-0.01</f>
        <v>0.54999999999999993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0.9800647944508688</v>
      </c>
      <c r="M198" s="42"/>
      <c r="N198" s="61">
        <f>MOD(H189,20/72)</f>
        <v>0.12600534233173333</v>
      </c>
      <c r="O198" s="62">
        <f>MOD(I189,20/72)</f>
        <v>0.27693922689297057</v>
      </c>
      <c r="P198" s="53"/>
      <c r="Q198" s="48">
        <v>-50</v>
      </c>
      <c r="R198" s="55">
        <f>R197-0.01</f>
        <v>0.53999999999999992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236.75676936595255</v>
      </c>
      <c r="M199" s="42"/>
      <c r="N199" s="61">
        <f>N198/(20/72)</f>
        <v>0.45361923239423996</v>
      </c>
      <c r="O199" s="62">
        <f>O198/(20/72)</f>
        <v>0.99698121681469398</v>
      </c>
      <c r="P199" s="53"/>
      <c r="Q199" s="48">
        <v>-60</v>
      </c>
      <c r="R199" s="55">
        <f>R198-0.01</f>
        <v>0.52999999999999992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242.33862691970927</v>
      </c>
      <c r="M200" s="43"/>
      <c r="N200" s="61">
        <f>IF(N199&lt;0.288,ROUNDDOWN(N199,0),ROUNDUP(N199,0))</f>
        <v>1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0.62817672806752678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29</v>
      </c>
      <c r="O201" s="62">
        <f>IF(O198&lt;0.08,30,O202)</f>
        <v>30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30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26" t="s">
        <v>68</v>
      </c>
      <c r="C206" s="628"/>
      <c r="D206" s="628"/>
      <c r="E206" s="627"/>
      <c r="F206" s="43"/>
      <c r="G206" s="629" t="s">
        <v>68</v>
      </c>
      <c r="H206" s="630"/>
      <c r="I206" s="631"/>
      <c r="J206" s="43"/>
      <c r="K206" s="48" t="s">
        <v>7</v>
      </c>
      <c r="L206" s="53"/>
      <c r="M206" s="43"/>
      <c r="N206" s="48" t="s">
        <v>8</v>
      </c>
      <c r="O206" s="54">
        <f>O207/0.2165</f>
        <v>3.5829916419766108</v>
      </c>
      <c r="P206" s="43"/>
      <c r="Q206" s="48">
        <v>1</v>
      </c>
      <c r="R206" s="55">
        <v>0.66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25.01418719462432</v>
      </c>
      <c r="I207" s="48">
        <f>I208/0.2165</f>
        <v>25.679588622805227</v>
      </c>
      <c r="J207" s="43"/>
      <c r="K207" s="57" t="s">
        <v>11</v>
      </c>
      <c r="L207" s="58">
        <f>O207*$O$3*Index!$D$4</f>
        <v>2.9711711311368543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0.77571769048793626</v>
      </c>
      <c r="P207" s="43"/>
      <c r="Q207" s="48">
        <v>5</v>
      </c>
      <c r="R207" s="55">
        <f>R206+0.01</f>
        <v>0.67</v>
      </c>
      <c r="S207" s="56">
        <v>1.3100000000000001E-2</v>
      </c>
    </row>
    <row r="208" spans="2:19" ht="20.100000000000001" customHeight="1">
      <c r="B208" s="59">
        <v>100</v>
      </c>
      <c r="C208" s="71">
        <v>279.25</v>
      </c>
      <c r="D208" s="60">
        <v>265</v>
      </c>
      <c r="E208" s="54">
        <f>D208/45*0.2165</f>
        <v>1.2749444444444444</v>
      </c>
      <c r="F208" s="43"/>
      <c r="G208" s="48" t="s">
        <v>7</v>
      </c>
      <c r="H208" s="48">
        <f>L209+O212+B214</f>
        <v>5.4155715276361649</v>
      </c>
      <c r="I208" s="48">
        <f>L210+O212+C214</f>
        <v>5.5596309368373316</v>
      </c>
      <c r="J208" s="43"/>
      <c r="K208" s="61" t="s">
        <v>13</v>
      </c>
      <c r="L208" s="62">
        <f>IF(L211&gt;0,L207*O210,L207*O211)</f>
        <v>2.9353534697008432</v>
      </c>
      <c r="M208" s="43"/>
      <c r="N208" s="48" t="s">
        <v>14</v>
      </c>
      <c r="O208" s="48">
        <f>H216*POWER(H215,(C208-O213))</f>
        <v>1.1120750521838376</v>
      </c>
      <c r="P208" s="42"/>
      <c r="Q208" s="48">
        <v>10</v>
      </c>
      <c r="R208" s="55">
        <f>R207+0.01</f>
        <v>0.68</v>
      </c>
      <c r="S208" s="56">
        <v>1.3299999999999999E-2</v>
      </c>
    </row>
    <row r="209" spans="2:19" ht="20.100000000000001" customHeight="1">
      <c r="B209" s="59">
        <v>90</v>
      </c>
      <c r="C209" s="71">
        <v>243.1</v>
      </c>
      <c r="D209" s="60">
        <v>177</v>
      </c>
      <c r="E209" s="54">
        <f>D209/45*0.2165</f>
        <v>0.85156666666666658</v>
      </c>
      <c r="F209" s="43"/>
      <c r="G209" s="48" t="s">
        <v>5</v>
      </c>
      <c r="H209" s="48">
        <f>IF(L219&lt;=C209,80+(L219-C210)/((C209-C210)/10),90+(L219-C209)/((C208-C209)/10))</f>
        <v>88.32915423064847</v>
      </c>
      <c r="I209" s="48">
        <f>IF(L220&lt;=C209,80+(L220-C210)/((C209-C210)/10),90+(L220-C209)/((C208-C209)/10))</f>
        <v>89.811181156848519</v>
      </c>
      <c r="J209" s="43"/>
      <c r="K209" s="61" t="s">
        <v>15</v>
      </c>
      <c r="L209" s="62">
        <f>L208*L217</f>
        <v>2.8890893372171287</v>
      </c>
      <c r="M209" s="43"/>
      <c r="N209" s="48" t="s">
        <v>16</v>
      </c>
      <c r="O209" s="48">
        <f>I216*POWER(I215,(C208-O213))</f>
        <v>1.1992165226284164</v>
      </c>
      <c r="P209" s="42"/>
      <c r="Q209" s="48">
        <v>15</v>
      </c>
      <c r="R209" s="55">
        <f>R208+0.01</f>
        <v>0.69000000000000006</v>
      </c>
      <c r="S209" s="56">
        <v>1.35E-2</v>
      </c>
    </row>
    <row r="210" spans="2:19" ht="20.100000000000001" customHeight="1">
      <c r="B210" s="59">
        <v>80</v>
      </c>
      <c r="C210" s="71">
        <v>208.1</v>
      </c>
      <c r="D210" s="60">
        <v>118</v>
      </c>
      <c r="E210" s="54">
        <f>D210/45*0.2165</f>
        <v>0.56771111111111106</v>
      </c>
      <c r="F210" s="43"/>
      <c r="G210" s="48" t="s">
        <v>17</v>
      </c>
      <c r="H210" s="48">
        <f>IF(N220=0,INDEX('R276'!G255:G363,(ROUNDDOWN(((H209-70)/(20/72)+1),0)),1),INDEX('R276'!G255:G363,(ROUNDUP(((H209-70)/(20/72))+1,0)),1))</f>
        <v>266.76666666666608</v>
      </c>
      <c r="I210" s="48">
        <f>IF(O220=0,INDEX('R276'!G255:G363,(ROUNDDOWN(((I209-70)/(20/72)+1),0)),1),INDEX('R276'!G255:G363,(ROUNDUP(((I209-70)/(20/72))+1,0)),1))</f>
        <v>271.7999999999995</v>
      </c>
      <c r="J210" s="43"/>
      <c r="K210" s="61" t="s">
        <v>18</v>
      </c>
      <c r="L210" s="62">
        <f>L208/L218</f>
        <v>2.9907582733363434</v>
      </c>
      <c r="M210" s="43"/>
      <c r="N210" s="48" t="s">
        <v>19</v>
      </c>
      <c r="O210" s="48">
        <f>IF((O213&gt;0),((100+(L211/-H214))/100))</f>
        <v>0.98794493489094104</v>
      </c>
      <c r="P210" s="42"/>
      <c r="Q210" s="48">
        <v>20</v>
      </c>
      <c r="R210" s="55">
        <f>R209+0.01</f>
        <v>0.70000000000000007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30</v>
      </c>
      <c r="I211" s="48">
        <f>O221</f>
        <v>29</v>
      </c>
      <c r="J211" s="43"/>
      <c r="K211" s="63" t="s">
        <v>21</v>
      </c>
      <c r="L211" s="64">
        <f>IF(Index!$C$4&gt;0,Index!$C$4*O208,Index!$C$4*O209)</f>
        <v>4.4483002087353505</v>
      </c>
      <c r="M211" s="43"/>
      <c r="N211" s="48" t="s">
        <v>22</v>
      </c>
      <c r="O211" s="48">
        <f>IF((O213&gt;0),((100+(L211/-I214))/100))</f>
        <v>0.98755476484176219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0.66777944862155403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6.25354679865608</v>
      </c>
      <c r="I212" s="48">
        <f>I207/4</f>
        <v>6.4198971557013067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32" t="s">
        <v>121</v>
      </c>
      <c r="C213" s="632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'276'!$J$14</f>
        <v>235.09625</v>
      </c>
      <c r="P213" s="42"/>
      <c r="Q213" s="48">
        <v>-1</v>
      </c>
      <c r="R213" s="55">
        <v>0.63</v>
      </c>
      <c r="S213" s="56">
        <v>1.2699999999999999E-2</v>
      </c>
    </row>
    <row r="214" spans="2:19" ht="20.100000000000001" customHeight="1">
      <c r="B214" s="60">
        <f>H209/100*(O206*0.2165)*Link!$C$7*1.02</f>
        <v>2.5264821904190362</v>
      </c>
      <c r="C214" s="48">
        <f>I209/100*(O206*0.2165)*Link!$C$7*1.02</f>
        <v>2.5688726635009882</v>
      </c>
      <c r="D214" s="43"/>
      <c r="E214" s="43"/>
      <c r="F214" s="43"/>
      <c r="G214" s="54" t="s">
        <v>24</v>
      </c>
      <c r="H214" s="48">
        <f>'inf 276'!C37</f>
        <v>3.6899843912022092</v>
      </c>
      <c r="I214" s="48">
        <f>'inf 276'!D37</f>
        <v>3.5742998442185954</v>
      </c>
      <c r="J214" s="43"/>
      <c r="K214" s="57" t="s">
        <v>28</v>
      </c>
      <c r="L214" s="58">
        <f>O207*Index!$D$4*$O$2</f>
        <v>2.4931086003015168</v>
      </c>
      <c r="M214" s="43"/>
      <c r="N214" s="43"/>
      <c r="O214" s="42"/>
      <c r="P214" s="42"/>
      <c r="Q214" s="48">
        <v>-10</v>
      </c>
      <c r="R214" s="55">
        <f>R213-0.015</f>
        <v>0.61499999999999999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1.0116180860429116</v>
      </c>
      <c r="I215" s="48">
        <f>(1+(I217*S220))</f>
        <v>1.0140509950671248</v>
      </c>
      <c r="J215" s="43"/>
      <c r="K215" s="61" t="s">
        <v>30</v>
      </c>
      <c r="L215" s="62">
        <f>$O$5*Index!$D$4*O207*0.99*(1-(L211*0.016))</f>
        <v>2.2925104014657025</v>
      </c>
      <c r="M215" s="42"/>
      <c r="N215" s="54" t="s">
        <v>31</v>
      </c>
      <c r="O215" s="48">
        <f>O213+L211</f>
        <v>239.54455020873536</v>
      </c>
      <c r="P215" s="42"/>
      <c r="Q215" s="48">
        <v>-20</v>
      </c>
      <c r="R215" s="55">
        <f>R214-0.01</f>
        <v>0.60499999999999998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0.66777944862155403</v>
      </c>
      <c r="I216" s="48">
        <f>R220</f>
        <v>0.64764185167319621</v>
      </c>
      <c r="J216" s="43"/>
      <c r="K216" s="61" t="s">
        <v>32</v>
      </c>
      <c r="L216" s="62">
        <f>$O$5*Index!$D$4*O207*1.25*(1-(L211*0.016))</f>
        <v>2.894583840234473</v>
      </c>
      <c r="M216" s="42"/>
      <c r="N216" s="43"/>
      <c r="O216" s="43"/>
      <c r="P216" s="53"/>
      <c r="Q216" s="48">
        <v>-30</v>
      </c>
      <c r="R216" s="55">
        <f>R215-0.01</f>
        <v>0.59499999999999997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0.89149457841849822</v>
      </c>
      <c r="I217" s="54">
        <f>1*(O213-C209)*(O213-C210)/((C208-C209)*(C208-C210))+0.903*(O213-C208)*(O213-C210)/((C209-C208)*(C209-C210))+0.76*(O213-C208)*(O213-C209)/((C210-C208)*(C210-C209))</f>
        <v>0.87455798225229076</v>
      </c>
      <c r="J217" s="43"/>
      <c r="K217" s="61" t="s">
        <v>33</v>
      </c>
      <c r="L217" s="62">
        <f>(100+(L215*2.75/-4))/100</f>
        <v>0.9842389909899234</v>
      </c>
      <c r="M217" s="42"/>
      <c r="N217" s="57" t="s">
        <v>43</v>
      </c>
      <c r="O217" s="58"/>
      <c r="P217" s="53"/>
      <c r="Q217" s="48">
        <v>-40</v>
      </c>
      <c r="R217" s="55">
        <f>R216-0.01</f>
        <v>0.58499999999999996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0.98147466342249945</v>
      </c>
      <c r="M218" s="42"/>
      <c r="N218" s="61">
        <f>MOD(H209,20/72)</f>
        <v>0.27359867509291058</v>
      </c>
      <c r="O218" s="62">
        <f>MOD(I209,20/72)</f>
        <v>8.8958934626293229E-2</v>
      </c>
      <c r="P218" s="53"/>
      <c r="Q218" s="48">
        <v>-50</v>
      </c>
      <c r="R218" s="55">
        <f>R217-0.01</f>
        <v>0.57499999999999996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237.25203980726965</v>
      </c>
      <c r="M219" s="42"/>
      <c r="N219" s="61">
        <f>N218/(20/72)</f>
        <v>0.98495523033447807</v>
      </c>
      <c r="O219" s="62">
        <f>O218/(20/72)</f>
        <v>0.32025216465465561</v>
      </c>
      <c r="P219" s="53"/>
      <c r="Q219" s="48">
        <v>-60</v>
      </c>
      <c r="R219" s="55">
        <f>R218-0.01</f>
        <v>0.56499999999999995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242.43913404896983</v>
      </c>
      <c r="M220" s="43"/>
      <c r="N220" s="61">
        <f>IF(N219&lt;0.288,ROUNDDOWN(N219,0),ROUNDUP(N219,0))</f>
        <v>1</v>
      </c>
      <c r="O220" s="62">
        <f>IF(O219&lt;0.288,ROUNDDOWN(O219,0),ROUNDUP(O219,0))</f>
        <v>1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0.64764185167319621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30</v>
      </c>
      <c r="O221" s="62">
        <f>IF(O218&lt;0.08,30,O222)</f>
        <v>29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30</v>
      </c>
      <c r="O222" s="64">
        <f>IF(O218&gt;(20/72)-0.08,30,29)</f>
        <v>29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26" t="s">
        <v>69</v>
      </c>
      <c r="C226" s="628"/>
      <c r="D226" s="628"/>
      <c r="E226" s="627"/>
      <c r="F226" s="43"/>
      <c r="G226" s="629" t="s">
        <v>69</v>
      </c>
      <c r="H226" s="630"/>
      <c r="I226" s="631"/>
      <c r="J226" s="43"/>
      <c r="K226" s="48" t="s">
        <v>7</v>
      </c>
      <c r="L226" s="53"/>
      <c r="M226" s="43"/>
      <c r="N226" s="48" t="s">
        <v>8</v>
      </c>
      <c r="O226" s="54">
        <f>O227/0.2165</f>
        <v>5.4964943052374622</v>
      </c>
      <c r="P226" s="43"/>
      <c r="Q226" s="48">
        <v>1</v>
      </c>
      <c r="R226" s="55">
        <v>0.62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35.596607015637389</v>
      </c>
      <c r="I227" s="48">
        <f>I228/0.2165</f>
        <v>37.157344036899708</v>
      </c>
      <c r="J227" s="43"/>
      <c r="K227" s="57" t="s">
        <v>11</v>
      </c>
      <c r="L227" s="58">
        <f>O227*$O$3*Index!$D$4</f>
        <v>4.5579300299931527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1.1899910170839105</v>
      </c>
      <c r="P227" s="43"/>
      <c r="Q227" s="48">
        <v>5</v>
      </c>
      <c r="R227" s="55">
        <f>R226+0.01</f>
        <v>0.63</v>
      </c>
      <c r="S227" s="56">
        <v>1.3599999999999999E-2</v>
      </c>
      <c r="T227" s="43"/>
    </row>
    <row r="228" spans="2:20" ht="20.100000000000001" customHeight="1">
      <c r="B228" s="59">
        <v>100</v>
      </c>
      <c r="C228" s="71">
        <v>241.4</v>
      </c>
      <c r="D228" s="60">
        <v>266</v>
      </c>
      <c r="E228" s="54">
        <f>D228/45*0.2165</f>
        <v>1.2797555555555555</v>
      </c>
      <c r="F228" s="43"/>
      <c r="G228" s="48" t="s">
        <v>7</v>
      </c>
      <c r="H228" s="48">
        <f>L229+O232+B234</f>
        <v>7.7066654188854944</v>
      </c>
      <c r="I228" s="48">
        <f>L230+O232+C234</f>
        <v>8.0445649839887867</v>
      </c>
      <c r="J228" s="43"/>
      <c r="K228" s="61" t="s">
        <v>13</v>
      </c>
      <c r="L228" s="62">
        <f>IF(L231&gt;0,L227*O230,L227*O231)</f>
        <v>4.5250196309567654</v>
      </c>
      <c r="M228" s="43"/>
      <c r="N228" s="48" t="s">
        <v>14</v>
      </c>
      <c r="O228" s="48">
        <f>H236*POWER(H235,(C228-O233))</f>
        <v>0.68402152173634645</v>
      </c>
      <c r="P228" s="42"/>
      <c r="Q228" s="48">
        <v>10</v>
      </c>
      <c r="R228" s="55">
        <f>R227+0.01</f>
        <v>0.64</v>
      </c>
      <c r="S228" s="56">
        <v>1.38E-2</v>
      </c>
      <c r="T228" s="43"/>
    </row>
    <row r="229" spans="2:20" ht="20.100000000000001" customHeight="1">
      <c r="B229" s="59">
        <v>90</v>
      </c>
      <c r="C229" s="71">
        <v>208.7</v>
      </c>
      <c r="D229" s="60">
        <v>180</v>
      </c>
      <c r="E229" s="54">
        <f>D229/45*0.2165</f>
        <v>0.86599999999999999</v>
      </c>
      <c r="F229" s="43"/>
      <c r="G229" s="48" t="s">
        <v>5</v>
      </c>
      <c r="H229" s="48">
        <f>IF(L239&lt;=C229,80+(L239-C230)/((C229-C230)/10),90+(L239-C229)/((C228-C229)/10))</f>
        <v>97.801767295398236</v>
      </c>
      <c r="I229" s="48">
        <f>IF(L240&lt;=C229,80+(L240-C230)/((C229-C230)/10),90+(L240-C229)/((C228-C229)/10))</f>
        <v>100.34050774588303</v>
      </c>
      <c r="J229" s="43"/>
      <c r="K229" s="61" t="s">
        <v>15</v>
      </c>
      <c r="L229" s="62">
        <f>L228*L237</f>
        <v>4.4123858759300987</v>
      </c>
      <c r="M229" s="43"/>
      <c r="N229" s="48" t="s">
        <v>16</v>
      </c>
      <c r="O229" s="48">
        <f>I236*POWER(I235,(C228-O233))</f>
        <v>0.69239101609502973</v>
      </c>
      <c r="P229" s="42"/>
      <c r="Q229" s="48">
        <v>15</v>
      </c>
      <c r="R229" s="55">
        <f>R228+0.01</f>
        <v>0.65</v>
      </c>
      <c r="S229" s="56">
        <v>1.4E-2</v>
      </c>
      <c r="T229" s="43"/>
    </row>
    <row r="230" spans="2:20" ht="20.100000000000001" customHeight="1">
      <c r="B230" s="59">
        <v>80</v>
      </c>
      <c r="C230" s="71">
        <v>177.6</v>
      </c>
      <c r="D230" s="60">
        <v>123</v>
      </c>
      <c r="E230" s="54">
        <f>D230/45*0.2165</f>
        <v>0.59176666666666666</v>
      </c>
      <c r="F230" s="43"/>
      <c r="G230" s="48" t="s">
        <v>17</v>
      </c>
      <c r="H230" s="48">
        <f>IF(N240=0,INDEX('R276'!H255:H363,(ROUNDDOWN(((H229-70)/(20/72)+1),0)),1),INDEX('R276'!H255:H363,(ROUNDUP(((H229-70)/(20/72))+1,0)),1))</f>
        <v>250.31111111111113</v>
      </c>
      <c r="I230" s="48" t="e">
        <f>IF(O240=0,INDEX('R276'!H255:H363,(ROUNDDOWN(((I229-70)/(20/72)+1),0)),1),INDEX('R276'!H255:H363,(ROUNDUP(((I229-70)/(20/72))+1,0)),1))</f>
        <v>#REF!</v>
      </c>
      <c r="J230" s="43"/>
      <c r="K230" s="61" t="s">
        <v>18</v>
      </c>
      <c r="L230" s="62">
        <f>L228/L238</f>
        <v>4.6647724593952873</v>
      </c>
      <c r="M230" s="43"/>
      <c r="N230" s="48" t="s">
        <v>19</v>
      </c>
      <c r="O230" s="48">
        <f>IF((O233&gt;0),((100+(L231/-H234))/100))</f>
        <v>0.99277952956280091</v>
      </c>
      <c r="P230" s="42"/>
      <c r="Q230" s="48">
        <v>20</v>
      </c>
      <c r="R230" s="55">
        <f>R229+0.01</f>
        <v>0.66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2.7360860869453858</v>
      </c>
      <c r="M231" s="43"/>
      <c r="N231" s="48" t="s">
        <v>22</v>
      </c>
      <c r="O231" s="48">
        <f>IF((O233&gt;0),((100+(L231/-I234))/100))</f>
        <v>0.99276919510598871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0.62777944862155388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8.8991517539093472</v>
      </c>
      <c r="I232" s="48">
        <f>I227/4</f>
        <v>9.2893360092249271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32" t="s">
        <v>121</v>
      </c>
      <c r="C233" s="632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'276'!$J$14</f>
        <v>235.09625</v>
      </c>
      <c r="P233" s="42"/>
      <c r="Q233" s="48">
        <v>-1</v>
      </c>
      <c r="R233" s="55">
        <v>0.62</v>
      </c>
      <c r="S233" s="56">
        <v>1.2699999999999999E-2</v>
      </c>
      <c r="T233" s="43"/>
    </row>
    <row r="234" spans="2:20" ht="20.100000000000001" customHeight="1">
      <c r="B234" s="60">
        <f>H229/100*(O226*0.2165*0.9)*Link!$C$7*0.87</f>
        <v>3.2942795429553962</v>
      </c>
      <c r="C234" s="48">
        <f>I229/100*(O226*0.2165*0.9)*Link!$C$7*0.87</f>
        <v>3.3797925245934999</v>
      </c>
      <c r="D234" s="43"/>
      <c r="E234" s="43"/>
      <c r="F234" s="43"/>
      <c r="G234" s="54" t="s">
        <v>24</v>
      </c>
      <c r="H234" s="48">
        <f>'inf 276'!G31</f>
        <v>3.789346013868248</v>
      </c>
      <c r="I234" s="48">
        <f>'inf 276'!H31</f>
        <v>3.7839301807347305</v>
      </c>
      <c r="J234" s="43"/>
      <c r="K234" s="57" t="s">
        <v>28</v>
      </c>
      <c r="L234" s="58">
        <f>O227*Index!$D$4*$O$2</f>
        <v>3.8245574070991033</v>
      </c>
      <c r="M234" s="43"/>
      <c r="N234" s="43"/>
      <c r="O234" s="42"/>
      <c r="P234" s="42"/>
      <c r="Q234" s="48">
        <v>-10</v>
      </c>
      <c r="R234" s="55">
        <f t="shared" ref="R234:R239" si="12">R233-0.01</f>
        <v>0.61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1.0137040725953737</v>
      </c>
      <c r="I235" s="48">
        <f>(1+(I237*S240))</f>
        <v>1.0158343400933465</v>
      </c>
      <c r="J235" s="43"/>
      <c r="K235" s="61" t="s">
        <v>30</v>
      </c>
      <c r="L235" s="62">
        <f>$O$5*Index!$D$4*O227*0.99*(1-(L231*0.016))</f>
        <v>3.6205570309931536</v>
      </c>
      <c r="M235" s="42"/>
      <c r="N235" s="54" t="s">
        <v>31</v>
      </c>
      <c r="O235" s="48">
        <f>O233+L231</f>
        <v>237.83233608694539</v>
      </c>
      <c r="P235" s="42"/>
      <c r="Q235" s="48">
        <v>-20</v>
      </c>
      <c r="R235" s="55">
        <f t="shared" si="12"/>
        <v>0.6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0.62777944862155388</v>
      </c>
      <c r="I236" s="48">
        <f>R240</f>
        <v>0.62710697527886872</v>
      </c>
      <c r="J236" s="43"/>
      <c r="K236" s="61" t="s">
        <v>32</v>
      </c>
      <c r="L236" s="62">
        <f>$O$5*Index!$D$4*O227*1.28*(1-(L231*0.016))</f>
        <v>4.6811242420921593</v>
      </c>
      <c r="M236" s="42"/>
      <c r="N236" s="43"/>
      <c r="O236" s="43"/>
      <c r="P236" s="53"/>
      <c r="Q236" s="48">
        <v>-30</v>
      </c>
      <c r="R236" s="55">
        <f t="shared" si="12"/>
        <v>0.59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1.0127051729486576</v>
      </c>
      <c r="I237" s="54">
        <f>1*(O233-C229)*(O233-C230)/((C228-C229)*(C228-C230))+0.903*(O233-C228)*(O233-C230)/((C229-C228)*(C229-C230))+0.76*(O233-C228)*(O233-C229)/((C230-C228)*(C230-C229))</f>
        <v>0.9855564290058012</v>
      </c>
      <c r="J237" s="43"/>
      <c r="K237" s="61" t="s">
        <v>33</v>
      </c>
      <c r="L237" s="62">
        <f>(100+(L235*2.75/-4))/100</f>
        <v>0.97510867041192217</v>
      </c>
      <c r="M237" s="42"/>
      <c r="N237" s="57" t="s">
        <v>43</v>
      </c>
      <c r="O237" s="58"/>
      <c r="P237" s="53"/>
      <c r="Q237" s="48">
        <v>-40</v>
      </c>
      <c r="R237" s="55">
        <f t="shared" si="12"/>
        <v>0.57999999999999996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0.97004080485061028</v>
      </c>
      <c r="M238" s="42"/>
      <c r="N238" s="61">
        <f>MOD(H229,20/72)</f>
        <v>2.3989517620453427E-2</v>
      </c>
      <c r="O238" s="62">
        <f>MOD(I229,20/72)</f>
        <v>6.2729968105248335E-2</v>
      </c>
      <c r="P238" s="53"/>
      <c r="Q238" s="48">
        <v>-50</v>
      </c>
      <c r="R238" s="55">
        <f t="shared" si="12"/>
        <v>0.56999999999999995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234.21177905595223</v>
      </c>
      <c r="M239" s="42"/>
      <c r="N239" s="61">
        <f>N238/(20/72)</f>
        <v>8.6362263433632333E-2</v>
      </c>
      <c r="O239" s="62">
        <f>O238/(20/72)</f>
        <v>0.22582788517889399</v>
      </c>
      <c r="P239" s="53"/>
      <c r="Q239" s="48">
        <v>-60</v>
      </c>
      <c r="R239" s="55">
        <f t="shared" si="12"/>
        <v>0.55999999999999994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242.51346032903754</v>
      </c>
      <c r="M240" s="43"/>
      <c r="N240" s="61">
        <f>IF(N239&lt;0.288,ROUNDDOWN(N239,0),ROUNDUP(N239,0))</f>
        <v>0</v>
      </c>
      <c r="O240" s="62">
        <f>IF(O239&lt;0.288,ROUNDDOWN(O239,0),ROUNDUP(O239,0))</f>
        <v>0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0.62710697527886872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29</v>
      </c>
      <c r="O242" s="64">
        <f>IF(O238&gt;(20/72)-0.08,30,29)</f>
        <v>29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26" t="s">
        <v>70</v>
      </c>
      <c r="C246" s="628"/>
      <c r="D246" s="628"/>
      <c r="E246" s="627"/>
      <c r="F246" s="43"/>
      <c r="G246" s="629" t="s">
        <v>70</v>
      </c>
      <c r="H246" s="630"/>
      <c r="I246" s="631"/>
      <c r="J246" s="43"/>
      <c r="K246" s="48" t="s">
        <v>7</v>
      </c>
      <c r="L246" s="53"/>
      <c r="M246" s="43"/>
      <c r="N246" s="48" t="s">
        <v>8</v>
      </c>
      <c r="O246" s="54">
        <f>O247/0.2165</f>
        <v>6.8796857428438827</v>
      </c>
      <c r="P246" s="43"/>
      <c r="Q246" s="48">
        <v>1</v>
      </c>
      <c r="R246" s="55">
        <v>0.6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45.173756680815146</v>
      </c>
      <c r="I247" s="48">
        <f>I248/0.2165</f>
        <v>47.710511987357883</v>
      </c>
      <c r="J247" s="43"/>
      <c r="K247" s="57" t="s">
        <v>11</v>
      </c>
      <c r="L247" s="58">
        <f>O247*$O$3*Index!$D$4</f>
        <v>5.7049319989915235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1.4894519633257006</v>
      </c>
      <c r="P247" s="43"/>
      <c r="Q247" s="48">
        <v>5</v>
      </c>
      <c r="R247" s="55">
        <f>R246+0.01</f>
        <v>0.61</v>
      </c>
      <c r="S247" s="56">
        <v>1.41E-2</v>
      </c>
    </row>
    <row r="248" spans="2:20" ht="20.100000000000001" customHeight="1">
      <c r="B248" s="59">
        <v>100</v>
      </c>
      <c r="C248" s="71">
        <v>222.6</v>
      </c>
      <c r="D248" s="60">
        <v>268</v>
      </c>
      <c r="E248" s="54">
        <f>D248/45*0.2165</f>
        <v>1.2893777777777777</v>
      </c>
      <c r="F248" s="43"/>
      <c r="G248" s="48" t="s">
        <v>7</v>
      </c>
      <c r="H248" s="48">
        <f>L249+O252+B254</f>
        <v>9.7801183213964791</v>
      </c>
      <c r="I248" s="48">
        <f>L250+O252+C254</f>
        <v>10.329325845262982</v>
      </c>
      <c r="J248" s="43"/>
      <c r="K248" s="61" t="s">
        <v>13</v>
      </c>
      <c r="L248" s="62">
        <f>IF(L251&gt;0,L247*O250,L247*O251)</f>
        <v>5.675175398024173</v>
      </c>
      <c r="M248" s="43"/>
      <c r="N248" s="48" t="s">
        <v>14</v>
      </c>
      <c r="O248" s="48">
        <f>H256*POWER(H255,(C248-O253))</f>
        <v>0.50154787607907125</v>
      </c>
      <c r="P248" s="42"/>
      <c r="Q248" s="48">
        <v>10</v>
      </c>
      <c r="R248" s="55">
        <f>R247+0.01</f>
        <v>0.62</v>
      </c>
      <c r="S248" s="56">
        <v>1.43E-2</v>
      </c>
    </row>
    <row r="249" spans="2:20" ht="20.100000000000001" customHeight="1">
      <c r="B249" s="59">
        <v>90</v>
      </c>
      <c r="C249" s="71">
        <v>192.8</v>
      </c>
      <c r="D249" s="60">
        <v>186</v>
      </c>
      <c r="E249" s="54">
        <f>D249/45*0.2165</f>
        <v>0.8948666666666667</v>
      </c>
      <c r="F249" s="43"/>
      <c r="G249" s="48" t="s">
        <v>5</v>
      </c>
      <c r="H249" s="48">
        <f>IF(L259&lt;=C249,80+(L259-C250)/((C249-C250)/10),90+(L259-C249)/((C248-C249)/10))</f>
        <v>103.32732452023113</v>
      </c>
      <c r="I249" s="48">
        <f>IF(L260&lt;=C249,80+(L260-C250)/((C249-C250)/10),90+(L260-C249)/((C248-C249)/10))</f>
        <v>106.85675397085906</v>
      </c>
      <c r="J249" s="43"/>
      <c r="K249" s="61" t="s">
        <v>15</v>
      </c>
      <c r="L249" s="62">
        <f>L248*L257</f>
        <v>5.4962046316928461</v>
      </c>
      <c r="M249" s="43"/>
      <c r="N249" s="48" t="s">
        <v>16</v>
      </c>
      <c r="O249" s="48">
        <f>I256*POWER(I255,(C248-O253))</f>
        <v>0.49514030381948287</v>
      </c>
      <c r="P249" s="42"/>
      <c r="Q249" s="48">
        <v>15</v>
      </c>
      <c r="R249" s="55">
        <f>R248+0.01</f>
        <v>0.63</v>
      </c>
      <c r="S249" s="56">
        <v>1.4500000000000001E-2</v>
      </c>
    </row>
    <row r="250" spans="2:20" ht="20.100000000000001" customHeight="1">
      <c r="B250" s="59">
        <v>80</v>
      </c>
      <c r="C250" s="71">
        <v>164.8</v>
      </c>
      <c r="D250" s="60">
        <v>131</v>
      </c>
      <c r="E250" s="54">
        <f>D250/45*0.2165</f>
        <v>0.63025555555555557</v>
      </c>
      <c r="F250" s="43"/>
      <c r="G250" s="48" t="s">
        <v>17</v>
      </c>
      <c r="H250" s="48" t="e">
        <f>IF(N260=0,INDEX('R276'!K255:K363,(ROUNDDOWN(((H249-70)/(20/72)+1),0)),1),INDEX('R276'!K255:K363,(ROUNDUP(((H249-70)/(20/72))+1,0)),1))</f>
        <v>#REF!</v>
      </c>
      <c r="I250" s="48" t="e">
        <f>IF(O260=0,INDEX('R276'!K255:K363,(ROUNDDOWN(((I249-70)/(20/72)+1),0)),1),INDEX('R276'!K255:K363,(ROUNDUP(((I249-70)/(20/72))+1,0)),1))</f>
        <v>#REF!</v>
      </c>
      <c r="J250" s="43"/>
      <c r="K250" s="61" t="s">
        <v>18</v>
      </c>
      <c r="L250" s="62">
        <f>L248/L258</f>
        <v>5.8990832806892</v>
      </c>
      <c r="M250" s="43"/>
      <c r="N250" s="48" t="s">
        <v>19</v>
      </c>
      <c r="O250" s="48">
        <f>IF((O253&gt;0),((100+(L251/-H254))/100))</f>
        <v>0.99478405685245486</v>
      </c>
      <c r="P250" s="42"/>
      <c r="Q250" s="48">
        <v>20</v>
      </c>
      <c r="R250" s="55">
        <f>R249+0.01</f>
        <v>0.64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30</v>
      </c>
      <c r="I251" s="48">
        <f>O261</f>
        <v>29</v>
      </c>
      <c r="J251" s="43"/>
      <c r="K251" s="63" t="s">
        <v>21</v>
      </c>
      <c r="L251" s="64">
        <f>IF(Index!$C$4&gt;0,Index!$C$4*O248,Index!$C$4*O249)</f>
        <v>2.006191504316285</v>
      </c>
      <c r="M251" s="43"/>
      <c r="N251" s="48" t="s">
        <v>22</v>
      </c>
      <c r="O251" s="48">
        <f>IF((O253&gt;0),((100+(L251/-I254))/100))</f>
        <v>0.99479294945894825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0.60777944862155375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11.293439170203786</v>
      </c>
      <c r="I252" s="48">
        <f>I247/4</f>
        <v>11.927627996839471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32" t="s">
        <v>121</v>
      </c>
      <c r="C253" s="632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'276'!$J$14</f>
        <v>235.09625</v>
      </c>
      <c r="P253" s="42"/>
      <c r="Q253" s="48">
        <v>-1</v>
      </c>
      <c r="R253" s="55">
        <v>0.6</v>
      </c>
      <c r="S253" s="56">
        <v>1.2699999999999999E-2</v>
      </c>
    </row>
    <row r="254" spans="2:20" ht="20.100000000000001" customHeight="1">
      <c r="B254" s="60">
        <f>H249/100*(O246*0.2165)*Link!$C$7*0.77</f>
        <v>4.2839136897036321</v>
      </c>
      <c r="C254" s="48">
        <f>I249/100*(O246*0.2165)*Link!$C$7*0.77</f>
        <v>4.4302425645737813</v>
      </c>
      <c r="D254" s="43"/>
      <c r="E254" s="43"/>
      <c r="F254" s="43"/>
      <c r="G254" s="54" t="s">
        <v>24</v>
      </c>
      <c r="H254" s="48">
        <f>'inf 276'!G37</f>
        <v>3.8462679664376429</v>
      </c>
      <c r="I254" s="48">
        <f>'inf 276'!H37</f>
        <v>3.8528366269920218</v>
      </c>
      <c r="J254" s="43"/>
      <c r="K254" s="57" t="s">
        <v>28</v>
      </c>
      <c r="L254" s="58">
        <f>O247*Index!$D$4*$O$2</f>
        <v>4.7870063362452511</v>
      </c>
      <c r="M254" s="43"/>
      <c r="N254" s="43"/>
      <c r="O254" s="42"/>
      <c r="P254" s="42"/>
      <c r="Q254" s="48">
        <v>-10</v>
      </c>
      <c r="R254" s="55">
        <f t="shared" ref="R254:R259" si="13">R253-0.01</f>
        <v>0.59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1.0154924344954201</v>
      </c>
      <c r="I255" s="48">
        <f>(1+(I257*S260))</f>
        <v>1.0164478019134404</v>
      </c>
      <c r="J255" s="43"/>
      <c r="K255" s="61" t="s">
        <v>30</v>
      </c>
      <c r="L255" s="62">
        <f>$O$5*Index!$D$4*O247*0.99*(1-(L251*0.016))</f>
        <v>4.5870144340275241</v>
      </c>
      <c r="M255" s="42"/>
      <c r="N255" s="54" t="s">
        <v>31</v>
      </c>
      <c r="O255" s="48">
        <f>O253+L251</f>
        <v>237.10244150431629</v>
      </c>
      <c r="P255" s="42"/>
      <c r="Q255" s="48">
        <v>-20</v>
      </c>
      <c r="R255" s="55">
        <f t="shared" si="13"/>
        <v>0.57999999999999996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0.60777944862155375</v>
      </c>
      <c r="I256" s="48">
        <f>R260</f>
        <v>0.60710697527886726</v>
      </c>
      <c r="J256" s="43"/>
      <c r="K256" s="61" t="s">
        <v>32</v>
      </c>
      <c r="L256" s="62">
        <f>$O$5*Index!$D$4*O247*1.28*(1-(L251*0.016))</f>
        <v>5.9306853288436683</v>
      </c>
      <c r="M256" s="42"/>
      <c r="N256" s="43"/>
      <c r="O256" s="43"/>
      <c r="P256" s="53"/>
      <c r="Q256" s="48">
        <v>-30</v>
      </c>
      <c r="R256" s="55">
        <f t="shared" si="13"/>
        <v>0.56999999999999995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1.1040674965250967</v>
      </c>
      <c r="I257" s="54">
        <f>1*(O253-C249)*(O253-C250)/((C248-C249)*(C248-C250))+0.903*(O253-C248)*(O253-C250)/((C249-C248)*(C249-C250))+0.76*(O253-C248)*(O253-C249)/((C250-C248)*(C250-C249))</f>
        <v>1.0237393426718535</v>
      </c>
      <c r="J257" s="43"/>
      <c r="K257" s="61" t="s">
        <v>33</v>
      </c>
      <c r="L257" s="62">
        <f>(100+(L255*2.75/-4))/100</f>
        <v>0.96846427576606076</v>
      </c>
      <c r="M257" s="42"/>
      <c r="N257" s="57" t="s">
        <v>43</v>
      </c>
      <c r="O257" s="58"/>
      <c r="P257" s="53"/>
      <c r="Q257" s="48">
        <v>-40</v>
      </c>
      <c r="R257" s="55">
        <f t="shared" si="13"/>
        <v>0.55999999999999994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0.9620436138954005</v>
      </c>
      <c r="M258" s="42"/>
      <c r="N258" s="61">
        <f>MOD(H249,20/72)</f>
        <v>0.27176896467556999</v>
      </c>
      <c r="O258" s="62">
        <f>MOD(I249,20/72)</f>
        <v>0.19008730419238873</v>
      </c>
      <c r="P258" s="53"/>
      <c r="Q258" s="48">
        <v>-50</v>
      </c>
      <c r="R258" s="55">
        <f t="shared" si="13"/>
        <v>0.54999999999999993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232.51542707028875</v>
      </c>
      <c r="M259" s="42"/>
      <c r="N259" s="61">
        <f>N258/(20/72)</f>
        <v>0.97836827283205197</v>
      </c>
      <c r="O259" s="62">
        <f>O258/(20/72)</f>
        <v>0.68431429509259944</v>
      </c>
      <c r="P259" s="53"/>
      <c r="Q259" s="48">
        <v>-60</v>
      </c>
      <c r="R259" s="55">
        <f t="shared" si="13"/>
        <v>0.53999999999999992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243.03312683315997</v>
      </c>
      <c r="M260" s="43"/>
      <c r="N260" s="61">
        <f>IF(N259&lt;0.288,ROUNDDOWN(N259,0),ROUNDUP(N259,0))</f>
        <v>1</v>
      </c>
      <c r="O260" s="62">
        <f>IF(O259&lt;0.288,ROUNDDOWN(O259,0),ROUNDUP(O259,0))</f>
        <v>1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0.60710697527886726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30</v>
      </c>
      <c r="O261" s="62">
        <f>IF(O258&lt;0.08,30,O262)</f>
        <v>29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30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26" t="s">
        <v>71</v>
      </c>
      <c r="C266" s="628"/>
      <c r="D266" s="628"/>
      <c r="E266" s="627"/>
      <c r="F266" s="43"/>
      <c r="G266" s="629" t="s">
        <v>71</v>
      </c>
      <c r="H266" s="630"/>
      <c r="I266" s="631"/>
      <c r="J266" s="43"/>
      <c r="K266" s="48" t="s">
        <v>7</v>
      </c>
      <c r="L266" s="53"/>
      <c r="M266" s="43"/>
      <c r="N266" s="48" t="s">
        <v>8</v>
      </c>
      <c r="O266" s="54">
        <f>O267/0.2165</f>
        <v>2.6156001773092457</v>
      </c>
      <c r="P266" s="43"/>
      <c r="Q266" s="48">
        <v>1</v>
      </c>
      <c r="R266" s="55">
        <v>0.61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17.380806549498768</v>
      </c>
      <c r="I267" s="48">
        <f>I268/0.2165</f>
        <v>17.728820829166054</v>
      </c>
      <c r="J267" s="43"/>
      <c r="K267" s="57" t="s">
        <v>11</v>
      </c>
      <c r="L267" s="58">
        <f>O267*$O$3*Index!$D$4</f>
        <v>2.168968424701784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0.5662774383874517</v>
      </c>
      <c r="P267" s="43"/>
      <c r="Q267" s="48">
        <v>5</v>
      </c>
      <c r="R267" s="55">
        <f>R266+0.01</f>
        <v>0.62</v>
      </c>
      <c r="S267" s="56">
        <v>1.3100000000000001E-2</v>
      </c>
    </row>
    <row r="268" spans="2:19" ht="20.100000000000001" customHeight="1">
      <c r="B268" s="59">
        <v>100</v>
      </c>
      <c r="C268" s="71">
        <v>312.60000000000002</v>
      </c>
      <c r="D268" s="60">
        <v>265</v>
      </c>
      <c r="E268" s="54">
        <f>D268/45*0.2165</f>
        <v>1.2749444444444444</v>
      </c>
      <c r="F268" s="43"/>
      <c r="G268" s="48" t="s">
        <v>7</v>
      </c>
      <c r="H268" s="48">
        <f>L269+O272+B274</f>
        <v>3.7629446179664834</v>
      </c>
      <c r="I268" s="48">
        <f>L270+O272+C274</f>
        <v>3.8382897095144504</v>
      </c>
      <c r="J268" s="43"/>
      <c r="K268" s="61" t="s">
        <v>13</v>
      </c>
      <c r="L268" s="62">
        <f>IF(L271&gt;0,L267*O270,L267*O271)</f>
        <v>2.1350736439906006</v>
      </c>
      <c r="M268" s="43"/>
      <c r="N268" s="48" t="s">
        <v>14</v>
      </c>
      <c r="O268" s="48">
        <f>H276*POWER(H275,(C268-O273))</f>
        <v>1.4048687606384151</v>
      </c>
      <c r="P268" s="42"/>
      <c r="Q268" s="48">
        <v>10</v>
      </c>
      <c r="R268" s="55">
        <f>R267+0.01</f>
        <v>0.63</v>
      </c>
      <c r="S268" s="56">
        <v>1.3299999999999999E-2</v>
      </c>
    </row>
    <row r="269" spans="2:19" ht="20.100000000000001" customHeight="1">
      <c r="B269" s="59">
        <v>90</v>
      </c>
      <c r="C269" s="71">
        <v>276.89999999999998</v>
      </c>
      <c r="D269" s="60">
        <v>182</v>
      </c>
      <c r="E269" s="54">
        <f>D269/45*0.2165</f>
        <v>0.87562222222222219</v>
      </c>
      <c r="F269" s="43"/>
      <c r="G269" s="48" t="s">
        <v>5</v>
      </c>
      <c r="H269" s="48">
        <f>IF(L279&lt;=C269,80+(L279-C270)/((C269-C270)/10),90+(L279-C269)/((C268-C269)/10))</f>
        <v>79.126259139877334</v>
      </c>
      <c r="I269" s="48">
        <f>IF(L280&lt;=C269,80+(L280-C270)/((C269-C270)/10),90+(L280-C269)/((C268-C269)/10))</f>
        <v>80.197170714735449</v>
      </c>
      <c r="J269" s="43"/>
      <c r="K269" s="61" t="s">
        <v>15</v>
      </c>
      <c r="L269" s="62">
        <f>L268*L277</f>
        <v>2.1107607923222949</v>
      </c>
      <c r="M269" s="43"/>
      <c r="N269" s="48" t="s">
        <v>16</v>
      </c>
      <c r="O269" s="48">
        <f>I276*POWER(I275,(C268-O273))</f>
        <v>1.4167556826077135</v>
      </c>
      <c r="P269" s="42"/>
      <c r="Q269" s="48">
        <v>15</v>
      </c>
      <c r="R269" s="55">
        <f>R268+0.01</f>
        <v>0.64</v>
      </c>
      <c r="S269" s="56">
        <v>1.35E-2</v>
      </c>
    </row>
    <row r="270" spans="2:19" ht="20.100000000000001" customHeight="1">
      <c r="B270" s="59">
        <v>80</v>
      </c>
      <c r="C270" s="71">
        <v>242.1</v>
      </c>
      <c r="D270" s="60">
        <v>126</v>
      </c>
      <c r="E270" s="54">
        <f>D270/45*0.2165</f>
        <v>0.60619999999999996</v>
      </c>
      <c r="F270" s="43"/>
      <c r="G270" s="48" t="s">
        <v>17</v>
      </c>
      <c r="H270" s="48">
        <f>IF(N280=0,INDEX('R276'!F255:F363,(ROUNDDOWN(((H269-70)/(20/72)+1),0)),1),INDEX('R276'!F255:F363,(ROUNDUP(((H269-70)/(20/72))+1,0)),1))</f>
        <v>231.16666666666603</v>
      </c>
      <c r="I270" s="48">
        <f>IF(O280=0,INDEX('R276'!F255:F363,(ROUNDDOWN(((I269-70)/(20/72)+1),0)),1),INDEX('R276'!F255:F363,(ROUNDUP(((I269-70)/(20/72))+1,0)),1))</f>
        <v>234.41111111111044</v>
      </c>
      <c r="J270" s="43"/>
      <c r="K270" s="61" t="s">
        <v>18</v>
      </c>
      <c r="L270" s="62">
        <f>L268/L278</f>
        <v>2.1637448775253523</v>
      </c>
      <c r="M270" s="43"/>
      <c r="N270" s="48" t="s">
        <v>19</v>
      </c>
      <c r="O270" s="48">
        <f>IF((O273&gt;0),((100+(L271/-H274))/100))</f>
        <v>0.98437285655007001</v>
      </c>
      <c r="P270" s="42"/>
      <c r="Q270" s="48">
        <v>20</v>
      </c>
      <c r="R270" s="55">
        <f>R269+0.01</f>
        <v>0.65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30</v>
      </c>
      <c r="I271" s="48">
        <f>O281</f>
        <v>29</v>
      </c>
      <c r="J271" s="43"/>
      <c r="K271" s="63" t="s">
        <v>21</v>
      </c>
      <c r="L271" s="64">
        <f>IF(Index!$C$4&gt;0,Index!$C$4*O268,Index!$C$4*O269)</f>
        <v>5.6194750425536606</v>
      </c>
      <c r="M271" s="43"/>
      <c r="N271" s="48" t="s">
        <v>22</v>
      </c>
      <c r="O271" s="48">
        <f>IF((O273&gt;0),((100+(L271/-I274))/100))</f>
        <v>0.98289833120929049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0.61777944862155387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4.345201637374692</v>
      </c>
      <c r="I272" s="48">
        <f>I267/4</f>
        <v>4.4322052072915135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32" t="s">
        <v>121</v>
      </c>
      <c r="C273" s="632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'276'!$J$14</f>
        <v>235.09625</v>
      </c>
      <c r="P273" s="42"/>
      <c r="Q273" s="48">
        <v>-1</v>
      </c>
      <c r="R273" s="55">
        <v>0.56999999999999995</v>
      </c>
      <c r="S273" s="56">
        <v>1.2699999999999999E-2</v>
      </c>
    </row>
    <row r="274" spans="2:19" ht="20.100000000000001" customHeight="1">
      <c r="B274" s="60">
        <f>H269/100*(O266*0.2165)*Link!$C$7*1.02</f>
        <v>1.6521838256441888</v>
      </c>
      <c r="C274" s="48">
        <f>I269/100*(O266*0.2165)*Link!$C$7*1.02</f>
        <v>1.6745448319890981</v>
      </c>
      <c r="D274" s="43"/>
      <c r="E274" s="43"/>
      <c r="F274" s="43"/>
      <c r="G274" s="54" t="s">
        <v>24</v>
      </c>
      <c r="H274" s="48">
        <f>'inf 276'!K31</f>
        <v>3.5959707291090717</v>
      </c>
      <c r="I274" s="48">
        <f>'inf 276'!L31</f>
        <v>3.2859220414831256</v>
      </c>
      <c r="J274" s="43"/>
      <c r="K274" s="57" t="s">
        <v>28</v>
      </c>
      <c r="L274" s="58">
        <f>O267*Index!$D$4*$O$2</f>
        <v>1.8199806052024332</v>
      </c>
      <c r="M274" s="43"/>
      <c r="N274" s="43"/>
      <c r="O274" s="42"/>
      <c r="P274" s="42"/>
      <c r="Q274" s="48">
        <v>-10</v>
      </c>
      <c r="R274" s="55">
        <f t="shared" ref="R274:R279" si="14">R273-0.01</f>
        <v>0.55999999999999994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1.0106567429020212</v>
      </c>
      <c r="I275" s="48">
        <f>(1+(I277*S280))</f>
        <v>1.0116551882386404</v>
      </c>
      <c r="J275" s="43"/>
      <c r="K275" s="61" t="s">
        <v>30</v>
      </c>
      <c r="L275" s="62">
        <f>$O$5*Index!$D$4*O267*1*(1-(L271*0.016))</f>
        <v>1.6563432357805647</v>
      </c>
      <c r="M275" s="42"/>
      <c r="N275" s="54" t="s">
        <v>31</v>
      </c>
      <c r="O275" s="48">
        <f>O273+L271</f>
        <v>240.71572504255366</v>
      </c>
      <c r="P275" s="42"/>
      <c r="Q275" s="48">
        <v>-20</v>
      </c>
      <c r="R275" s="55">
        <f t="shared" si="14"/>
        <v>0.54999999999999993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0.61777944862155387</v>
      </c>
      <c r="I276" s="48">
        <f>R280</f>
        <v>0.57710697527886656</v>
      </c>
      <c r="J276" s="43"/>
      <c r="K276" s="61" t="s">
        <v>32</v>
      </c>
      <c r="L276" s="62">
        <f>$O$5*Index!$D$4*O267*1.25*(1-(L271*0.016))</f>
        <v>2.0704290447257061</v>
      </c>
      <c r="M276" s="42"/>
      <c r="N276" s="43"/>
      <c r="O276" s="43"/>
      <c r="P276" s="53"/>
      <c r="Q276" s="48">
        <v>-30</v>
      </c>
      <c r="R276" s="55">
        <f t="shared" si="14"/>
        <v>0.53999999999999992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0.81772750568913377</v>
      </c>
      <c r="I277" s="54">
        <f>1*(O273-C269)*(O273-C270)/((C268-C269)*(C268-C270))+0.903*(O273-C268)*(O273-C270)/((C269-C268)*(C269-C270))+0.76*(O273-C268)*(O273-C269)/((C270-C268)*(C270-C269))</f>
        <v>0.72543886465414387</v>
      </c>
      <c r="J277" s="43"/>
      <c r="K277" s="61" t="s">
        <v>33</v>
      </c>
      <c r="L277" s="62">
        <f>(100+(L275*2.75/-4))/100</f>
        <v>0.98861264025400852</v>
      </c>
      <c r="M277" s="42"/>
      <c r="N277" s="57" t="s">
        <v>43</v>
      </c>
      <c r="O277" s="58"/>
      <c r="P277" s="53"/>
      <c r="Q277" s="48">
        <v>-40</v>
      </c>
      <c r="R277" s="55">
        <f t="shared" si="14"/>
        <v>0.52999999999999992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0.98674925411375558</v>
      </c>
      <c r="M278" s="42"/>
      <c r="N278" s="61">
        <f>MOD(H269,20/72)</f>
        <v>0.23737025098844144</v>
      </c>
      <c r="O278" s="62">
        <f>MOD(I269,20/72)</f>
        <v>0.19717071473544578</v>
      </c>
      <c r="P278" s="53"/>
      <c r="Q278" s="48">
        <v>-50</v>
      </c>
      <c r="R278" s="55">
        <f t="shared" si="14"/>
        <v>0.51999999999999991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239.0593818067731</v>
      </c>
      <c r="M279" s="42"/>
      <c r="N279" s="61">
        <f>N278/(20/72)</f>
        <v>0.85453290355838918</v>
      </c>
      <c r="O279" s="62">
        <f>O278/(20/72)</f>
        <v>0.70981457304760476</v>
      </c>
      <c r="P279" s="53"/>
      <c r="Q279" s="48">
        <v>-60</v>
      </c>
      <c r="R279" s="55">
        <f t="shared" si="14"/>
        <v>0.5099999999999999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242.78615408727936</v>
      </c>
      <c r="M280" s="43"/>
      <c r="N280" s="61">
        <f>IF(N279&lt;0.288,ROUNDDOWN(N279,0),ROUNDUP(N279,0))</f>
        <v>1</v>
      </c>
      <c r="O280" s="62">
        <f>IF(O279&lt;0.288,ROUNDDOWN(O279,0),ROUNDUP(O279,0))</f>
        <v>1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0.57710697527886656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30</v>
      </c>
      <c r="O281" s="62">
        <f>IF(O278&lt;0.08,30,O282)</f>
        <v>29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30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26" t="s">
        <v>72</v>
      </c>
      <c r="C286" s="628"/>
      <c r="D286" s="628"/>
      <c r="E286" s="627"/>
      <c r="F286" s="43"/>
      <c r="G286" s="629" t="s">
        <v>72</v>
      </c>
      <c r="H286" s="630"/>
      <c r="I286" s="631"/>
      <c r="J286" s="43"/>
      <c r="K286" s="48" t="s">
        <v>7</v>
      </c>
      <c r="L286" s="53"/>
      <c r="M286" s="43"/>
      <c r="N286" s="48" t="s">
        <v>8</v>
      </c>
      <c r="O286" s="54">
        <f>O287/0.2165</f>
        <v>2.503994148571683</v>
      </c>
      <c r="P286" s="43"/>
      <c r="Q286" s="48">
        <v>1</v>
      </c>
      <c r="R286" s="55">
        <v>0.61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16.448634486819351</v>
      </c>
      <c r="I287" s="48">
        <f>I288/0.2165</f>
        <v>16.765439585418719</v>
      </c>
      <c r="J287" s="43"/>
      <c r="K287" s="57" t="s">
        <v>11</v>
      </c>
      <c r="L287" s="58">
        <f>O287*$O$3*Index!$D$4</f>
        <v>2.076419894372826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0.54211473316576941</v>
      </c>
      <c r="P287" s="43"/>
      <c r="Q287" s="48">
        <v>5</v>
      </c>
      <c r="R287" s="55">
        <f>R286+0.01</f>
        <v>0.62</v>
      </c>
      <c r="S287" s="56">
        <v>1.3100000000000001E-2</v>
      </c>
    </row>
    <row r="288" spans="2:19" ht="20.100000000000001" customHeight="1">
      <c r="B288" s="59">
        <v>100</v>
      </c>
      <c r="C288" s="71">
        <v>319.8</v>
      </c>
      <c r="D288" s="60">
        <v>266</v>
      </c>
      <c r="E288" s="54">
        <f>D288/45*0.2165</f>
        <v>1.2797555555555555</v>
      </c>
      <c r="F288" s="43"/>
      <c r="G288" s="48" t="s">
        <v>7</v>
      </c>
      <c r="H288" s="48">
        <f>L289+O292+B294</f>
        <v>3.5611293663963899</v>
      </c>
      <c r="I288" s="48">
        <f>L290+O292+C294</f>
        <v>3.6297176702431528</v>
      </c>
      <c r="J288" s="43"/>
      <c r="K288" s="61" t="s">
        <v>13</v>
      </c>
      <c r="L288" s="62">
        <f>IF(L291&gt;0,L287*O290,L287*O291)</f>
        <v>2.0416298369059023</v>
      </c>
      <c r="M288" s="43"/>
      <c r="N288" s="48" t="s">
        <v>14</v>
      </c>
      <c r="O288" s="48">
        <f>H296*POWER(H295,(C288-O293))</f>
        <v>1.4976212095088188</v>
      </c>
      <c r="P288" s="42"/>
      <c r="Q288" s="48">
        <v>10</v>
      </c>
      <c r="R288" s="55">
        <f>R287+0.01</f>
        <v>0.63</v>
      </c>
      <c r="S288" s="56">
        <v>1.3299999999999999E-2</v>
      </c>
    </row>
    <row r="289" spans="2:19" ht="20.100000000000001" customHeight="1">
      <c r="B289" s="59">
        <v>90</v>
      </c>
      <c r="C289" s="71">
        <v>284.2</v>
      </c>
      <c r="D289" s="60">
        <v>183</v>
      </c>
      <c r="E289" s="54">
        <f>D289/45*0.2165</f>
        <v>0.88043333333333329</v>
      </c>
      <c r="F289" s="43"/>
      <c r="G289" s="48" t="s">
        <v>5</v>
      </c>
      <c r="H289" s="48">
        <f>IF(L299&lt;=C289,80+(L299-C290)/((C289-C290)/10),90+(L299-C289)/((C288-C289)/10))</f>
        <v>77.121443642301827</v>
      </c>
      <c r="I289" s="48">
        <f>IF(L300&lt;=C289,80+(L300-C290)/((C289-C290)/10),90+(L300-C289)/((C288-C289)/10))</f>
        <v>78.142908238355972</v>
      </c>
      <c r="J289" s="43"/>
      <c r="K289" s="61" t="s">
        <v>15</v>
      </c>
      <c r="L289" s="62">
        <f>L288*L297</f>
        <v>2.0195182464575625</v>
      </c>
      <c r="M289" s="43"/>
      <c r="N289" s="48" t="s">
        <v>16</v>
      </c>
      <c r="O289" s="48">
        <f>I296*POWER(I295,(C288-O293))</f>
        <v>1.9890432057861325</v>
      </c>
      <c r="P289" s="42"/>
      <c r="Q289" s="48">
        <v>15</v>
      </c>
      <c r="R289" s="55">
        <f>R288+0.01</f>
        <v>0.64</v>
      </c>
      <c r="S289" s="56">
        <v>1.35E-2</v>
      </c>
    </row>
    <row r="290" spans="2:19" ht="20.100000000000001" customHeight="1">
      <c r="B290" s="59">
        <v>80</v>
      </c>
      <c r="C290" s="71">
        <v>249.5</v>
      </c>
      <c r="D290" s="60">
        <v>128</v>
      </c>
      <c r="E290" s="54">
        <f>D290/45*0.2165</f>
        <v>0.61582222222222227</v>
      </c>
      <c r="F290" s="43"/>
      <c r="G290" s="48" t="s">
        <v>17</v>
      </c>
      <c r="H290" s="48">
        <f>IF(N300=0,INDEX('R276'!G255:G363,(ROUNDDOWN(((H289-70)/(20/72)+1),0)),1),INDEX('R276'!G255:G363,(ROUNDUP(((H289-70)/(20/72))+1,0)),1))</f>
        <v>233.21111111110997</v>
      </c>
      <c r="I290" s="48">
        <f>IF(O300=0,INDEX('R276'!G255:G363,(ROUNDDOWN(((I289-70)/(20/72)+1),0)),1),INDEX('R276'!G255:G363,(ROUNDUP(((I289-70)/(20/72))+1,0)),1))</f>
        <v>236.56666666666558</v>
      </c>
      <c r="J290" s="43"/>
      <c r="K290" s="61" t="s">
        <v>18</v>
      </c>
      <c r="L290" s="62">
        <f>L288/L298</f>
        <v>2.0676880894258627</v>
      </c>
      <c r="M290" s="43"/>
      <c r="N290" s="48" t="s">
        <v>19</v>
      </c>
      <c r="O290" s="48">
        <f>IF((O293&gt;0),((100+(L291/-H294))/100))</f>
        <v>0.98324517234630338</v>
      </c>
      <c r="P290" s="42"/>
      <c r="Q290" s="48">
        <v>20</v>
      </c>
      <c r="R290" s="55">
        <f>R289+0.01</f>
        <v>0.65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29</v>
      </c>
      <c r="I291" s="48">
        <f>O301</f>
        <v>29</v>
      </c>
      <c r="J291" s="43"/>
      <c r="K291" s="63" t="s">
        <v>21</v>
      </c>
      <c r="L291" s="64">
        <f>IF(Index!$C$4&gt;0,Index!$C$4*O288,Index!$C$4*O289)</f>
        <v>5.9904848380352753</v>
      </c>
      <c r="M291" s="43"/>
      <c r="N291" s="48" t="s">
        <v>22</v>
      </c>
      <c r="O291" s="48">
        <f>IF((O293&gt;0),((100+(L291/-I294))/100))</f>
        <v>0.98134759299426744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0.61777944862155387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4.1121586217048378</v>
      </c>
      <c r="I292" s="48">
        <f>I287/4</f>
        <v>4.1913598963546796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32" t="s">
        <v>121</v>
      </c>
      <c r="C293" s="632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'276'!$J$14</f>
        <v>235.09625</v>
      </c>
      <c r="P293" s="42"/>
      <c r="Q293" s="48">
        <v>-1</v>
      </c>
      <c r="R293" s="55">
        <v>0.56000000000000005</v>
      </c>
      <c r="S293" s="56">
        <v>1.2699999999999999E-2</v>
      </c>
    </row>
    <row r="294" spans="2:19" ht="20.100000000000001" customHeight="1">
      <c r="B294" s="60">
        <f>H289/100*(O286*0.2165)*Link!$C$7*1.02</f>
        <v>1.5416111199388276</v>
      </c>
      <c r="C294" s="48">
        <f>I289/100*(O286*0.2165)*Link!$C$7*1.02</f>
        <v>1.5620295808172904</v>
      </c>
      <c r="D294" s="43"/>
      <c r="E294" s="43"/>
      <c r="F294" s="43"/>
      <c r="G294" s="54" t="s">
        <v>24</v>
      </c>
      <c r="H294" s="48">
        <f>'inf 276'!K37</f>
        <v>3.5753783696566952</v>
      </c>
      <c r="I294" s="48">
        <f>'inf 276'!L37</f>
        <v>3.2116417126187455</v>
      </c>
      <c r="J294" s="43"/>
      <c r="K294" s="57" t="s">
        <v>28</v>
      </c>
      <c r="L294" s="58">
        <f>O287*Index!$D$4*$O$2</f>
        <v>1.7423231675374053</v>
      </c>
      <c r="M294" s="43"/>
      <c r="N294" s="43"/>
      <c r="O294" s="42"/>
      <c r="P294" s="42"/>
      <c r="Q294" s="48">
        <v>-10</v>
      </c>
      <c r="R294" s="55">
        <f>R293-0.01</f>
        <v>0.55000000000000004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1.0105089383676229</v>
      </c>
      <c r="I295" s="48">
        <f>(1+(I297*S300))</f>
        <v>1.011031082405514</v>
      </c>
      <c r="J295" s="43"/>
      <c r="K295" s="61" t="s">
        <v>30</v>
      </c>
      <c r="L295" s="62">
        <f>$O$5*Index!$D$4*O287*1*(1-(L291*0.016))</f>
        <v>1.5753253992479583</v>
      </c>
      <c r="M295" s="42"/>
      <c r="N295" s="54" t="s">
        <v>31</v>
      </c>
      <c r="O295" s="48">
        <f>O293+L291</f>
        <v>241.08673483803528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0.61777944862155387</v>
      </c>
      <c r="I296" s="48">
        <f>R300</f>
        <v>0.78536685854689969</v>
      </c>
      <c r="J296" s="43"/>
      <c r="K296" s="61" t="s">
        <v>32</v>
      </c>
      <c r="L296" s="62">
        <f>$O$5*Index!$D$4*O287*1.25*(1-(L291*0.016))</f>
        <v>1.969156749059948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0.80638596969128695</v>
      </c>
      <c r="I297" s="54">
        <f>1*(O293-C289)*(O293-C290)/((C288-C289)*(C288-C290))+0.903*(O293-C288)*(O293-C290)/((C289-C288)*(C289-C290))+0.76*(O293-C288)*(O293-C289)/((C290-C288)*(C290-C289))</f>
        <v>0.6865934493989716</v>
      </c>
      <c r="J297" s="43"/>
      <c r="K297" s="61" t="s">
        <v>33</v>
      </c>
      <c r="L297" s="62">
        <f>(100+(L295*2.75/-4))/100</f>
        <v>0.98916963788017032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0.98739739680601635</v>
      </c>
      <c r="M298" s="42"/>
      <c r="N298" s="61">
        <f>MOD(H289,20/72)</f>
        <v>0.17699919785737916</v>
      </c>
      <c r="O298" s="62">
        <f>MOD(I289,20/72)</f>
        <v>8.735268280041264E-2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239.51140943878733</v>
      </c>
      <c r="M299" s="42"/>
      <c r="N299" s="61">
        <f>N298/(20/72)</f>
        <v>0.63719711228656495</v>
      </c>
      <c r="O299" s="62">
        <f>O298/(20/72)</f>
        <v>0.31446965808148547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243.05589158709523</v>
      </c>
      <c r="M300" s="43"/>
      <c r="N300" s="61">
        <f>IF(N299&lt;0.288,ROUNDDOWN(N299,0),ROUNDUP(N299,0))</f>
        <v>1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0.78536685854689969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29</v>
      </c>
      <c r="O301" s="62">
        <f>IF(O298&lt;0.08,30,O302)</f>
        <v>29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29</v>
      </c>
      <c r="P302" s="43"/>
      <c r="Q302" s="43"/>
      <c r="R302" s="43"/>
      <c r="S302" s="43"/>
    </row>
    <row r="306" spans="2:19" ht="20.100000000000001" customHeight="1">
      <c r="B306" s="626" t="s">
        <v>74</v>
      </c>
      <c r="C306" s="628"/>
      <c r="D306" s="628"/>
      <c r="E306" s="627"/>
      <c r="F306" s="43"/>
      <c r="G306" s="629" t="s">
        <v>74</v>
      </c>
      <c r="H306" s="630"/>
      <c r="I306" s="631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IF(N320=0,INDEX('R276'!E255:E363,(ROUNDDOWN(((H309-70)/(20/72)+1),0)),1),INDEX('R276'!E255:E363,(ROUNDUP(((H309-70)/(20/72))+1,0)),1))</f>
        <v>#DIV/0!</v>
      </c>
      <c r="I310" s="48" t="e">
        <f>IF(O320=0,INDEX('R276'!E255:E363,(ROUNDDOWN(((I309-70)/(20/72)+1),0)),1),INDEX('R276'!E255:E363,(ROUNDUP(((I309-70)/(20/72))+1,0)),1))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O307/4.05*Link!$L$11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'276'!$J$14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276'!O27</f>
        <v>#DIV/0!</v>
      </c>
      <c r="I314" s="48" t="e">
        <f>'inf 276'!P27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26" t="s">
        <v>73</v>
      </c>
      <c r="C326" s="628"/>
      <c r="D326" s="628"/>
      <c r="E326" s="627"/>
      <c r="F326" s="43"/>
      <c r="G326" s="629" t="s">
        <v>73</v>
      </c>
      <c r="H326" s="630"/>
      <c r="I326" s="631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IF(N340=0,INDEX('R276'!F255:F363,(ROUNDDOWN(((H329-70)/(20/72)+1),0)),1),INDEX('R276'!F255:F363,(ROUNDUP(((H329-70)/(20/72))+1,0)),1))</f>
        <v>#DIV/0!</v>
      </c>
      <c r="I330" s="48" t="e">
        <f>IF(O340=0,INDEX('R276'!F255:F363,(ROUNDDOWN(((I329-70)/(20/72)+1),0)),1),INDEX('R276'!F255:F363,(ROUNDUP(((I329-70)/(20/72))+1,0)),1))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O327/4.05*Link!$L$11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'276'!$J$14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276'!O15</f>
        <v>#DIV/0!</v>
      </c>
      <c r="I334" s="48" t="e">
        <f>'inf 276'!P15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26" t="s">
        <v>75</v>
      </c>
      <c r="C346" s="628"/>
      <c r="D346" s="628"/>
      <c r="E346" s="627"/>
      <c r="F346" s="43"/>
      <c r="G346" s="629" t="s">
        <v>75</v>
      </c>
      <c r="H346" s="630"/>
      <c r="I346" s="631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IF(N360=0,INDEX('R276'!G255:G363,(ROUNDDOWN(((H349-70)/(20/72)+1),0)),1),INDEX('R276'!G255:G363,(ROUNDUP(((H349-70)/(20/72))+1,0)),1))</f>
        <v>#DIV/0!</v>
      </c>
      <c r="I350" s="48" t="e">
        <f>IF(O360=0,INDEX('R276'!G255:G363,(ROUNDDOWN(((I349-70)/(20/72)+1),0)),1),INDEX('R276'!G255:G363,(ROUNDUP(((I349-70)/(20/72))+1,0)),1))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O347/4.05*Link!$L$11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'276'!$J$14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276'!O21</f>
        <v>#DIV/0!</v>
      </c>
      <c r="I354" s="48" t="e">
        <f>'inf 276'!P21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  <row r="364" spans="2:19" ht="20.100000000000001" customHeight="1">
      <c r="B364" s="308" t="s">
        <v>87</v>
      </c>
      <c r="C364" s="309">
        <v>1</v>
      </c>
      <c r="D364" s="309">
        <v>0.9</v>
      </c>
      <c r="E364" s="309">
        <v>0.8</v>
      </c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</row>
    <row r="365" spans="2:19" ht="20.100000000000001" customHeight="1">
      <c r="B365" s="308" t="s">
        <v>88</v>
      </c>
      <c r="C365" s="308">
        <v>261.25</v>
      </c>
      <c r="D365" s="308">
        <v>227.5</v>
      </c>
      <c r="E365" s="308">
        <v>196</v>
      </c>
      <c r="F365" s="85"/>
      <c r="G365" s="308" t="s">
        <v>86</v>
      </c>
      <c r="H365" s="85"/>
      <c r="I365" s="85"/>
      <c r="J365" s="308" t="s">
        <v>89</v>
      </c>
      <c r="K365" s="86"/>
      <c r="L365" s="85"/>
      <c r="M365" s="308" t="s">
        <v>86</v>
      </c>
      <c r="N365" s="308">
        <f>C366*(N371-D365)*(N371-E365)/((C365-D365)*(C365-E365))+D366*(N371-C365)*(N371-E365)/((D365-C365)*(D365-E365))+E366*(N371-C365)*(N371-D365)/((E365-C365)*(E365-D365))</f>
        <v>0.96930383799914854</v>
      </c>
      <c r="O365" s="85"/>
      <c r="P365" s="85"/>
    </row>
    <row r="366" spans="2:19" ht="20.100000000000001" customHeight="1">
      <c r="B366" s="308" t="s">
        <v>86</v>
      </c>
      <c r="C366" s="308">
        <v>1.276</v>
      </c>
      <c r="D366" s="308">
        <v>0.89200000000000002</v>
      </c>
      <c r="E366" s="308">
        <v>0.628</v>
      </c>
      <c r="F366" s="85"/>
      <c r="G366" s="308" t="s">
        <v>90</v>
      </c>
      <c r="H366" s="310">
        <f>N365*S367*Index!D4</f>
        <v>3.7126490939657293</v>
      </c>
      <c r="I366" s="85"/>
      <c r="J366" s="308" t="s">
        <v>92</v>
      </c>
      <c r="K366" s="308">
        <f>N365*Index!D4*$S$366</f>
        <v>3.115282485437306</v>
      </c>
      <c r="L366" s="86"/>
      <c r="M366" s="308" t="s">
        <v>81</v>
      </c>
      <c r="N366" s="310">
        <f>M378*POWER(L378,(C365-N371))</f>
        <v>1.1285061026351861</v>
      </c>
      <c r="O366" s="85"/>
      <c r="P366" s="85"/>
      <c r="R366" s="45" t="s">
        <v>3</v>
      </c>
      <c r="S366" s="46">
        <f>COS(Index!$E$4*PI()/180)</f>
        <v>0.64278760968653936</v>
      </c>
    </row>
    <row r="367" spans="2:19" ht="20.100000000000001" customHeight="1">
      <c r="B367" s="85"/>
      <c r="C367" s="85"/>
      <c r="D367" s="85"/>
      <c r="E367" s="85"/>
      <c r="F367" s="85"/>
      <c r="G367" s="308" t="s">
        <v>91</v>
      </c>
      <c r="H367" s="310">
        <f>IF(H373&gt;0,H366*N368,H366*N369)</f>
        <v>3.6940279954791366</v>
      </c>
      <c r="I367" s="85"/>
      <c r="J367" s="308" t="s">
        <v>97</v>
      </c>
      <c r="K367" s="308">
        <f>$S$366*Index!$D$4*N365*1*(1-(H373*0.016))</f>
        <v>2.8902831064774017</v>
      </c>
      <c r="L367" s="86"/>
      <c r="M367" s="308" t="s">
        <v>93</v>
      </c>
      <c r="N367" s="310">
        <f>M379*POWER(L379,(C365-N371))</f>
        <v>0.98897668931797056</v>
      </c>
      <c r="O367" s="85"/>
      <c r="P367" s="85"/>
      <c r="R367" s="49" t="s">
        <v>4</v>
      </c>
      <c r="S367" s="50">
        <f>SIN(Index!$E$4*PI()/180)</f>
        <v>0.76604444311897801</v>
      </c>
    </row>
    <row r="368" spans="2:19" ht="20.100000000000001" customHeight="1">
      <c r="B368" s="86"/>
      <c r="C368" s="86"/>
      <c r="D368" s="86"/>
      <c r="E368" s="85"/>
      <c r="F368" s="85"/>
      <c r="G368" s="308" t="s">
        <v>94</v>
      </c>
      <c r="H368" s="310">
        <f>H367*K369</f>
        <v>3.6206250868465948</v>
      </c>
      <c r="I368" s="85"/>
      <c r="J368" s="308" t="s">
        <v>99</v>
      </c>
      <c r="K368" s="308">
        <f>$S$366*Index!$D$4*N365*1.25*(1-(H373*0.016))</f>
        <v>3.612853883096752</v>
      </c>
      <c r="L368" s="86"/>
      <c r="M368" s="308" t="s">
        <v>95</v>
      </c>
      <c r="N368" s="310">
        <f>IF((N371&gt;0),((100+(H373/-K378))/100))</f>
        <v>0.99498441732162135</v>
      </c>
      <c r="O368" s="85"/>
      <c r="P368" s="85"/>
      <c r="R368" s="49"/>
      <c r="S368" s="50"/>
    </row>
    <row r="369" spans="2:22" ht="20.100000000000001" customHeight="1">
      <c r="B369" s="86"/>
      <c r="C369" s="86"/>
      <c r="D369" s="86"/>
      <c r="E369" s="85"/>
      <c r="F369" s="85"/>
      <c r="G369" s="308" t="s">
        <v>96</v>
      </c>
      <c r="H369" s="310">
        <f>H367/K370</f>
        <v>3.7814640077949941</v>
      </c>
      <c r="I369" s="85"/>
      <c r="J369" s="308" t="s">
        <v>102</v>
      </c>
      <c r="K369" s="308">
        <f>(100+(K367*2.75/-4))/100</f>
        <v>0.98012930364296791</v>
      </c>
      <c r="L369" s="86"/>
      <c r="M369" s="308" t="s">
        <v>98</v>
      </c>
      <c r="N369" s="310">
        <f>IF((N371&gt;0),((100+(H373/-K379))/100))</f>
        <v>0.97074733013591485</v>
      </c>
      <c r="O369" s="85"/>
      <c r="P369" s="85"/>
      <c r="R369" s="51" t="s">
        <v>3</v>
      </c>
      <c r="S369" s="52">
        <f>COS(RADIANS(Index!$E$4))</f>
        <v>0.64278760968653936</v>
      </c>
    </row>
    <row r="370" spans="2:22" ht="20.100000000000001" customHeight="1">
      <c r="B370" s="308" t="s">
        <v>81</v>
      </c>
      <c r="C370" s="308">
        <v>1</v>
      </c>
      <c r="D370" s="308">
        <v>0.8</v>
      </c>
      <c r="E370" s="85"/>
      <c r="F370" s="85"/>
      <c r="G370" s="85"/>
      <c r="H370" s="85"/>
      <c r="I370" s="85"/>
      <c r="J370" s="308" t="s">
        <v>104</v>
      </c>
      <c r="K370" s="308">
        <f>(100+(K368*4/-6.25))/100</f>
        <v>0.97687773514818077</v>
      </c>
      <c r="L370" s="86"/>
      <c r="M370" s="308" t="s">
        <v>100</v>
      </c>
      <c r="N370" s="308">
        <f>N365/4*Index!G4</f>
        <v>0</v>
      </c>
      <c r="O370" s="85"/>
      <c r="P370" s="85"/>
    </row>
    <row r="371" spans="2:22" ht="20.100000000000001" customHeight="1">
      <c r="B371" s="308" t="s">
        <v>81</v>
      </c>
      <c r="C371" s="308">
        <v>10</v>
      </c>
      <c r="D371" s="308">
        <f>D370</f>
        <v>0.8</v>
      </c>
      <c r="E371" s="85"/>
      <c r="F371" s="85"/>
      <c r="H371" s="85"/>
      <c r="I371" s="85"/>
      <c r="L371" s="86"/>
      <c r="M371" s="308" t="s">
        <v>103</v>
      </c>
      <c r="N371" s="308">
        <f>$L$14</f>
        <v>235.09625</v>
      </c>
      <c r="O371" s="85"/>
      <c r="P371" s="85"/>
    </row>
    <row r="372" spans="2:22" ht="20.100000000000001" customHeight="1">
      <c r="B372" s="308" t="s">
        <v>81</v>
      </c>
      <c r="C372" s="308">
        <v>20</v>
      </c>
      <c r="D372" s="308">
        <f>D370</f>
        <v>0.8</v>
      </c>
      <c r="E372" s="85"/>
      <c r="F372" s="85"/>
      <c r="G372" s="313" t="s">
        <v>101</v>
      </c>
      <c r="H372" s="307">
        <f>N371+H373</f>
        <v>239.61027441054074</v>
      </c>
      <c r="I372" s="85"/>
      <c r="J372" s="308" t="s">
        <v>108</v>
      </c>
      <c r="K372" s="312">
        <f>N371+H373-K367</f>
        <v>236.71999130406334</v>
      </c>
      <c r="L372" s="86"/>
      <c r="M372" s="85"/>
      <c r="N372" s="85"/>
      <c r="O372" s="85"/>
      <c r="P372" s="85"/>
    </row>
    <row r="373" spans="2:22" ht="20.100000000000001" customHeight="1">
      <c r="B373" s="308" t="s">
        <v>105</v>
      </c>
      <c r="C373" s="308">
        <f>Index!C4</f>
        <v>4</v>
      </c>
      <c r="D373" s="310">
        <f>D370*(C373-C371)*(C373-C372)/((C370-C371)*(C370-C372))+D371*(C373-C370)*(C373-C372)/((C371-C370)*(C371-C372))+D372*(C373-C370)*(C373-C371)/((C372-C370)*(C372-C371))</f>
        <v>0.80000000000000016</v>
      </c>
      <c r="E373" s="85"/>
      <c r="F373" s="85"/>
      <c r="G373" s="315" t="s">
        <v>106</v>
      </c>
      <c r="H373" s="308">
        <f>IF(Index!$C$4&gt;0,Index!$C$4*N366,Index!$C$4*N367)</f>
        <v>4.5140244105407445</v>
      </c>
      <c r="I373" s="85"/>
      <c r="J373" s="308" t="s">
        <v>109</v>
      </c>
      <c r="K373" s="312">
        <f>N371+H373+K368</f>
        <v>243.2231282936375</v>
      </c>
      <c r="L373" s="85"/>
      <c r="M373" s="85"/>
      <c r="N373" s="308" t="s">
        <v>107</v>
      </c>
      <c r="O373" s="314"/>
      <c r="P373" s="314"/>
    </row>
    <row r="374" spans="2:22" ht="20.100000000000001" customHeight="1">
      <c r="B374" s="656"/>
      <c r="C374" s="656"/>
      <c r="D374" s="86"/>
      <c r="E374" s="85"/>
      <c r="F374" s="85"/>
      <c r="G374" s="314"/>
      <c r="H374" s="314"/>
      <c r="I374" s="85"/>
      <c r="M374" s="85"/>
      <c r="N374" s="308">
        <f>MOD(G378,20/72)</f>
        <v>2.7429227635512143E-2</v>
      </c>
      <c r="O374" s="308">
        <f>MOD(G379,20/72)</f>
        <v>2.8416635345524077E-2</v>
      </c>
      <c r="P374" s="314"/>
    </row>
    <row r="375" spans="2:22" ht="20.100000000000001" customHeight="1">
      <c r="B375" s="86"/>
      <c r="C375" s="86"/>
      <c r="D375" s="86"/>
      <c r="E375" s="85"/>
      <c r="F375" s="85"/>
      <c r="G375" s="86"/>
      <c r="H375" s="86"/>
      <c r="I375" s="85"/>
      <c r="L375" s="85"/>
      <c r="M375" s="85"/>
      <c r="N375" s="308">
        <f>N374/(20/72)</f>
        <v>9.8745219487843705E-2</v>
      </c>
      <c r="O375" s="308">
        <f>O374/(20/72)</f>
        <v>0.10229988724388667</v>
      </c>
      <c r="P375" s="314"/>
    </row>
    <row r="376" spans="2:22" ht="20.100000000000001" customHeight="1">
      <c r="B376" s="308" t="s">
        <v>82</v>
      </c>
      <c r="C376" s="308">
        <v>-1</v>
      </c>
      <c r="D376" s="308">
        <v>0.67300000000000004</v>
      </c>
      <c r="E376" s="85"/>
      <c r="F376" s="86"/>
      <c r="G376" s="86"/>
      <c r="H376" s="86"/>
      <c r="I376" s="85"/>
      <c r="J376" s="85"/>
      <c r="K376" s="85"/>
      <c r="L376" s="85"/>
      <c r="M376" s="85"/>
      <c r="N376" s="308">
        <f>IF(N375&lt;0.288,ROUNDDOWN(N375,0),ROUNDUP(N375,0))</f>
        <v>0</v>
      </c>
      <c r="O376" s="308">
        <f>IF(O375&lt;0.288,ROUNDDOWN(O375,0),ROUNDUP(O375,0))</f>
        <v>0</v>
      </c>
      <c r="P376" s="314"/>
    </row>
    <row r="377" spans="2:22" ht="20.100000000000001" customHeight="1">
      <c r="B377" s="308" t="s">
        <v>82</v>
      </c>
      <c r="C377" s="308">
        <v>-20</v>
      </c>
      <c r="D377" s="310">
        <v>0.66</v>
      </c>
      <c r="E377" s="85"/>
      <c r="F377" s="308" t="s">
        <v>110</v>
      </c>
      <c r="G377" s="308" t="s">
        <v>111</v>
      </c>
      <c r="H377" s="308" t="s">
        <v>112</v>
      </c>
      <c r="I377" s="308" t="s">
        <v>113</v>
      </c>
      <c r="J377" s="85"/>
      <c r="K377" s="308" t="s">
        <v>114</v>
      </c>
      <c r="L377" s="316" t="s">
        <v>115</v>
      </c>
      <c r="M377" s="308" t="s">
        <v>116</v>
      </c>
      <c r="N377" s="314"/>
      <c r="O377" s="314"/>
      <c r="P377" s="314"/>
      <c r="R377" s="319" t="s">
        <v>120</v>
      </c>
      <c r="S377" s="319">
        <f>C365</f>
        <v>261.25</v>
      </c>
      <c r="T377" s="319">
        <f>D365</f>
        <v>227.5</v>
      </c>
      <c r="U377" s="319">
        <f>E365</f>
        <v>196</v>
      </c>
      <c r="V377" s="319">
        <f>S378*(V378-T377)*(V378-U377)/((S377-T377)*(S377-U377))+T378*(V378-S377)*(V378-U377)/((T377-S377)*(T377-U377))+U378*(V378-S377)*(V378-T377)/((U377-S377)*(U377-T377))</f>
        <v>1.5431153571670488</v>
      </c>
    </row>
    <row r="378" spans="2:22" ht="20.100000000000001" customHeight="1">
      <c r="B378" s="308" t="s">
        <v>82</v>
      </c>
      <c r="C378" s="308">
        <v>-40</v>
      </c>
      <c r="D378" s="310">
        <v>0.62</v>
      </c>
      <c r="E378" s="308" t="s">
        <v>117</v>
      </c>
      <c r="F378" s="311">
        <f>IF(N376=0,INDEX('R276'!E255:E363,(ROUNDDOWN(((G378-70)/(20/72)+1),0)),1),INDEX('R276'!E255:E363,(ROUNDUP(((G378-70)/(20/72))+1,0)),1))</f>
        <v>256.06666666666706</v>
      </c>
      <c r="G378" s="312">
        <f>100*(K372-D365)*(K372-E365)/((C365-D365)*(C365-E365))+90*(K372-C365)*(K372-E365)/((D365-C365)*(D365-E365))+80*(K372-C365)*(K372-D365)/((E365-C365)*(E365-D365))</f>
        <v>92.805207005413294</v>
      </c>
      <c r="H378" s="312">
        <f>H368+N370+Link!C7</f>
        <v>7.2356250868465946</v>
      </c>
      <c r="I378" s="308">
        <f>O378</f>
        <v>9</v>
      </c>
      <c r="J378" s="308" t="s">
        <v>81</v>
      </c>
      <c r="K378" s="308">
        <v>9</v>
      </c>
      <c r="L378" s="308">
        <v>1.0129999999999999</v>
      </c>
      <c r="M378" s="318">
        <v>0.80500000000000005</v>
      </c>
      <c r="N378" s="308" t="s">
        <v>85</v>
      </c>
      <c r="O378" s="308">
        <f>IF(N374&lt;0.08,9,O379)</f>
        <v>9</v>
      </c>
      <c r="P378" s="308">
        <f>IF(O374&lt;0.08,9,P379)</f>
        <v>9</v>
      </c>
      <c r="R378" s="87"/>
      <c r="S378" s="319">
        <v>1.1000000000000001</v>
      </c>
      <c r="T378" s="319">
        <v>1.75</v>
      </c>
      <c r="U378" s="319">
        <v>2.15</v>
      </c>
      <c r="V378" s="320">
        <f>H372</f>
        <v>239.61027441054074</v>
      </c>
    </row>
    <row r="379" spans="2:22" ht="20.100000000000001" customHeight="1">
      <c r="B379" s="308" t="s">
        <v>118</v>
      </c>
      <c r="C379" s="308">
        <f>C373</f>
        <v>4</v>
      </c>
      <c r="D379" s="310">
        <f>D376*(C379-C377)*(C379-C378)/((C376-C377)*(C376-C378))+D377*(C379-C376)*(C379-C378)/((C377-C376)*(C377-C378))+D378*(C379-C376)*(C379-C377)/((C378-C376)*(C378-C377))</f>
        <v>0.67237246963562769</v>
      </c>
      <c r="E379" s="308" t="s">
        <v>119</v>
      </c>
      <c r="F379" s="311">
        <f>IF(O376=0,INDEX('R276'!E255:E363,(ROUNDDOWN(((G379-70)/(20/72)+1),0)),1),INDEX('R276'!E255:E363,(ROUNDUP(((G379-70)/(20/72))+1,0)),1))</f>
        <v>261.43333333333362</v>
      </c>
      <c r="G379" s="312">
        <f>100*(K373-D365)*(K373-E365)/((C365-D365)*(C365-E365))+90*(K373-C365)*(K373-E365)/((D365-C365)*(D365-E365))+80*(K373-C365)*(K373-D365)/((E365-C365)*(E365-D365))</f>
        <v>94.750638857567751</v>
      </c>
      <c r="H379" s="312">
        <f>H369+N370+Link!C7</f>
        <v>7.3964640077949939</v>
      </c>
      <c r="I379" s="308">
        <f>P378</f>
        <v>9</v>
      </c>
      <c r="J379" s="308" t="s">
        <v>82</v>
      </c>
      <c r="K379" s="308">
        <f>V377</f>
        <v>1.5431153571670488</v>
      </c>
      <c r="L379" s="316">
        <v>1.0149999999999999</v>
      </c>
      <c r="M379" s="310">
        <v>0.67</v>
      </c>
      <c r="N379" s="314"/>
      <c r="O379" s="308">
        <f>IF(N374&gt;(20/72)-0.08,9,8)</f>
        <v>8</v>
      </c>
      <c r="P379" s="317">
        <f>IF(O374&gt;(20/72)-0.08,9,8)</f>
        <v>8</v>
      </c>
    </row>
  </sheetData>
  <sheetProtection sheet="1" objects="1" scenarios="1" selectLockedCells="1" selectUnlockedCells="1"/>
  <mergeCells count="52">
    <mergeCell ref="B293:C293"/>
    <mergeCell ref="G2:H2"/>
    <mergeCell ref="I2:J2"/>
    <mergeCell ref="K2:L2"/>
    <mergeCell ref="B18:E18"/>
    <mergeCell ref="G18:I18"/>
    <mergeCell ref="G266:I266"/>
    <mergeCell ref="B286:E286"/>
    <mergeCell ref="G286:I286"/>
    <mergeCell ref="B253:C253"/>
    <mergeCell ref="B273:C273"/>
    <mergeCell ref="B122:E122"/>
    <mergeCell ref="G122:I122"/>
    <mergeCell ref="B147:E147"/>
    <mergeCell ref="B140:C140"/>
    <mergeCell ref="G147:I147"/>
    <mergeCell ref="B374:C374"/>
    <mergeCell ref="B306:E306"/>
    <mergeCell ref="G306:I306"/>
    <mergeCell ref="B186:E186"/>
    <mergeCell ref="G186:I186"/>
    <mergeCell ref="B206:E206"/>
    <mergeCell ref="G206:I206"/>
    <mergeCell ref="B226:E226"/>
    <mergeCell ref="G226:I226"/>
    <mergeCell ref="B326:E326"/>
    <mergeCell ref="G326:I326"/>
    <mergeCell ref="B346:E346"/>
    <mergeCell ref="G346:I346"/>
    <mergeCell ref="B246:E246"/>
    <mergeCell ref="G246:I246"/>
    <mergeCell ref="B266:E266"/>
    <mergeCell ref="N29:O29"/>
    <mergeCell ref="B54:C54"/>
    <mergeCell ref="N72:O72"/>
    <mergeCell ref="N90:O90"/>
    <mergeCell ref="B115:C115"/>
    <mergeCell ref="B61:E61"/>
    <mergeCell ref="G61:I61"/>
    <mergeCell ref="B79:E79"/>
    <mergeCell ref="G79:I79"/>
    <mergeCell ref="B97:E97"/>
    <mergeCell ref="G97:I97"/>
    <mergeCell ref="B36:E36"/>
    <mergeCell ref="G36:I36"/>
    <mergeCell ref="N157:O157"/>
    <mergeCell ref="B178:C178"/>
    <mergeCell ref="B233:C233"/>
    <mergeCell ref="B193:C193"/>
    <mergeCell ref="B213:C213"/>
    <mergeCell ref="B165:E165"/>
    <mergeCell ref="G165:I16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BP311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1"/>
  </cols>
  <sheetData>
    <row r="1" spans="1:68" ht="20.100000000000001" customHeight="1"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</row>
    <row r="2" spans="1:68" ht="20.100000000000001" customHeight="1">
      <c r="B2" s="33" t="s">
        <v>38</v>
      </c>
      <c r="C2" s="34"/>
      <c r="D2" s="34"/>
      <c r="F2" s="33" t="s">
        <v>66</v>
      </c>
      <c r="G2" s="34"/>
      <c r="H2" s="34"/>
      <c r="J2" s="33" t="s">
        <v>67</v>
      </c>
      <c r="K2" s="34"/>
      <c r="L2" s="34"/>
      <c r="N2" s="34" t="s">
        <v>47</v>
      </c>
      <c r="O2" s="34"/>
      <c r="P2" s="34"/>
      <c r="R2" s="32"/>
      <c r="S2" s="32"/>
      <c r="T2" s="32"/>
      <c r="U2" s="32"/>
      <c r="V2" s="32"/>
      <c r="W2" s="35"/>
      <c r="X2" s="35"/>
      <c r="Y2" s="35"/>
      <c r="Z2" s="35"/>
      <c r="AA2" s="32"/>
      <c r="AB2" s="32"/>
      <c r="AC2" s="32"/>
      <c r="AD2" s="35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</row>
    <row r="3" spans="1:68" ht="20.100000000000001" customHeight="1">
      <c r="B3" s="33">
        <f>'276'!C38</f>
        <v>246.65</v>
      </c>
      <c r="C3" s="33">
        <v>3.8</v>
      </c>
      <c r="D3" s="33">
        <v>3.8</v>
      </c>
      <c r="F3" s="33">
        <f>'276'!C99</f>
        <v>229.9</v>
      </c>
      <c r="G3" s="33">
        <v>3.8</v>
      </c>
      <c r="H3" s="33">
        <v>3.8</v>
      </c>
      <c r="J3" s="33">
        <f>'276'!C124</f>
        <v>212.4</v>
      </c>
      <c r="K3" s="33">
        <v>3.8</v>
      </c>
      <c r="L3" s="33">
        <v>3.8</v>
      </c>
      <c r="N3" s="33">
        <f>'276'!C167</f>
        <v>259.35000000000002</v>
      </c>
      <c r="O3" s="36">
        <v>4</v>
      </c>
      <c r="P3" s="36">
        <v>4</v>
      </c>
      <c r="R3" s="32"/>
      <c r="S3" s="32"/>
      <c r="T3" s="32"/>
      <c r="U3" s="32"/>
      <c r="V3" s="32"/>
      <c r="W3" s="37"/>
      <c r="X3" s="35"/>
      <c r="Y3" s="35"/>
      <c r="Z3" s="35"/>
      <c r="AA3" s="32"/>
      <c r="AB3" s="32"/>
      <c r="AC3" s="32"/>
      <c r="AD3" s="3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ht="20.100000000000001" customHeight="1">
      <c r="B4" s="33">
        <f>'276'!C39</f>
        <v>212.75</v>
      </c>
      <c r="C4" s="33">
        <v>3.3</v>
      </c>
      <c r="D4" s="33">
        <v>3.3</v>
      </c>
      <c r="F4" s="33">
        <f>'276'!C100</f>
        <v>199.4</v>
      </c>
      <c r="G4" s="33">
        <v>3.3</v>
      </c>
      <c r="H4" s="33">
        <v>3.3</v>
      </c>
      <c r="J4" s="33">
        <f>'276'!C125</f>
        <v>184.6</v>
      </c>
      <c r="K4" s="33">
        <v>3.3</v>
      </c>
      <c r="L4" s="33">
        <v>3.3</v>
      </c>
      <c r="N4" s="33">
        <f>'276'!C168</f>
        <v>223.4</v>
      </c>
      <c r="O4" s="36">
        <v>3.5</v>
      </c>
      <c r="P4" s="36">
        <v>3.5</v>
      </c>
      <c r="R4" s="32"/>
      <c r="S4" s="32"/>
      <c r="T4" s="32"/>
      <c r="U4" s="32"/>
      <c r="V4" s="32"/>
      <c r="W4" s="37"/>
      <c r="X4" s="35"/>
      <c r="Y4" s="35"/>
      <c r="Z4" s="35"/>
      <c r="AA4" s="32"/>
      <c r="AB4" s="32"/>
      <c r="AC4" s="32"/>
      <c r="AD4" s="3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</row>
    <row r="5" spans="1:68" ht="20.100000000000001" customHeight="1">
      <c r="B5" s="33">
        <f>'276'!C40</f>
        <v>180.6</v>
      </c>
      <c r="C5" s="33">
        <v>2.9</v>
      </c>
      <c r="D5" s="33">
        <v>2.8</v>
      </c>
      <c r="F5" s="33">
        <f>'276'!C101</f>
        <v>170.4</v>
      </c>
      <c r="G5" s="33">
        <v>2.9</v>
      </c>
      <c r="H5" s="33">
        <v>2.8</v>
      </c>
      <c r="J5" s="33">
        <f>'276'!C126</f>
        <v>158.5</v>
      </c>
      <c r="K5" s="33">
        <v>2.9</v>
      </c>
      <c r="L5" s="33">
        <v>2.8</v>
      </c>
      <c r="N5" s="33">
        <f>'276'!C169</f>
        <v>188.6</v>
      </c>
      <c r="O5" s="36">
        <v>3.1</v>
      </c>
      <c r="P5" s="36">
        <v>3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</row>
    <row r="6" spans="1:68" ht="20.100000000000001" customHeight="1">
      <c r="B6" s="33">
        <f>'276'!C41</f>
        <v>151.19999999999999</v>
      </c>
      <c r="C6" s="34">
        <v>2.4</v>
      </c>
      <c r="D6" s="34">
        <v>2.2999999999999998</v>
      </c>
      <c r="F6" s="33">
        <f>'276'!C102</f>
        <v>144.1</v>
      </c>
      <c r="G6" s="34">
        <v>2.4</v>
      </c>
      <c r="H6" s="34">
        <v>2.2999999999999998</v>
      </c>
      <c r="J6" s="33">
        <f>'276'!C127</f>
        <v>134.80000000000001</v>
      </c>
      <c r="K6" s="34">
        <v>2.4</v>
      </c>
      <c r="L6" s="34">
        <v>2.2999999999999998</v>
      </c>
      <c r="N6" s="33">
        <f>'276'!C170</f>
        <v>157</v>
      </c>
      <c r="O6" s="36">
        <v>2.6</v>
      </c>
      <c r="P6" s="36">
        <v>2.5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</row>
    <row r="7" spans="1:68" ht="20.100000000000001" customHeight="1">
      <c r="B7" s="33">
        <f>'276'!C42</f>
        <v>125.1</v>
      </c>
      <c r="C7" s="34">
        <v>2</v>
      </c>
      <c r="D7" s="34">
        <v>1.8</v>
      </c>
      <c r="F7" s="33">
        <f>'276'!C103</f>
        <v>120.4</v>
      </c>
      <c r="G7" s="34">
        <v>2</v>
      </c>
      <c r="H7" s="34">
        <v>1.8</v>
      </c>
      <c r="J7" s="33">
        <f>'276'!C128</f>
        <v>113.3</v>
      </c>
      <c r="K7" s="34">
        <v>2</v>
      </c>
      <c r="L7" s="34">
        <v>1.8</v>
      </c>
      <c r="N7" s="33">
        <f>'276'!C171</f>
        <v>129.19999999999999</v>
      </c>
      <c r="O7" s="36">
        <v>2.2000000000000002</v>
      </c>
      <c r="P7" s="36">
        <v>2</v>
      </c>
      <c r="R7" s="32"/>
      <c r="S7" s="32"/>
      <c r="T7" s="32"/>
      <c r="U7" s="32"/>
      <c r="V7" s="32"/>
      <c r="W7" s="35"/>
      <c r="X7" s="35"/>
      <c r="Y7" s="35"/>
      <c r="Z7" s="35"/>
      <c r="AA7" s="32"/>
      <c r="AB7" s="32"/>
      <c r="AC7" s="32"/>
      <c r="AD7" s="32"/>
      <c r="AE7" s="32"/>
      <c r="AF7" s="35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</row>
    <row r="8" spans="1:68" ht="20.100000000000001" customHeight="1">
      <c r="B8" s="33">
        <f>'276'!C43</f>
        <v>102.1</v>
      </c>
      <c r="C8" s="34">
        <v>1.5</v>
      </c>
      <c r="D8" s="34">
        <v>1.3</v>
      </c>
      <c r="F8" s="33">
        <f>'276'!C104</f>
        <v>99.2</v>
      </c>
      <c r="G8" s="34">
        <v>1.5</v>
      </c>
      <c r="H8" s="34">
        <v>1.3</v>
      </c>
      <c r="J8" s="33">
        <f>'276'!C129</f>
        <v>93.8</v>
      </c>
      <c r="K8" s="34">
        <v>1.5</v>
      </c>
      <c r="L8" s="34">
        <v>1.3</v>
      </c>
      <c r="N8" s="33">
        <f>'276'!C172</f>
        <v>104.9</v>
      </c>
      <c r="O8" s="36">
        <v>1.7</v>
      </c>
      <c r="P8" s="36">
        <v>1.5</v>
      </c>
      <c r="R8" s="32"/>
      <c r="S8" s="32"/>
      <c r="T8" s="32"/>
      <c r="U8" s="32"/>
      <c r="V8" s="32"/>
      <c r="W8" s="37"/>
      <c r="X8" s="35"/>
      <c r="Y8" s="35"/>
      <c r="Z8" s="35"/>
      <c r="AA8" s="32"/>
      <c r="AB8" s="32"/>
      <c r="AC8" s="32"/>
      <c r="AD8" s="32"/>
      <c r="AE8" s="32"/>
      <c r="AF8" s="35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</row>
    <row r="9" spans="1:68" ht="20.100000000000001" customHeight="1">
      <c r="B9" s="33">
        <f>'276'!C44</f>
        <v>81.400000000000006</v>
      </c>
      <c r="C9" s="34">
        <v>1.1000000000000001</v>
      </c>
      <c r="D9" s="34">
        <v>0.8</v>
      </c>
      <c r="F9" s="33">
        <f>'276'!C105</f>
        <v>79.7</v>
      </c>
      <c r="G9" s="34">
        <v>1.1000000000000001</v>
      </c>
      <c r="H9" s="34">
        <v>0.8</v>
      </c>
      <c r="J9" s="33">
        <f>'276'!C130</f>
        <v>75.7</v>
      </c>
      <c r="K9" s="34">
        <v>1.1000000000000001</v>
      </c>
      <c r="L9" s="34">
        <v>0.8</v>
      </c>
      <c r="N9" s="33">
        <f>'276'!L181</f>
        <v>238.74558633255208</v>
      </c>
      <c r="O9" s="33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3.5090155780177139</v>
      </c>
      <c r="P9" s="33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3.6028350160231635</v>
      </c>
      <c r="R9" s="32"/>
      <c r="S9" s="32"/>
      <c r="T9" s="32"/>
      <c r="U9" s="32"/>
      <c r="V9" s="32"/>
      <c r="W9" s="37"/>
      <c r="X9" s="35"/>
      <c r="Y9" s="35"/>
      <c r="Z9" s="35"/>
      <c r="AA9" s="32"/>
      <c r="AB9" s="32"/>
      <c r="AC9" s="32"/>
      <c r="AD9" s="32"/>
      <c r="AE9" s="32"/>
      <c r="AF9" s="35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</row>
    <row r="10" spans="1:68" ht="20.100000000000001" customHeight="1">
      <c r="B10" s="33">
        <f>'276'!C45</f>
        <v>62.1</v>
      </c>
      <c r="C10" s="34">
        <v>0.6</v>
      </c>
      <c r="D10" s="34">
        <v>0.3</v>
      </c>
      <c r="F10" s="33">
        <f>'276'!C106</f>
        <v>61.3</v>
      </c>
      <c r="G10" s="34">
        <v>0.6</v>
      </c>
      <c r="H10" s="34">
        <v>0.3</v>
      </c>
      <c r="J10" s="33">
        <f>'276'!C131</f>
        <v>58.4</v>
      </c>
      <c r="K10" s="34">
        <v>0.6</v>
      </c>
      <c r="L10" s="34">
        <v>0.3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</row>
    <row r="11" spans="1:68" ht="20.100000000000001" customHeight="1">
      <c r="B11" s="33">
        <f>'276'!L52</f>
        <v>238.47687111384721</v>
      </c>
      <c r="C11" s="33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3.2825513606942289</v>
      </c>
      <c r="D11" s="33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3.6796735026310099</v>
      </c>
      <c r="F11" s="33">
        <f>'276'!L113</f>
        <v>237.61317433169762</v>
      </c>
      <c r="G11" s="33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5.2315517534918961</v>
      </c>
      <c r="H11" s="33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3.9559660887308885</v>
      </c>
      <c r="J11" s="33">
        <f>'276'!L138</f>
        <v>236.89862103901811</v>
      </c>
      <c r="K11" s="33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18.333460678294916</v>
      </c>
      <c r="L11" s="33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4.4310788576926123</v>
      </c>
      <c r="N11" s="34" t="s">
        <v>73</v>
      </c>
      <c r="O11" s="34"/>
      <c r="P11" s="34"/>
      <c r="R11" s="32"/>
      <c r="S11" s="32"/>
      <c r="T11" s="32"/>
      <c r="U11" s="32"/>
      <c r="V11" s="32"/>
      <c r="W11" s="32"/>
      <c r="X11" s="32"/>
      <c r="Y11" s="32"/>
      <c r="Z11" s="35"/>
      <c r="AA11" s="35"/>
      <c r="AB11" s="35"/>
      <c r="AC11" s="35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</row>
    <row r="12" spans="1:68" ht="20.100000000000001" customHeight="1">
      <c r="A12" s="38"/>
      <c r="N12" s="33">
        <f>'276'!C328</f>
        <v>0</v>
      </c>
      <c r="O12" s="33"/>
      <c r="P12" s="33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</row>
    <row r="13" spans="1:68" ht="20.100000000000001" customHeight="1">
      <c r="B13" s="34" t="s">
        <v>76</v>
      </c>
      <c r="C13" s="34"/>
      <c r="D13" s="34"/>
      <c r="F13" s="34" t="s">
        <v>77</v>
      </c>
      <c r="G13" s="34"/>
      <c r="H13" s="34"/>
      <c r="J13" s="34" t="s">
        <v>78</v>
      </c>
      <c r="K13" s="34"/>
      <c r="L13" s="34"/>
      <c r="N13" s="33">
        <f>'276'!C329</f>
        <v>0</v>
      </c>
      <c r="O13" s="33"/>
      <c r="P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</row>
    <row r="14" spans="1:68" ht="20.100000000000001" customHeight="1">
      <c r="B14" s="34">
        <f>'276'!C44</f>
        <v>81.400000000000006</v>
      </c>
      <c r="C14" s="34">
        <v>1.1000000000000001</v>
      </c>
      <c r="D14" s="34">
        <v>0.8</v>
      </c>
      <c r="F14" s="34">
        <f>'276'!C105</f>
        <v>79.7</v>
      </c>
      <c r="G14" s="34">
        <v>1.1000000000000001</v>
      </c>
      <c r="H14" s="34">
        <v>0.8</v>
      </c>
      <c r="J14" s="34">
        <f>'276'!C130</f>
        <v>75.7</v>
      </c>
      <c r="K14" s="34">
        <v>1.1000000000000001</v>
      </c>
      <c r="L14" s="34">
        <v>0.8</v>
      </c>
      <c r="N14" s="33">
        <f>'276'!C330</f>
        <v>0</v>
      </c>
      <c r="O14" s="33"/>
      <c r="P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</row>
    <row r="15" spans="1:68" ht="20.100000000000001" customHeight="1">
      <c r="B15" s="34">
        <f>'276'!C45</f>
        <v>62.1</v>
      </c>
      <c r="C15" s="34">
        <v>0.9</v>
      </c>
      <c r="D15" s="34">
        <v>0.6</v>
      </c>
      <c r="F15" s="34">
        <f>'276'!C106</f>
        <v>61.3</v>
      </c>
      <c r="G15" s="34">
        <v>0.9</v>
      </c>
      <c r="H15" s="34">
        <v>0.6</v>
      </c>
      <c r="J15" s="34">
        <f>'276'!C131</f>
        <v>58.4</v>
      </c>
      <c r="K15" s="34">
        <v>0.9</v>
      </c>
      <c r="L15" s="34">
        <v>0.6</v>
      </c>
      <c r="N15" s="33" t="e">
        <f>'276'!O335</f>
        <v>#DIV/0!</v>
      </c>
      <c r="O15" s="33" t="e">
        <f>O12*(N15-N13)*(N15-N14)/((N12-N13)*(N12-N14))+O13*(N15-N12)*(N15-N14)/((N13-N12)*(N13-N14))+O14*(N15-N12)*(N15-N13)/((N14-N12)*(N14-N13))</f>
        <v>#DIV/0!</v>
      </c>
      <c r="P15" s="33" t="e">
        <f>P12*(N15-N13)*(N15-N14)/((N12-N13)*(N12-N14))+P13*(N15-N12)*(N15-N14)/((N13-N12)*(N13-N14))+P14*(N15-N12)*(N15-N13)/((N14-N12)*(N14-N13))</f>
        <v>#DIV/0!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</row>
    <row r="16" spans="1:68" ht="20.100000000000001" customHeight="1">
      <c r="B16" s="34">
        <f>'276'!C46</f>
        <v>43.2</v>
      </c>
      <c r="C16" s="34">
        <v>0.7</v>
      </c>
      <c r="D16" s="34">
        <v>0.4</v>
      </c>
      <c r="F16" s="34">
        <f>'276'!C107</f>
        <v>42.9</v>
      </c>
      <c r="G16" s="34">
        <v>0.7</v>
      </c>
      <c r="H16" s="34">
        <v>0.4</v>
      </c>
      <c r="J16" s="34">
        <f>'276'!C132</f>
        <v>40.9</v>
      </c>
      <c r="K16" s="34">
        <v>0.7</v>
      </c>
      <c r="L16" s="34">
        <v>0.4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</row>
    <row r="17" spans="2:68" ht="20.100000000000001" customHeight="1">
      <c r="B17" s="34">
        <f>'276'!C47</f>
        <v>23.4</v>
      </c>
      <c r="C17" s="34">
        <v>0.5</v>
      </c>
      <c r="D17" s="34">
        <v>0.2</v>
      </c>
      <c r="F17" s="34">
        <f>'276'!C108</f>
        <v>23.3</v>
      </c>
      <c r="G17" s="34">
        <v>0.5</v>
      </c>
      <c r="H17" s="34">
        <v>0.2</v>
      </c>
      <c r="J17" s="34">
        <f>'276'!C133</f>
        <v>22.2</v>
      </c>
      <c r="K17" s="34">
        <v>0.5</v>
      </c>
      <c r="L17" s="34">
        <v>0.2</v>
      </c>
      <c r="N17" s="34" t="s">
        <v>75</v>
      </c>
      <c r="O17" s="34"/>
      <c r="P17" s="3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</row>
    <row r="18" spans="2:68" ht="20.100000000000001" customHeight="1">
      <c r="B18" s="34">
        <f>'276'!C48</f>
        <v>0</v>
      </c>
      <c r="C18" s="34">
        <v>0.3</v>
      </c>
      <c r="D18" s="34">
        <v>0</v>
      </c>
      <c r="F18" s="34">
        <f>'276'!C109</f>
        <v>0</v>
      </c>
      <c r="G18" s="34">
        <v>0.3</v>
      </c>
      <c r="H18" s="34">
        <v>0</v>
      </c>
      <c r="J18" s="34">
        <f>'276'!C134</f>
        <v>0</v>
      </c>
      <c r="K18" s="34">
        <v>0.3</v>
      </c>
      <c r="L18" s="34">
        <v>0</v>
      </c>
      <c r="N18" s="33">
        <f>'276'!C348</f>
        <v>0</v>
      </c>
      <c r="O18" s="33"/>
      <c r="P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</row>
    <row r="19" spans="2:68" ht="20.100000000000001" customHeight="1">
      <c r="B19" s="34">
        <f>'276'!L52</f>
        <v>238.47687111384721</v>
      </c>
      <c r="C19" s="3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1.8149635247777383</v>
      </c>
      <c r="D19" s="3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1.5149635247775564</v>
      </c>
      <c r="F19" s="34">
        <f>'276'!L113</f>
        <v>237.61317433169762</v>
      </c>
      <c r="G19" s="3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1.4242752344788272</v>
      </c>
      <c r="H19" s="3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1.1242752344791711</v>
      </c>
      <c r="J19" s="34">
        <f>'276'!L138</f>
        <v>236.89862103901811</v>
      </c>
      <c r="K19" s="3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2.1583243382413855</v>
      </c>
      <c r="L19" s="3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1.8583243382424826</v>
      </c>
      <c r="N19" s="33">
        <f>'276'!C349</f>
        <v>0</v>
      </c>
      <c r="O19" s="33"/>
      <c r="P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</row>
    <row r="20" spans="2:68" ht="20.100000000000001" customHeight="1">
      <c r="N20" s="33">
        <f>'276'!C350</f>
        <v>0</v>
      </c>
      <c r="O20" s="33"/>
      <c r="P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</row>
    <row r="21" spans="2:68" ht="20.100000000000001" customHeight="1">
      <c r="B21" s="34" t="s">
        <v>6</v>
      </c>
      <c r="C21" s="34"/>
      <c r="D21" s="34"/>
      <c r="F21" s="34" t="s">
        <v>64</v>
      </c>
      <c r="G21" s="34"/>
      <c r="H21" s="34"/>
      <c r="J21" s="34" t="s">
        <v>65</v>
      </c>
      <c r="K21" s="34"/>
      <c r="L21" s="34"/>
      <c r="N21" s="33" t="e">
        <f>'276'!O355</f>
        <v>#DIV/0!</v>
      </c>
      <c r="O21" s="33" t="e">
        <f>O18*(N21-N19)*(N21-N20)/((N18-N19)*(N18-N20))+O19*(N21-N18)*(N21-N20)/((N19-N18)*(N19-N20))+O20*(N21-N18)*(N21-N19)/((N20-N18)*(N20-N19))</f>
        <v>#DIV/0!</v>
      </c>
      <c r="P21" s="33" t="e">
        <f>P18*(N21-N19)*(N21-N20)/((N18-N19)*(N18-N20))+P19*(N21-N18)*(N21-N20)/((N19-N18)*(N19-N20))+P20*(N21-N18)*(N21-N19)/((N20-N18)*(N20-N19))</f>
        <v>#DIV/0!</v>
      </c>
      <c r="R21" s="32"/>
      <c r="S21" s="32"/>
      <c r="T21" s="32"/>
      <c r="U21" s="32"/>
      <c r="V21" s="32"/>
      <c r="W21" s="35"/>
      <c r="X21" s="35"/>
      <c r="Y21" s="35"/>
      <c r="Z21" s="35"/>
      <c r="AA21" s="32"/>
      <c r="AB21" s="32"/>
      <c r="AC21" s="32"/>
      <c r="AD21" s="32"/>
      <c r="AE21" s="32"/>
      <c r="AF21" s="35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</row>
    <row r="22" spans="2:68" ht="20.100000000000001" customHeight="1">
      <c r="B22" s="33">
        <f>'276'!C20</f>
        <v>296.8</v>
      </c>
      <c r="C22" s="39">
        <v>3.3</v>
      </c>
      <c r="D22" s="39">
        <v>3.3</v>
      </c>
      <c r="F22" s="33">
        <f>'276'!C63</f>
        <v>280.89999999999998</v>
      </c>
      <c r="G22" s="39">
        <v>3.2</v>
      </c>
      <c r="H22" s="39">
        <v>3.2</v>
      </c>
      <c r="J22" s="33">
        <f>'276'!C81</f>
        <v>264.2</v>
      </c>
      <c r="K22" s="39">
        <v>3</v>
      </c>
      <c r="L22" s="39">
        <v>3</v>
      </c>
      <c r="R22" s="32"/>
      <c r="S22" s="32"/>
      <c r="T22" s="32"/>
      <c r="U22" s="32"/>
      <c r="V22" s="32"/>
      <c r="W22" s="37"/>
      <c r="X22" s="35"/>
      <c r="Y22" s="35"/>
      <c r="Z22" s="35"/>
      <c r="AA22" s="32"/>
      <c r="AB22" s="32"/>
      <c r="AC22" s="32"/>
      <c r="AD22" s="32"/>
      <c r="AE22" s="32"/>
      <c r="AF22" s="35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</row>
    <row r="23" spans="2:68" ht="20.100000000000001" customHeight="1">
      <c r="B23" s="33">
        <f>'276'!C21</f>
        <v>263.7</v>
      </c>
      <c r="C23" s="39">
        <v>3</v>
      </c>
      <c r="D23" s="39">
        <v>2.8</v>
      </c>
      <c r="F23" s="33">
        <f>'276'!C64</f>
        <v>251</v>
      </c>
      <c r="G23" s="39">
        <v>2.8</v>
      </c>
      <c r="H23" s="39">
        <v>2.7</v>
      </c>
      <c r="J23" s="33">
        <f>'276'!C82</f>
        <v>236.8</v>
      </c>
      <c r="K23" s="39">
        <v>2.6</v>
      </c>
      <c r="L23" s="39">
        <v>2.5</v>
      </c>
      <c r="N23" s="34" t="s">
        <v>74</v>
      </c>
      <c r="O23" s="34"/>
      <c r="P23" s="34"/>
      <c r="R23" s="32"/>
      <c r="S23" s="32"/>
      <c r="T23" s="32"/>
      <c r="U23" s="32"/>
      <c r="V23" s="32"/>
      <c r="W23" s="37"/>
      <c r="X23" s="35"/>
      <c r="Y23" s="35"/>
      <c r="Z23" s="35"/>
      <c r="AA23" s="32"/>
      <c r="AB23" s="32"/>
      <c r="AC23" s="32"/>
      <c r="AD23" s="32"/>
      <c r="AE23" s="32"/>
      <c r="AF23" s="35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</row>
    <row r="24" spans="2:68" ht="20.100000000000001" customHeight="1">
      <c r="B24" s="33">
        <f>'276'!C22</f>
        <v>231.6</v>
      </c>
      <c r="C24" s="39">
        <v>2.6</v>
      </c>
      <c r="D24" s="39">
        <v>2.2999999999999998</v>
      </c>
      <c r="F24" s="33">
        <f>'276'!C65</f>
        <v>222</v>
      </c>
      <c r="G24" s="39">
        <v>2.4</v>
      </c>
      <c r="H24" s="39">
        <v>2.1</v>
      </c>
      <c r="J24" s="33">
        <f>'276'!C83</f>
        <v>210.5</v>
      </c>
      <c r="K24" s="39">
        <v>2.2000000000000002</v>
      </c>
      <c r="L24" s="39">
        <v>1.9</v>
      </c>
      <c r="N24" s="33">
        <f>'276'!C308</f>
        <v>0</v>
      </c>
      <c r="O24" s="33"/>
      <c r="P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</row>
    <row r="25" spans="2:68" ht="20.100000000000001" customHeight="1">
      <c r="B25" s="33">
        <f>'276'!O27</f>
        <v>240.392680415683</v>
      </c>
      <c r="C25" s="33">
        <f>C22*(B25-B23)*(B25-B24)/((B22-B23)*(B22-B24))+C23*(B25-B22)*(B25-B24)/((B23-B22)*(B23-B24))+C24*(B25-B22)*(B25-B23)/((B24-B22)*(B24-B23))</f>
        <v>2.7202453474768591</v>
      </c>
      <c r="D25" s="33">
        <f>D22*(B25-B23)*(B25-B24)/((B22-B23)*(B22-B24))+D23*(B25-B22)*(B25-B24)/((B23-B22)*(B23-B24))+D24*(B25-B22)*(B25-B23)/((B24-B22)*(B24-B23))</f>
        <v>2.4384367574854791</v>
      </c>
      <c r="F25" s="33">
        <f>'276'!O70</f>
        <v>239.09854260187527</v>
      </c>
      <c r="G25" s="33">
        <f>G22*(F25-F23)*(F25-F24)/((F22-F23)*(F22-F24))+G23*(F25-F22)*(F25-F24)/((F23-F22)*(F23-F24))+G24*(F25-F22)*(F25-F23)/((F24-F22)*(F24-F23))</f>
        <v>2.6372763899907183</v>
      </c>
      <c r="H25" s="33">
        <f>H22*(F25-F23)*(F25-F24)/((F22-F23)*(F22-F24))+H23*(F25-F22)*(F25-F24)/((F23-F22)*(F23-F24))+H24*(F25-F22)*(F25-F23)/((F24-F22)*(F24-F23))</f>
        <v>2.467469659702946</v>
      </c>
      <c r="J25" s="33">
        <f>'276'!O88</f>
        <v>238.3206914434644</v>
      </c>
      <c r="K25" s="33">
        <f>K22*(J25-J23)*(J25-J24)/((J22-J23)*(J22-J24))+K23*(J25-J22)*(J25-J24)/((J23-J22)*(J23-J24))+K24*(J25-J22)*(J25-J23)/((J24-J22)*(J24-J23))</f>
        <v>2.6226473470719931</v>
      </c>
      <c r="L25" s="33">
        <f>L22*(J25-J23)*(J25-J24)/((J22-J23)*(J22-J24))+L23*(J25-J22)*(J25-J24)/((J23-J22)*(J23-J24))+L24*(J25-J22)*(J25-J23)/((J24-J22)*(J24-J23))</f>
        <v>2.5310957139279107</v>
      </c>
      <c r="N25" s="33">
        <f>'276'!C309</f>
        <v>0</v>
      </c>
      <c r="O25" s="33"/>
      <c r="P25" s="33"/>
      <c r="R25" s="32"/>
      <c r="S25" s="32"/>
      <c r="T25" s="32"/>
      <c r="U25" s="32"/>
      <c r="V25" s="32"/>
      <c r="W25" s="32"/>
      <c r="X25" s="32"/>
      <c r="Y25" s="32"/>
      <c r="Z25" s="35"/>
      <c r="AA25" s="35"/>
      <c r="AB25" s="35"/>
      <c r="AC25" s="35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</row>
    <row r="26" spans="2:68" ht="20.100000000000001" customHeight="1">
      <c r="N26" s="33">
        <f>'276'!C310</f>
        <v>0</v>
      </c>
      <c r="O26" s="33"/>
      <c r="P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</row>
    <row r="27" spans="2:68" ht="20.100000000000001" customHeight="1">
      <c r="B27" s="34" t="s">
        <v>49</v>
      </c>
      <c r="C27" s="34"/>
      <c r="D27" s="34"/>
      <c r="F27" s="34" t="s">
        <v>69</v>
      </c>
      <c r="G27" s="34"/>
      <c r="H27" s="34"/>
      <c r="J27" s="34" t="s">
        <v>71</v>
      </c>
      <c r="K27" s="34"/>
      <c r="L27" s="34"/>
      <c r="N27" s="33" t="e">
        <f>'276'!O315</f>
        <v>#DIV/0!</v>
      </c>
      <c r="O27" s="33" t="e">
        <f>O24*(N27-N25)*(N27-N26)/((N24-N25)*(N24-N26))+O25*(N27-N24)*(N27-N26)/((N25-N24)*(N25-N26))+O26*(N27-N24)*(N27-N25)/((N26-N24)*(N26-N25))</f>
        <v>#DIV/0!</v>
      </c>
      <c r="P27" s="33" t="e">
        <f>P24*(N27-N25)*(N27-N26)/((N24-N25)*(N24-N26))+P25*(N27-N24)*(N27-N26)/((N25-N24)*(N25-N26))+P26*(N27-N24)*(N27-N25)/((N26-N24)*(N26-N25))</f>
        <v>#DIV/0!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</row>
    <row r="28" spans="2:68" ht="20.100000000000001" customHeight="1">
      <c r="B28" s="33">
        <f>'276'!C188</f>
        <v>272.55</v>
      </c>
      <c r="C28" s="39">
        <v>3.8</v>
      </c>
      <c r="D28" s="39">
        <v>3.8</v>
      </c>
      <c r="F28" s="33">
        <f>'276'!C228</f>
        <v>241.4</v>
      </c>
      <c r="G28" s="39">
        <v>3.8</v>
      </c>
      <c r="H28" s="39">
        <v>3.8</v>
      </c>
      <c r="J28" s="33">
        <f>'276'!C268</f>
        <v>312.60000000000002</v>
      </c>
      <c r="K28" s="39">
        <v>3.8</v>
      </c>
      <c r="L28" s="39">
        <v>3.8</v>
      </c>
      <c r="R28" s="32"/>
      <c r="S28" s="32"/>
      <c r="T28" s="37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</row>
    <row r="29" spans="2:68" ht="20.100000000000001" customHeight="1">
      <c r="B29" s="33">
        <f>'276'!C189</f>
        <v>236.3</v>
      </c>
      <c r="C29" s="39">
        <v>3.7</v>
      </c>
      <c r="D29" s="39">
        <v>3.6</v>
      </c>
      <c r="F29" s="33">
        <f>'276'!C229</f>
        <v>208.7</v>
      </c>
      <c r="G29" s="39">
        <v>3.7</v>
      </c>
      <c r="H29" s="39">
        <v>3.6</v>
      </c>
      <c r="J29" s="33">
        <f>'276'!C269</f>
        <v>276.89999999999998</v>
      </c>
      <c r="K29" s="39">
        <v>3.7</v>
      </c>
      <c r="L29" s="39">
        <v>3.6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</row>
    <row r="30" spans="2:68" ht="20.100000000000001" customHeight="1">
      <c r="B30" s="33">
        <f>'276'!C190</f>
        <v>201.2</v>
      </c>
      <c r="C30" s="39">
        <v>3.6</v>
      </c>
      <c r="D30" s="39">
        <v>3.3</v>
      </c>
      <c r="F30" s="33">
        <f>'276'!C230</f>
        <v>177.6</v>
      </c>
      <c r="G30" s="39">
        <v>3.6</v>
      </c>
      <c r="H30" s="39">
        <v>3.3</v>
      </c>
      <c r="J30" s="33">
        <f>'276'!C270</f>
        <v>242.1</v>
      </c>
      <c r="K30" s="39">
        <v>3.6</v>
      </c>
      <c r="L30" s="39">
        <v>3.3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</row>
    <row r="31" spans="2:68" ht="20.100000000000001" customHeight="1">
      <c r="B31" s="33">
        <f>'276'!O195</f>
        <v>239.22375105265752</v>
      </c>
      <c r="C31" s="33">
        <f>C28*(B31-B29)*(B31-B30)/((B28-B29)*(B28-B30))+C29*(B31-B28)*(B31-B30)/((B29-B28)*(B29-B30))+C30*(B31-B28)*(B31-B29)/((B30-B28)*(B30-B29))</f>
        <v>3.7081889486764537</v>
      </c>
      <c r="D31" s="33">
        <f>D28*(B31-B29)*(B31-B30)/((B28-B29)*(B28-B30))+D29*(B31-B28)*(B31-B30)/((B29-B28)*(B29-B30))+D30*(B31-B28)*(B31-B29)/((B30-B28)*(B30-B29))</f>
        <v>3.6202685793143834</v>
      </c>
      <c r="F31" s="33">
        <f>'276'!O235</f>
        <v>237.83233608694539</v>
      </c>
      <c r="G31" s="33">
        <f>G28*(F31-F29)*(F31-F30)/((F28-F29)*(F28-F30))+G29*(F31-F28)*(F31-F30)/((F29-F28)*(F29-F30))+G30*(F31-F28)*(F31-F29)/((F30-F28)*(F30-F29))</f>
        <v>3.789346013868248</v>
      </c>
      <c r="H31" s="33">
        <f>H28*(F31-F29)*(F31-F30)/((F28-F29)*(F28-F30))+H29*(F31-F28)*(F31-F30)/((F29-F28)*(F29-F30))+H30*(F31-F28)*(F31-F29)/((F30-F28)*(F30-F29))</f>
        <v>3.7839301807347305</v>
      </c>
      <c r="J31" s="33">
        <f>'276'!O275</f>
        <v>240.71572504255366</v>
      </c>
      <c r="K31" s="33">
        <f>K28*(J31-J29)*(J31-J30)/((J28-J29)*(J28-J30))+K29*(J31-J28)*(J31-J30)/((J29-J28)*(J29-J30))+K30*(J31-J28)*(J31-J29)/((J30-J28)*(J30-J29))</f>
        <v>3.5959707291090717</v>
      </c>
      <c r="L31" s="33">
        <f>L28*(J31-J29)*(J31-J30)/((J28-J29)*(J28-J30))+L29*(J31-J28)*(J31-J30)/((J29-J28)*(J29-J30))+L30*(J31-J28)*(J31-J29)/((J30-J28)*(J30-J29))</f>
        <v>3.2859220414831256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</row>
    <row r="32" spans="2:68" ht="20.100000000000001" customHeight="1"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</row>
    <row r="33" spans="2:68" ht="20.100000000000001" customHeight="1">
      <c r="B33" s="34" t="s">
        <v>68</v>
      </c>
      <c r="C33" s="34"/>
      <c r="D33" s="34"/>
      <c r="F33" s="34" t="s">
        <v>70</v>
      </c>
      <c r="G33" s="34"/>
      <c r="H33" s="34"/>
      <c r="J33" s="34" t="s">
        <v>72</v>
      </c>
      <c r="K33" s="34"/>
      <c r="L33" s="3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</row>
    <row r="34" spans="2:68" ht="20.100000000000001" customHeight="1">
      <c r="B34" s="33">
        <f>'276'!C208</f>
        <v>279.25</v>
      </c>
      <c r="C34" s="39">
        <v>3.8</v>
      </c>
      <c r="D34" s="39">
        <v>3.8</v>
      </c>
      <c r="F34" s="33">
        <f>'276'!C248</f>
        <v>222.6</v>
      </c>
      <c r="G34" s="39">
        <v>3.8</v>
      </c>
      <c r="H34" s="39">
        <v>3.8</v>
      </c>
      <c r="J34" s="33">
        <f>'276'!C288</f>
        <v>319.8</v>
      </c>
      <c r="K34" s="39">
        <v>3.8</v>
      </c>
      <c r="L34" s="39">
        <v>3.8</v>
      </c>
      <c r="R34" s="32"/>
      <c r="S34" s="35"/>
      <c r="T34" s="35"/>
      <c r="U34" s="35"/>
      <c r="V34" s="35"/>
      <c r="W34" s="35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</row>
    <row r="35" spans="2:68" ht="20.100000000000001" customHeight="1">
      <c r="B35" s="33">
        <f>'276'!C209</f>
        <v>243.1</v>
      </c>
      <c r="C35" s="39">
        <v>3.7</v>
      </c>
      <c r="D35" s="39">
        <v>3.6</v>
      </c>
      <c r="F35" s="33">
        <f>'276'!C249</f>
        <v>192.8</v>
      </c>
      <c r="G35" s="39">
        <v>3.7</v>
      </c>
      <c r="H35" s="39">
        <v>3.6</v>
      </c>
      <c r="J35" s="33">
        <f>'276'!C289</f>
        <v>284.2</v>
      </c>
      <c r="K35" s="39">
        <v>3.7</v>
      </c>
      <c r="L35" s="39">
        <v>3.6</v>
      </c>
      <c r="R35" s="32"/>
      <c r="S35" s="37"/>
      <c r="T35" s="35"/>
      <c r="U35" s="35"/>
      <c r="V35" s="35"/>
      <c r="W35" s="35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</row>
    <row r="36" spans="2:68" ht="20.100000000000001" customHeight="1">
      <c r="B36" s="33">
        <f>'276'!C210</f>
        <v>208.1</v>
      </c>
      <c r="C36" s="39">
        <v>3.6</v>
      </c>
      <c r="D36" s="39">
        <v>3.3</v>
      </c>
      <c r="F36" s="33">
        <f>'276'!C250</f>
        <v>164.8</v>
      </c>
      <c r="G36" s="39">
        <v>3.6</v>
      </c>
      <c r="H36" s="39">
        <v>3.3</v>
      </c>
      <c r="J36" s="33">
        <f>'276'!C290</f>
        <v>249.5</v>
      </c>
      <c r="K36" s="39">
        <v>3.6</v>
      </c>
      <c r="L36" s="39">
        <v>3.3</v>
      </c>
      <c r="R36" s="32"/>
      <c r="S36" s="32"/>
      <c r="T36" s="32"/>
      <c r="U36" s="32"/>
      <c r="V36" s="32"/>
      <c r="W36" s="32"/>
      <c r="X36" s="32"/>
      <c r="Y36" s="32"/>
      <c r="Z36" s="35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</row>
    <row r="37" spans="2:68" ht="20.100000000000001" customHeight="1">
      <c r="B37" s="33">
        <f>'276'!O215</f>
        <v>239.54455020873536</v>
      </c>
      <c r="C37" s="33">
        <f>C34*(B37-B35)*(B37-B36)/((B34-B35)*(B34-B36))+C35*(B37-B34)*(B37-B36)/((B35-B34)*(B35-B36))+C36*(B37-B34)*(B37-B35)/((B36-B34)*(B36-B35))</f>
        <v>3.6899843912022092</v>
      </c>
      <c r="D37" s="33">
        <f>D34*(B37-B35)*(B37-B36)/((B34-B35)*(B34-B36))+D35*(B37-B34)*(B37-B36)/((B35-B34)*(B35-B36))+D36*(B37-B34)*(B37-B35)/((B36-B34)*(B36-B35))</f>
        <v>3.5742998442185954</v>
      </c>
      <c r="F37" s="33">
        <f>'276'!O255</f>
        <v>237.10244150431629</v>
      </c>
      <c r="G37" s="33">
        <f>G34*(F37-F35)*(F37-F36)/((F34-F35)*(F34-F36))+G35*(F37-F34)*(F37-F36)/((F35-F34)*(F35-F36))+G36*(F37-F34)*(F37-F35)/((F36-F34)*(F36-F35))</f>
        <v>3.8462679664376429</v>
      </c>
      <c r="H37" s="33">
        <f>H34*(F37-F35)*(F37-F36)/((F34-F35)*(F34-F36))+H35*(F37-F34)*(F37-F36)/((F35-F34)*(F35-F36))+H36*(F37-F34)*(F37-F35)/((F36-F34)*(F36-F35))</f>
        <v>3.8528366269920218</v>
      </c>
      <c r="J37" s="33">
        <f>'276'!O295</f>
        <v>241.08673483803528</v>
      </c>
      <c r="K37" s="33">
        <f>K34*(J37-J35)*(J37-J36)/((J34-J35)*(J34-J36))+K35*(J37-J34)*(J37-J36)/((J35-J34)*(J35-J36))+K36*(J37-J34)*(J37-J35)/((J36-J34)*(J36-J35))</f>
        <v>3.5753783696566952</v>
      </c>
      <c r="L37" s="33">
        <f>L34*(J37-J35)*(J37-J36)/((J34-J35)*(J34-J36))+L35*(J37-J34)*(J37-J36)/((J35-J34)*(J35-J36))+L36*(J37-J34)*(J37-J35)/((J36-J34)*(J36-J35))</f>
        <v>3.2116417126187455</v>
      </c>
      <c r="R37" s="32"/>
      <c r="S37" s="32"/>
      <c r="T37" s="32"/>
      <c r="U37" s="32"/>
      <c r="V37" s="32"/>
      <c r="W37" s="32"/>
      <c r="X37" s="32"/>
      <c r="Y37" s="32"/>
      <c r="Z37" s="37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</row>
    <row r="38" spans="2:68" ht="20.100000000000001" customHeight="1">
      <c r="R38" s="32"/>
      <c r="S38" s="32"/>
      <c r="T38" s="32"/>
      <c r="U38" s="32"/>
      <c r="V38" s="32"/>
      <c r="W38" s="32"/>
      <c r="X38" s="32"/>
      <c r="Y38" s="32"/>
      <c r="Z38" s="37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</row>
    <row r="39" spans="2:68" ht="20.100000000000001" customHeight="1"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</row>
    <row r="40" spans="2:68" ht="20.100000000000001" customHeight="1">
      <c r="R40" s="32"/>
      <c r="S40" s="32"/>
      <c r="T40" s="32"/>
      <c r="U40" s="32"/>
      <c r="V40" s="32"/>
      <c r="W40" s="32"/>
      <c r="X40" s="32"/>
      <c r="Y40" s="32"/>
      <c r="Z40" s="35"/>
      <c r="AA40" s="35"/>
      <c r="AB40" s="35"/>
      <c r="AC40" s="35"/>
      <c r="AD40" s="35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</row>
    <row r="41" spans="2:68" ht="20.100000000000001" customHeight="1">
      <c r="R41" s="32"/>
      <c r="S41" s="32"/>
      <c r="T41" s="32"/>
      <c r="U41" s="32"/>
      <c r="V41" s="32"/>
      <c r="W41" s="32"/>
      <c r="X41" s="32"/>
      <c r="Y41" s="32"/>
      <c r="Z41" s="37"/>
      <c r="AA41" s="35"/>
      <c r="AB41" s="35"/>
      <c r="AC41" s="35"/>
      <c r="AD41" s="35"/>
      <c r="AE41" s="32"/>
      <c r="AF41" s="32"/>
      <c r="AG41" s="32"/>
      <c r="AH41" s="32"/>
      <c r="AI41" s="32"/>
      <c r="AJ41" s="32"/>
      <c r="AK41" s="35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</row>
    <row r="42" spans="2:68" ht="20.100000000000001" customHeight="1">
      <c r="R42" s="32"/>
      <c r="S42" s="32"/>
      <c r="T42" s="32"/>
      <c r="U42" s="32"/>
      <c r="V42" s="32"/>
      <c r="W42" s="32"/>
      <c r="X42" s="32"/>
      <c r="Y42" s="32"/>
      <c r="Z42" s="37"/>
      <c r="AA42" s="35"/>
      <c r="AB42" s="35"/>
      <c r="AC42" s="35"/>
      <c r="AD42" s="35"/>
      <c r="AE42" s="32"/>
      <c r="AF42" s="32"/>
      <c r="AG42" s="32"/>
      <c r="AH42" s="32"/>
      <c r="AI42" s="32"/>
      <c r="AJ42" s="32"/>
      <c r="AK42" s="37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</row>
    <row r="43" spans="2:68" ht="20.100000000000001" customHeight="1"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7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</row>
    <row r="44" spans="2:68" ht="20.100000000000001" customHeight="1">
      <c r="R44" s="32"/>
      <c r="S44" s="32"/>
      <c r="T44" s="32"/>
      <c r="U44" s="32"/>
      <c r="V44" s="32"/>
      <c r="W44" s="32"/>
      <c r="X44" s="32"/>
      <c r="Y44" s="32"/>
      <c r="Z44" s="35"/>
      <c r="AA44" s="35"/>
      <c r="AB44" s="35"/>
      <c r="AC44" s="35"/>
      <c r="AD44" s="35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5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</row>
    <row r="45" spans="2:68" ht="20.100000000000001" customHeight="1">
      <c r="R45" s="32"/>
      <c r="S45" s="32"/>
      <c r="T45" s="32"/>
      <c r="U45" s="32"/>
      <c r="V45" s="32"/>
      <c r="W45" s="32"/>
      <c r="X45" s="32"/>
      <c r="Y45" s="32"/>
      <c r="Z45" s="37"/>
      <c r="AA45" s="35"/>
      <c r="AB45" s="35"/>
      <c r="AC45" s="35"/>
      <c r="AD45" s="35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</row>
    <row r="46" spans="2:68" ht="20.100000000000001" customHeight="1">
      <c r="R46" s="32"/>
      <c r="S46" s="32"/>
      <c r="T46" s="32"/>
      <c r="U46" s="32"/>
      <c r="V46" s="32"/>
      <c r="W46" s="32"/>
      <c r="X46" s="32"/>
      <c r="Y46" s="32"/>
      <c r="Z46" s="37"/>
      <c r="AA46" s="35"/>
      <c r="AB46" s="35"/>
      <c r="AC46" s="35"/>
      <c r="AD46" s="35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</row>
    <row r="47" spans="2:68" ht="20.100000000000001" customHeight="1"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</row>
    <row r="48" spans="2:68" ht="20.100000000000001" customHeight="1"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</row>
    <row r="49" spans="18:68" ht="20.100000000000001" customHeight="1"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5"/>
      <c r="AL49" s="35"/>
      <c r="AM49" s="35"/>
      <c r="AN49" s="35"/>
      <c r="AO49" s="35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</row>
    <row r="50" spans="18:68" ht="20.100000000000001" customHeight="1"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7"/>
      <c r="AL50" s="35"/>
      <c r="AM50" s="35"/>
      <c r="AN50" s="35"/>
      <c r="AO50" s="35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</row>
    <row r="51" spans="18:68" ht="20.100000000000001" customHeight="1"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7"/>
      <c r="AL51" s="35"/>
      <c r="AM51" s="35"/>
      <c r="AN51" s="35"/>
      <c r="AO51" s="35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</row>
    <row r="52" spans="18:68" ht="20.100000000000001" customHeight="1"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</row>
    <row r="53" spans="18:68" ht="20.100000000000001" customHeight="1"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</row>
    <row r="54" spans="18:68" ht="20.100000000000001" customHeight="1"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</row>
    <row r="55" spans="18:68" ht="20.100000000000001" customHeight="1"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</row>
    <row r="56" spans="18:68" ht="20.100000000000001" customHeight="1"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</row>
    <row r="57" spans="18:68" ht="20.100000000000001" customHeight="1"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</row>
    <row r="58" spans="18:68" ht="20.100000000000001" customHeight="1"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</row>
    <row r="59" spans="18:68" ht="20.100000000000001" customHeight="1">
      <c r="R59" s="32"/>
      <c r="S59" s="32"/>
      <c r="T59" s="32"/>
      <c r="U59" s="32"/>
      <c r="V59" s="32"/>
      <c r="W59" s="32"/>
      <c r="X59" s="32"/>
      <c r="Y59" s="32"/>
      <c r="Z59" s="35"/>
      <c r="AA59" s="35"/>
      <c r="AB59" s="35"/>
      <c r="AC59" s="35"/>
      <c r="AD59" s="32"/>
      <c r="AE59" s="35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</row>
    <row r="60" spans="18:68" ht="20.100000000000001" customHeight="1"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5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</row>
    <row r="61" spans="18:68" ht="20.100000000000001" customHeight="1"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5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</row>
    <row r="62" spans="18:68" ht="20.100000000000001" customHeight="1"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</row>
    <row r="63" spans="18:68" ht="20.100000000000001" customHeight="1"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</row>
    <row r="64" spans="18:68" ht="20.100000000000001" customHeight="1"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</row>
    <row r="65" spans="18:68" ht="20.100000000000001" customHeight="1"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</row>
    <row r="66" spans="18:68" ht="20.100000000000001" customHeight="1"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</row>
    <row r="67" spans="18:68" ht="20.100000000000001" customHeight="1"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</row>
    <row r="68" spans="18:68" ht="20.100000000000001" customHeight="1"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</row>
    <row r="69" spans="18:68" ht="20.100000000000001" customHeight="1">
      <c r="R69" s="32"/>
      <c r="S69" s="32"/>
      <c r="T69" s="32"/>
      <c r="U69" s="32"/>
      <c r="V69" s="32"/>
      <c r="W69" s="32"/>
      <c r="X69" s="32"/>
      <c r="Y69" s="32"/>
      <c r="Z69" s="37"/>
      <c r="AA69" s="35"/>
      <c r="AB69" s="35"/>
      <c r="AC69" s="35"/>
      <c r="AD69" s="35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</row>
    <row r="70" spans="18:68" ht="20.100000000000001" customHeight="1"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</row>
    <row r="71" spans="18:68" ht="20.100000000000001" customHeight="1">
      <c r="R71" s="32"/>
      <c r="S71" s="32"/>
      <c r="T71" s="32"/>
      <c r="U71" s="32"/>
      <c r="V71" s="32"/>
      <c r="W71" s="32"/>
      <c r="X71" s="32"/>
      <c r="Y71" s="32"/>
      <c r="Z71" s="35"/>
      <c r="AA71" s="35"/>
      <c r="AB71" s="35"/>
      <c r="AC71" s="35"/>
      <c r="AD71" s="35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</row>
    <row r="72" spans="18:68" ht="20.100000000000001" customHeight="1">
      <c r="R72" s="32"/>
      <c r="S72" s="32"/>
      <c r="T72" s="32"/>
      <c r="U72" s="32"/>
      <c r="V72" s="32"/>
      <c r="W72" s="32"/>
      <c r="X72" s="32"/>
      <c r="Y72" s="32"/>
      <c r="Z72" s="37"/>
      <c r="AA72" s="35"/>
      <c r="AB72" s="35"/>
      <c r="AC72" s="35"/>
      <c r="AD72" s="35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</row>
    <row r="73" spans="18:68" ht="20.100000000000001" customHeight="1">
      <c r="R73" s="32"/>
      <c r="S73" s="32"/>
      <c r="T73" s="32"/>
      <c r="U73" s="32"/>
      <c r="V73" s="32"/>
      <c r="W73" s="32"/>
      <c r="X73" s="32"/>
      <c r="Y73" s="32"/>
      <c r="Z73" s="37"/>
      <c r="AA73" s="35"/>
      <c r="AB73" s="35"/>
      <c r="AC73" s="35"/>
      <c r="AD73" s="35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</row>
    <row r="74" spans="18:68" ht="20.100000000000001" customHeight="1"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</row>
    <row r="75" spans="18:68" ht="20.100000000000001" customHeight="1">
      <c r="R75" s="32"/>
      <c r="S75" s="32"/>
      <c r="T75" s="32"/>
      <c r="U75" s="32"/>
      <c r="V75" s="32"/>
      <c r="W75" s="32"/>
      <c r="X75" s="32"/>
      <c r="Y75" s="32"/>
      <c r="Z75" s="35"/>
      <c r="AA75" s="35"/>
      <c r="AB75" s="35"/>
      <c r="AC75" s="35"/>
      <c r="AD75" s="35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</row>
    <row r="76" spans="18:68" ht="20.100000000000001" customHeight="1">
      <c r="R76" s="32"/>
      <c r="S76" s="32"/>
      <c r="T76" s="32"/>
      <c r="U76" s="32"/>
      <c r="V76" s="32"/>
      <c r="W76" s="32"/>
      <c r="X76" s="32"/>
      <c r="Y76" s="32"/>
      <c r="Z76" s="37"/>
      <c r="AA76" s="35"/>
      <c r="AB76" s="35"/>
      <c r="AC76" s="35"/>
      <c r="AD76" s="35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</row>
    <row r="77" spans="18:68" ht="20.100000000000001" customHeight="1">
      <c r="R77" s="32"/>
      <c r="S77" s="32"/>
      <c r="T77" s="32"/>
      <c r="U77" s="32"/>
      <c r="V77" s="32"/>
      <c r="W77" s="32"/>
      <c r="X77" s="32"/>
      <c r="Y77" s="32"/>
      <c r="Z77" s="37"/>
      <c r="AA77" s="35"/>
      <c r="AB77" s="35"/>
      <c r="AC77" s="35"/>
      <c r="AD77" s="35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</row>
    <row r="78" spans="18:68" ht="20.100000000000001" customHeight="1"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</row>
    <row r="79" spans="18:68" ht="20.100000000000001" customHeight="1"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</row>
    <row r="80" spans="18:68" ht="20.100000000000001" customHeight="1"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</row>
    <row r="81" spans="18:68" ht="20.100000000000001" customHeight="1"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</row>
    <row r="82" spans="18:68" ht="20.100000000000001" customHeight="1"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</row>
    <row r="83" spans="18:68" ht="20.100000000000001" customHeight="1"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</row>
    <row r="84" spans="18:68" ht="20.100000000000001" customHeight="1"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</row>
    <row r="85" spans="18:68" ht="20.100000000000001" customHeight="1"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</row>
    <row r="86" spans="18:68" ht="20.100000000000001" customHeight="1"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</row>
    <row r="87" spans="18:68" ht="20.100000000000001" customHeight="1"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</row>
    <row r="88" spans="18:68" ht="20.100000000000001" customHeight="1"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</row>
    <row r="89" spans="18:68" ht="20.100000000000001" customHeight="1"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</row>
    <row r="90" spans="18:68" ht="20.100000000000001" customHeight="1"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</row>
    <row r="91" spans="18:68" ht="20.100000000000001" customHeight="1"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</row>
    <row r="92" spans="18:68" ht="20.100000000000001" customHeight="1"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</row>
    <row r="93" spans="18:68" ht="20.100000000000001" customHeight="1"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</row>
    <row r="94" spans="18:68" ht="20.100000000000001" customHeight="1"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</row>
    <row r="95" spans="18:68" ht="20.100000000000001" customHeight="1"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</row>
    <row r="96" spans="18:68" ht="20.100000000000001" customHeight="1"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</row>
    <row r="97" spans="18:68" ht="20.100000000000001" customHeight="1"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</row>
    <row r="98" spans="18:68" ht="20.100000000000001" customHeight="1"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</row>
    <row r="99" spans="18:68" ht="20.100000000000001" customHeight="1"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</row>
    <row r="100" spans="18:68" ht="20.100000000000001" customHeight="1"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</row>
    <row r="101" spans="18:68" ht="20.100000000000001" customHeight="1"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</row>
    <row r="102" spans="18:68" ht="20.100000000000001" customHeight="1"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8:68" ht="20.100000000000001" customHeight="1"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8:68" ht="20.100000000000001" customHeight="1"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5" spans="18:68" ht="20.100000000000001" customHeight="1"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</row>
    <row r="106" spans="18:68" ht="20.100000000000001" customHeight="1"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8:68" ht="20.100000000000001" customHeight="1"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8:68" ht="20.100000000000001" customHeight="1"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109" spans="18:68" ht="20.100000000000001" customHeight="1"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</row>
    <row r="110" spans="18:68" ht="20.100000000000001" customHeight="1"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</row>
    <row r="111" spans="18:68" ht="20.100000000000001" customHeight="1"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</row>
    <row r="112" spans="18:68" ht="20.100000000000001" customHeight="1"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</row>
    <row r="113" spans="18:68" ht="20.100000000000001" customHeight="1"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</row>
    <row r="114" spans="18:68" ht="20.100000000000001" customHeight="1"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</row>
    <row r="115" spans="18:68" ht="20.100000000000001" customHeight="1"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</row>
    <row r="116" spans="18:68" ht="20.100000000000001" customHeight="1"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</row>
    <row r="117" spans="18:68" ht="20.100000000000001" customHeight="1"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</row>
    <row r="118" spans="18:68" ht="20.100000000000001" customHeight="1"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</row>
    <row r="119" spans="18:68" ht="20.100000000000001" customHeight="1"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</row>
    <row r="120" spans="18:68" ht="20.100000000000001" customHeight="1"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</row>
    <row r="121" spans="18:68" ht="20.100000000000001" customHeight="1"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</row>
    <row r="122" spans="18:68" ht="20.100000000000001" customHeight="1"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</row>
    <row r="123" spans="18:68" ht="20.100000000000001" customHeight="1"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</row>
    <row r="124" spans="18:68" ht="20.100000000000001" customHeight="1"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</row>
    <row r="125" spans="18:68" ht="20.100000000000001" customHeight="1"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</row>
    <row r="126" spans="18:68" ht="20.100000000000001" customHeight="1"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</row>
    <row r="127" spans="18:68" ht="20.100000000000001" customHeight="1"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</row>
    <row r="128" spans="18:68" ht="20.100000000000001" customHeight="1"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</row>
    <row r="129" spans="18:68" ht="20.100000000000001" customHeight="1"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</row>
    <row r="130" spans="18:68" ht="20.100000000000001" customHeight="1"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</row>
    <row r="131" spans="18:68" ht="20.100000000000001" customHeight="1"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</row>
    <row r="132" spans="18:68" ht="20.100000000000001" customHeight="1"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</row>
    <row r="133" spans="18:68" ht="20.100000000000001" customHeight="1"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</row>
    <row r="134" spans="18:68" ht="20.100000000000001" customHeight="1"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</row>
    <row r="135" spans="18:68" ht="20.100000000000001" customHeight="1"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</row>
    <row r="136" spans="18:68" ht="20.100000000000001" customHeight="1"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</row>
    <row r="137" spans="18:68" ht="20.100000000000001" customHeight="1"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</row>
    <row r="138" spans="18:68" ht="20.100000000000001" customHeight="1"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</row>
    <row r="139" spans="18:68" ht="20.100000000000001" customHeight="1"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</row>
    <row r="140" spans="18:68" ht="20.100000000000001" customHeight="1"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</row>
    <row r="141" spans="18:68" ht="20.100000000000001" customHeight="1"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</row>
    <row r="142" spans="18:68" ht="20.100000000000001" customHeight="1"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</row>
    <row r="143" spans="18:68" ht="20.100000000000001" customHeight="1"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</row>
    <row r="144" spans="18:68" ht="20.100000000000001" customHeight="1"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</row>
    <row r="145" spans="18:68" ht="20.100000000000001" customHeight="1"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</row>
    <row r="146" spans="18:68" ht="20.100000000000001" customHeight="1"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</row>
    <row r="147" spans="18:68" ht="20.100000000000001" customHeight="1"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</row>
    <row r="148" spans="18:68" ht="20.100000000000001" customHeight="1"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</row>
    <row r="149" spans="18:68" ht="20.100000000000001" customHeight="1"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</row>
    <row r="150" spans="18:68" ht="20.100000000000001" customHeight="1"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</row>
    <row r="151" spans="18:68" ht="20.100000000000001" customHeight="1"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</row>
    <row r="152" spans="18:68" ht="20.100000000000001" customHeight="1"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</row>
    <row r="153" spans="18:68" ht="20.100000000000001" customHeight="1"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</row>
    <row r="154" spans="18:68" ht="20.100000000000001" customHeight="1"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</row>
    <row r="155" spans="18:68" ht="20.100000000000001" customHeight="1"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</row>
    <row r="156" spans="18:68" ht="20.100000000000001" customHeight="1"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</row>
    <row r="157" spans="18:68" ht="20.100000000000001" customHeight="1"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</row>
    <row r="158" spans="18:68" ht="20.100000000000001" customHeight="1"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</row>
    <row r="159" spans="18:68" ht="20.100000000000001" customHeight="1"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</row>
    <row r="160" spans="18:68" ht="20.100000000000001" customHeight="1"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</row>
    <row r="161" spans="18:68" ht="20.100000000000001" customHeight="1"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</row>
    <row r="162" spans="18:68" ht="20.100000000000001" customHeight="1"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</row>
    <row r="163" spans="18:68" ht="20.100000000000001" customHeight="1"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</row>
    <row r="164" spans="18:68" ht="20.100000000000001" customHeight="1"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</row>
    <row r="165" spans="18:68" ht="20.100000000000001" customHeight="1"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</row>
    <row r="166" spans="18:68" ht="20.100000000000001" customHeight="1"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</row>
    <row r="167" spans="18:68" ht="20.100000000000001" customHeight="1"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</row>
    <row r="168" spans="18:68" ht="20.100000000000001" customHeight="1"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</row>
    <row r="169" spans="18:68" ht="20.100000000000001" customHeight="1"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</row>
    <row r="170" spans="18:68" ht="20.100000000000001" customHeight="1"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</row>
    <row r="171" spans="18:68" ht="20.100000000000001" customHeight="1"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</row>
    <row r="172" spans="18:68" ht="20.100000000000001" customHeight="1"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</row>
    <row r="173" spans="18:68" ht="20.100000000000001" customHeight="1"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</row>
    <row r="174" spans="18:68" ht="20.100000000000001" customHeight="1"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</row>
    <row r="175" spans="18:68" ht="20.100000000000001" customHeight="1"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</row>
    <row r="176" spans="18:68" ht="20.100000000000001" customHeight="1"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</row>
    <row r="177" spans="18:68" ht="20.100000000000001" customHeight="1"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</row>
    <row r="178" spans="18:68" ht="20.100000000000001" customHeight="1"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</row>
    <row r="179" spans="18:68" ht="20.100000000000001" customHeight="1"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</row>
    <row r="180" spans="18:68" ht="20.100000000000001" customHeight="1"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</row>
    <row r="181" spans="18:68" ht="20.100000000000001" customHeight="1"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</row>
    <row r="182" spans="18:68" ht="20.100000000000001" customHeight="1"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</row>
    <row r="183" spans="18:68" ht="20.100000000000001" customHeight="1"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</row>
    <row r="184" spans="18:68" ht="20.100000000000001" customHeight="1"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</row>
    <row r="185" spans="18:68" ht="20.100000000000001" customHeight="1"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</row>
    <row r="186" spans="18:68" ht="20.100000000000001" customHeight="1"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</row>
    <row r="187" spans="18:68" ht="20.100000000000001" customHeight="1"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</row>
    <row r="188" spans="18:68" ht="20.100000000000001" customHeight="1"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</row>
    <row r="189" spans="18:68" ht="20.100000000000001" customHeight="1"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</row>
    <row r="190" spans="18:68" ht="20.100000000000001" customHeight="1"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</row>
    <row r="191" spans="18:68" ht="20.100000000000001" customHeight="1"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</row>
    <row r="192" spans="18:68" ht="20.100000000000001" customHeight="1"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</row>
    <row r="193" spans="18:68" ht="20.100000000000001" customHeight="1"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</row>
    <row r="194" spans="18:68" ht="20.100000000000001" customHeight="1"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</row>
    <row r="195" spans="18:68" ht="20.100000000000001" customHeight="1"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</row>
    <row r="196" spans="18:68" ht="20.100000000000001" customHeight="1"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</row>
    <row r="197" spans="18:68" ht="20.100000000000001" customHeight="1"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</row>
    <row r="198" spans="18:68" ht="20.100000000000001" customHeight="1"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</row>
    <row r="199" spans="18:68" ht="20.100000000000001" customHeight="1"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</row>
    <row r="200" spans="18:68" ht="20.100000000000001" customHeight="1"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</row>
    <row r="201" spans="18:68" ht="20.100000000000001" customHeight="1"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</row>
    <row r="202" spans="18:68" ht="20.100000000000001" customHeight="1"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</row>
    <row r="203" spans="18:68" ht="20.100000000000001" customHeight="1"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</row>
    <row r="204" spans="18:68" ht="20.100000000000001" customHeight="1"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</row>
    <row r="205" spans="18:68" ht="20.100000000000001" customHeight="1"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</row>
    <row r="206" spans="18:68" ht="20.100000000000001" customHeight="1"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</row>
    <row r="207" spans="18:68" ht="20.100000000000001" customHeight="1"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</row>
    <row r="208" spans="18:68" ht="20.100000000000001" customHeight="1"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</row>
    <row r="209" spans="18:68" ht="20.100000000000001" customHeight="1"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</row>
    <row r="210" spans="18:68" ht="20.100000000000001" customHeight="1"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</row>
    <row r="211" spans="18:68" ht="20.100000000000001" customHeight="1"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</row>
    <row r="212" spans="18:68" ht="20.100000000000001" customHeight="1"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</row>
    <row r="213" spans="18:68" ht="20.100000000000001" customHeight="1"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</row>
    <row r="214" spans="18:68" ht="20.100000000000001" customHeight="1"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</row>
    <row r="215" spans="18:68" ht="20.100000000000001" customHeight="1"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</row>
    <row r="216" spans="18:68" ht="20.100000000000001" customHeight="1"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</row>
    <row r="217" spans="18:68" ht="20.100000000000001" customHeight="1"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</row>
    <row r="218" spans="18:68" ht="20.100000000000001" customHeight="1"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</row>
    <row r="219" spans="18:68" ht="20.100000000000001" customHeight="1"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</row>
    <row r="220" spans="18:68" ht="20.100000000000001" customHeight="1"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</row>
    <row r="221" spans="18:68" ht="20.100000000000001" customHeight="1"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</row>
    <row r="222" spans="18:68" ht="20.100000000000001" customHeight="1"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</row>
    <row r="223" spans="18:68" ht="20.100000000000001" customHeight="1"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</row>
    <row r="224" spans="18:68" ht="20.100000000000001" customHeight="1"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</row>
    <row r="225" spans="18:68" ht="20.100000000000001" customHeight="1"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</row>
    <row r="226" spans="18:68" ht="20.100000000000001" customHeight="1"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</row>
    <row r="227" spans="18:68" ht="20.100000000000001" customHeight="1"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</row>
    <row r="228" spans="18:68" ht="20.100000000000001" customHeight="1"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</row>
    <row r="229" spans="18:68" ht="20.100000000000001" customHeight="1"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</row>
    <row r="230" spans="18:68" ht="20.100000000000001" customHeight="1"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</row>
    <row r="231" spans="18:68" ht="20.100000000000001" customHeight="1"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</row>
    <row r="232" spans="18:68" ht="20.100000000000001" customHeight="1"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</row>
    <row r="233" spans="18:68" ht="20.100000000000001" customHeight="1"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</row>
    <row r="234" spans="18:68" ht="20.100000000000001" customHeight="1"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</row>
    <row r="235" spans="18:68" ht="20.100000000000001" customHeight="1"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</row>
    <row r="236" spans="18:68" ht="20.100000000000001" customHeight="1"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</row>
    <row r="237" spans="18:68" ht="20.100000000000001" customHeight="1"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</row>
    <row r="238" spans="18:68" ht="20.100000000000001" customHeight="1"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</row>
    <row r="239" spans="18:68" ht="20.100000000000001" customHeight="1"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</row>
    <row r="240" spans="18:68" ht="20.100000000000001" customHeight="1"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</row>
    <row r="241" spans="18:68" ht="20.100000000000001" customHeight="1"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</row>
    <row r="242" spans="18:68" ht="20.100000000000001" customHeight="1"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</row>
    <row r="243" spans="18:68" ht="20.100000000000001" customHeight="1"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</row>
    <row r="244" spans="18:68" ht="20.100000000000001" customHeight="1"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</row>
    <row r="245" spans="18:68" ht="20.100000000000001" customHeight="1"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</row>
    <row r="246" spans="18:68" ht="20.100000000000001" customHeight="1"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</row>
    <row r="247" spans="18:68" ht="20.100000000000001" customHeight="1"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</row>
    <row r="248" spans="18:68" ht="20.100000000000001" customHeight="1"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</row>
    <row r="249" spans="18:68" ht="20.100000000000001" customHeight="1"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</row>
    <row r="250" spans="18:68" ht="20.100000000000001" customHeight="1"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</row>
    <row r="251" spans="18:68" ht="20.100000000000001" customHeight="1"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</row>
    <row r="252" spans="18:68" ht="20.100000000000001" customHeight="1"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</row>
    <row r="253" spans="18:68" ht="20.100000000000001" customHeight="1"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</row>
    <row r="254" spans="18:68" ht="20.100000000000001" customHeight="1"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</row>
    <row r="255" spans="18:68" ht="20.100000000000001" customHeight="1"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</row>
    <row r="256" spans="18:68" ht="20.100000000000001" customHeight="1"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</row>
    <row r="257" spans="18:68" ht="20.100000000000001" customHeight="1"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</row>
    <row r="258" spans="18:68" ht="20.100000000000001" customHeight="1"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</row>
    <row r="259" spans="18:68" ht="20.100000000000001" customHeight="1"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</row>
    <row r="260" spans="18:68" ht="20.100000000000001" customHeight="1"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</row>
    <row r="261" spans="18:68" ht="20.100000000000001" customHeight="1"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</row>
    <row r="262" spans="18:68" ht="20.100000000000001" customHeight="1"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</row>
    <row r="263" spans="18:68" ht="20.100000000000001" customHeight="1"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</row>
    <row r="264" spans="18:68" ht="20.100000000000001" customHeight="1"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</row>
    <row r="265" spans="18:68" ht="20.100000000000001" customHeight="1"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</row>
    <row r="266" spans="18:68" ht="20.100000000000001" customHeight="1"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</row>
    <row r="267" spans="18:68" ht="20.100000000000001" customHeight="1"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</row>
    <row r="268" spans="18:68" ht="20.100000000000001" customHeight="1"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</row>
    <row r="269" spans="18:68" ht="20.100000000000001" customHeight="1"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</row>
    <row r="270" spans="18:68" ht="20.100000000000001" customHeight="1"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</row>
    <row r="271" spans="18:68" ht="20.100000000000001" customHeight="1"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</row>
    <row r="272" spans="18:68" ht="20.100000000000001" customHeight="1"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</row>
    <row r="273" spans="18:68" ht="20.100000000000001" customHeight="1"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</row>
    <row r="274" spans="18:68" ht="20.100000000000001" customHeight="1"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</row>
    <row r="275" spans="18:68" ht="20.100000000000001" customHeight="1"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</row>
    <row r="276" spans="18:68" ht="20.100000000000001" customHeight="1"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</row>
    <row r="277" spans="18:68" ht="20.100000000000001" customHeight="1"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</row>
    <row r="278" spans="18:68" ht="20.100000000000001" customHeight="1"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</row>
    <row r="279" spans="18:68" ht="20.100000000000001" customHeight="1"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</row>
    <row r="280" spans="18:68" ht="20.100000000000001" customHeight="1"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</row>
    <row r="281" spans="18:68" ht="20.100000000000001" customHeight="1"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</row>
    <row r="282" spans="18:68" ht="20.100000000000001" customHeight="1"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</row>
    <row r="283" spans="18:68" ht="20.100000000000001" customHeight="1"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</row>
    <row r="284" spans="18:68" ht="20.100000000000001" customHeight="1"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</row>
    <row r="285" spans="18:68" ht="20.100000000000001" customHeight="1"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</row>
    <row r="286" spans="18:68" ht="20.100000000000001" customHeight="1"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</row>
    <row r="287" spans="18:68" ht="20.100000000000001" customHeight="1"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</row>
    <row r="288" spans="18:68" ht="20.100000000000001" customHeight="1"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</row>
    <row r="289" spans="18:68" ht="20.100000000000001" customHeight="1"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</row>
    <row r="290" spans="18:68" ht="20.100000000000001" customHeight="1"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</row>
    <row r="291" spans="18:68" ht="20.100000000000001" customHeight="1"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</row>
    <row r="292" spans="18:68" ht="20.100000000000001" customHeight="1"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</row>
    <row r="293" spans="18:68" ht="20.100000000000001" customHeight="1"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</row>
    <row r="294" spans="18:68" ht="20.100000000000001" customHeight="1"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</row>
    <row r="295" spans="18:68" ht="20.100000000000001" customHeight="1"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</row>
    <row r="296" spans="18:68" ht="20.100000000000001" customHeight="1"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</row>
    <row r="297" spans="18:68" ht="20.100000000000001" customHeight="1"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</row>
    <row r="298" spans="18:68" ht="20.100000000000001" customHeight="1"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</row>
    <row r="299" spans="18:68" ht="20.100000000000001" customHeight="1"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</row>
    <row r="300" spans="18:68" ht="20.100000000000001" customHeight="1"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</row>
    <row r="301" spans="18:68" ht="20.100000000000001" customHeight="1"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</row>
    <row r="302" spans="18:68" ht="20.100000000000001" customHeight="1"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</row>
    <row r="303" spans="18:68" ht="20.100000000000001" customHeight="1"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</row>
    <row r="304" spans="18:68" ht="20.100000000000001" customHeight="1"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</row>
    <row r="305" spans="18:68" ht="20.100000000000001" customHeight="1"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</row>
    <row r="306" spans="18:68" ht="20.100000000000001" customHeight="1"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</row>
    <row r="307" spans="18:68" ht="20.100000000000001" customHeight="1"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</row>
    <row r="308" spans="18:68" ht="20.100000000000001" customHeight="1"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</row>
    <row r="309" spans="18:68" ht="20.100000000000001" customHeight="1"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</row>
    <row r="310" spans="18:68" ht="20.100000000000001" customHeight="1"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</row>
    <row r="311" spans="18:68" ht="20.100000000000001" customHeight="1"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</row>
  </sheetData>
  <sheetProtection sheet="1" objects="1" scenarios="1" selectLockedCells="1" selectUnlockedCell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272</v>
      </c>
      <c r="D1" s="1" t="s">
        <v>5</v>
      </c>
      <c r="E1" s="634" t="s">
        <v>50</v>
      </c>
      <c r="F1" s="634"/>
      <c r="G1" s="634"/>
      <c r="H1" s="635" t="s">
        <v>51</v>
      </c>
      <c r="I1" s="635"/>
      <c r="J1" s="635"/>
      <c r="K1" s="636" t="s">
        <v>52</v>
      </c>
      <c r="L1" s="636"/>
      <c r="M1" s="636"/>
      <c r="N1" s="637" t="s">
        <v>53</v>
      </c>
      <c r="O1" s="637"/>
      <c r="P1" s="637"/>
      <c r="Q1" s="638" t="s">
        <v>54</v>
      </c>
      <c r="R1" s="638"/>
      <c r="S1" s="638"/>
      <c r="T1" s="633" t="s">
        <v>55</v>
      </c>
      <c r="U1" s="633"/>
      <c r="V1" s="633"/>
      <c r="W1" s="639" t="s">
        <v>56</v>
      </c>
      <c r="X1" s="639"/>
      <c r="Y1" s="639"/>
      <c r="Z1" s="640" t="s">
        <v>57</v>
      </c>
      <c r="AA1" s="640"/>
      <c r="AB1" s="640"/>
      <c r="AC1" s="641" t="s">
        <v>58</v>
      </c>
      <c r="AD1" s="641"/>
      <c r="AE1" s="641"/>
      <c r="AF1" s="642" t="s">
        <v>59</v>
      </c>
      <c r="AG1" s="642"/>
      <c r="AH1" s="642"/>
      <c r="AI1" s="643" t="s">
        <v>60</v>
      </c>
      <c r="AJ1" s="643"/>
      <c r="AK1" s="643"/>
    </row>
    <row r="2" spans="1:37" ht="20.100000000000001" customHeight="1">
      <c r="A2" s="1" t="s">
        <v>122</v>
      </c>
      <c r="B2" s="2">
        <v>4</v>
      </c>
      <c r="D2" s="1"/>
      <c r="E2" s="79" t="s">
        <v>61</v>
      </c>
      <c r="F2" s="79" t="s">
        <v>62</v>
      </c>
      <c r="G2" s="79" t="s">
        <v>63</v>
      </c>
      <c r="H2" s="80" t="s">
        <v>61</v>
      </c>
      <c r="I2" s="80" t="s">
        <v>62</v>
      </c>
      <c r="J2" s="80" t="s">
        <v>63</v>
      </c>
      <c r="K2" s="81" t="s">
        <v>61</v>
      </c>
      <c r="L2" s="81" t="s">
        <v>62</v>
      </c>
      <c r="M2" s="81" t="s">
        <v>63</v>
      </c>
      <c r="N2" s="82" t="s">
        <v>61</v>
      </c>
      <c r="O2" s="82" t="s">
        <v>62</v>
      </c>
      <c r="P2" s="82" t="s">
        <v>63</v>
      </c>
      <c r="Q2" s="83" t="s">
        <v>61</v>
      </c>
      <c r="R2" s="83" t="s">
        <v>62</v>
      </c>
      <c r="S2" s="83" t="s">
        <v>63</v>
      </c>
      <c r="T2" s="78" t="s">
        <v>61</v>
      </c>
      <c r="U2" s="78" t="s">
        <v>62</v>
      </c>
      <c r="V2" s="78" t="s">
        <v>63</v>
      </c>
      <c r="W2" s="73" t="s">
        <v>61</v>
      </c>
      <c r="X2" s="73" t="s">
        <v>62</v>
      </c>
      <c r="Y2" s="73" t="s">
        <v>63</v>
      </c>
      <c r="Z2" s="74" t="s">
        <v>61</v>
      </c>
      <c r="AA2" s="74" t="s">
        <v>62</v>
      </c>
      <c r="AB2" s="74" t="s">
        <v>63</v>
      </c>
      <c r="AC2" s="75" t="s">
        <v>61</v>
      </c>
      <c r="AD2" s="75" t="s">
        <v>62</v>
      </c>
      <c r="AE2" s="75" t="s">
        <v>63</v>
      </c>
      <c r="AF2" s="76" t="s">
        <v>61</v>
      </c>
      <c r="AG2" s="76" t="s">
        <v>62</v>
      </c>
      <c r="AH2" s="76" t="s">
        <v>63</v>
      </c>
      <c r="AI2" s="77" t="s">
        <v>61</v>
      </c>
      <c r="AJ2" s="77" t="s">
        <v>62</v>
      </c>
      <c r="AK2" s="77" t="s">
        <v>63</v>
      </c>
    </row>
    <row r="3" spans="1:37" ht="20.100000000000001" customHeight="1">
      <c r="A3" s="1" t="s">
        <v>123</v>
      </c>
      <c r="B3" s="2">
        <v>6</v>
      </c>
      <c r="D3" s="15">
        <v>0</v>
      </c>
      <c r="E3" s="16">
        <f t="shared" ref="E3:T18" si="0">E4-(E$363/360)</f>
        <v>-1.6904255772942633E-12</v>
      </c>
      <c r="F3" s="16">
        <f t="shared" si="0"/>
        <v>-5.9952043329758453E-15</v>
      </c>
      <c r="G3" s="16">
        <f t="shared" si="0"/>
        <v>-2.829958489769524E-12</v>
      </c>
      <c r="H3" s="17">
        <f t="shared" si="0"/>
        <v>7.8004269710163499E-13</v>
      </c>
      <c r="I3" s="17">
        <f t="shared" si="0"/>
        <v>-5.3379523023977526E-13</v>
      </c>
      <c r="J3" s="17">
        <f t="shared" si="0"/>
        <v>-3.6437519668197638E-13</v>
      </c>
      <c r="K3" s="18">
        <f t="shared" si="0"/>
        <v>-1.3835599332878701E-12</v>
      </c>
      <c r="L3" s="18">
        <f t="shared" si="0"/>
        <v>1.645572567099407E-12</v>
      </c>
      <c r="M3" s="18">
        <f t="shared" si="0"/>
        <v>-1.2929657344784573E-12</v>
      </c>
      <c r="N3" s="19">
        <f t="shared" si="0"/>
        <v>-4.5474735088646412E-13</v>
      </c>
      <c r="O3" s="19">
        <f t="shared" si="0"/>
        <v>1.3153922395758855E-12</v>
      </c>
      <c r="P3" s="19">
        <f t="shared" si="0"/>
        <v>-9.1060492479755339E-13</v>
      </c>
      <c r="Q3" s="20">
        <f t="shared" si="0"/>
        <v>1.0543788064865112E-12</v>
      </c>
      <c r="R3" s="20">
        <f t="shared" si="0"/>
        <v>1.4208634269152753E-12</v>
      </c>
      <c r="S3" s="20">
        <f t="shared" si="0"/>
        <v>1.3153922395758855E-12</v>
      </c>
      <c r="T3" s="21">
        <f t="shared" si="0"/>
        <v>1.500244373175974E-12</v>
      </c>
      <c r="U3" s="21">
        <f t="shared" ref="U3:AJ18" si="1">U4-(U$363/360)</f>
        <v>0</v>
      </c>
      <c r="V3" s="21">
        <f t="shared" si="1"/>
        <v>1.4208634269152753E-12</v>
      </c>
      <c r="W3" s="22">
        <f t="shared" si="1"/>
        <v>2.1393997684526767E-13</v>
      </c>
      <c r="X3" s="22">
        <f t="shared" si="1"/>
        <v>-1.3221646000260989E-12</v>
      </c>
      <c r="Y3" s="22">
        <f t="shared" si="1"/>
        <v>0</v>
      </c>
      <c r="Z3" s="23">
        <f t="shared" si="1"/>
        <v>-9.7066799042977436E-13</v>
      </c>
      <c r="AA3" s="23">
        <f t="shared" si="1"/>
        <v>-5.0515147620444623E-13</v>
      </c>
      <c r="AB3" s="23">
        <f t="shared" si="1"/>
        <v>-1.3221646000260989E-12</v>
      </c>
      <c r="AC3" s="24">
        <f t="shared" si="1"/>
        <v>3.3439917501709715E-13</v>
      </c>
      <c r="AD3" s="24">
        <f t="shared" si="1"/>
        <v>-9.0705221111875289E-14</v>
      </c>
      <c r="AE3" s="24">
        <f t="shared" si="1"/>
        <v>-5.0515147620444623E-13</v>
      </c>
      <c r="AF3" s="25">
        <f t="shared" si="1"/>
        <v>-4.7040149553367883E-13</v>
      </c>
      <c r="AG3" s="25">
        <f t="shared" si="1"/>
        <v>8.4676710088160689E-13</v>
      </c>
      <c r="AH3" s="25">
        <f t="shared" si="1"/>
        <v>-9.0705221111875289E-14</v>
      </c>
      <c r="AI3" s="26">
        <f t="shared" si="1"/>
        <v>2.8266278206956486E-13</v>
      </c>
      <c r="AJ3" s="26">
        <f t="shared" si="1"/>
        <v>-8.2589490801865395E-13</v>
      </c>
      <c r="AK3" s="26">
        <f t="shared" ref="AK3:AK17" si="2">AK4-(AK$363/360)</f>
        <v>8.4676710088160689E-13</v>
      </c>
    </row>
    <row r="4" spans="1:37" ht="20.100000000000001" customHeight="1">
      <c r="D4" s="27">
        <f>D3+0.2/72</f>
        <v>2.7777777777777779E-3</v>
      </c>
      <c r="E4" s="16">
        <f t="shared" si="0"/>
        <v>0.76666666666497629</v>
      </c>
      <c r="F4" s="16">
        <f t="shared" si="0"/>
        <v>0.81111111111110512</v>
      </c>
      <c r="G4" s="16">
        <f t="shared" si="0"/>
        <v>0.83888888888605895</v>
      </c>
      <c r="H4" s="17">
        <f t="shared" si="0"/>
        <v>0.71111111111189118</v>
      </c>
      <c r="I4" s="17">
        <f t="shared" si="0"/>
        <v>0.75555555555502174</v>
      </c>
      <c r="J4" s="17">
        <f t="shared" si="0"/>
        <v>0.78333333333296895</v>
      </c>
      <c r="K4" s="18">
        <f t="shared" si="0"/>
        <v>0.655555555554172</v>
      </c>
      <c r="L4" s="18">
        <f t="shared" si="0"/>
        <v>0.70000000000164553</v>
      </c>
      <c r="M4" s="18">
        <f t="shared" si="0"/>
        <v>0.72777777777648478</v>
      </c>
      <c r="N4" s="19">
        <f t="shared" si="0"/>
        <v>0.51111111111065632</v>
      </c>
      <c r="O4" s="19">
        <f t="shared" si="0"/>
        <v>0.55555555555687097</v>
      </c>
      <c r="P4" s="19">
        <f t="shared" si="0"/>
        <v>0.58333333333242277</v>
      </c>
      <c r="Q4" s="20">
        <f t="shared" si="0"/>
        <v>0.48333333333438772</v>
      </c>
      <c r="R4" s="20">
        <f t="shared" si="0"/>
        <v>0.52777777777919865</v>
      </c>
      <c r="S4" s="20">
        <f t="shared" si="0"/>
        <v>0.55555555555687097</v>
      </c>
      <c r="T4" s="21">
        <f t="shared" si="0"/>
        <v>0.45555555555705579</v>
      </c>
      <c r="U4" s="21">
        <f t="shared" si="1"/>
        <v>0.5</v>
      </c>
      <c r="V4" s="21">
        <f t="shared" si="1"/>
        <v>0.52777777777919865</v>
      </c>
      <c r="W4" s="22">
        <f t="shared" si="1"/>
        <v>0.4277777777779917</v>
      </c>
      <c r="X4" s="22">
        <f t="shared" si="1"/>
        <v>0.47222222222090005</v>
      </c>
      <c r="Y4" s="22">
        <f t="shared" si="1"/>
        <v>0.5</v>
      </c>
      <c r="Z4" s="23">
        <f t="shared" si="1"/>
        <v>0.39999999999902935</v>
      </c>
      <c r="AA4" s="23">
        <f t="shared" si="1"/>
        <v>0.44444444444393927</v>
      </c>
      <c r="AB4" s="23">
        <f t="shared" si="1"/>
        <v>0.47222222222090005</v>
      </c>
      <c r="AC4" s="24">
        <f t="shared" si="1"/>
        <v>0.37222222222255663</v>
      </c>
      <c r="AD4" s="24">
        <f t="shared" si="1"/>
        <v>0.41666666666657598</v>
      </c>
      <c r="AE4" s="24">
        <f t="shared" si="1"/>
        <v>0.44444444444393927</v>
      </c>
      <c r="AF4" s="25">
        <f t="shared" si="1"/>
        <v>0.34444444444397404</v>
      </c>
      <c r="AG4" s="25">
        <f t="shared" si="1"/>
        <v>0.38888888888973566</v>
      </c>
      <c r="AH4" s="25">
        <f t="shared" si="1"/>
        <v>0.41666666666657598</v>
      </c>
      <c r="AI4" s="26">
        <f t="shared" si="1"/>
        <v>0.31666666666694931</v>
      </c>
      <c r="AJ4" s="26">
        <f t="shared" si="1"/>
        <v>0.36111111111028521</v>
      </c>
      <c r="AK4" s="26">
        <f t="shared" si="2"/>
        <v>0.38888888888973566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1.533333333331643</v>
      </c>
      <c r="F5" s="16">
        <f t="shared" si="0"/>
        <v>1.6222222222222162</v>
      </c>
      <c r="G5" s="16">
        <f t="shared" si="0"/>
        <v>1.6777777777749479</v>
      </c>
      <c r="H5" s="17">
        <f t="shared" si="0"/>
        <v>1.4222222222230023</v>
      </c>
      <c r="I5" s="17">
        <f t="shared" si="0"/>
        <v>1.5111111111105773</v>
      </c>
      <c r="J5" s="17">
        <f t="shared" si="0"/>
        <v>1.5666666666663023</v>
      </c>
      <c r="K5" s="18">
        <f t="shared" si="0"/>
        <v>1.3111111111097276</v>
      </c>
      <c r="L5" s="18">
        <f t="shared" si="0"/>
        <v>1.4000000000016455</v>
      </c>
      <c r="M5" s="18">
        <f t="shared" si="0"/>
        <v>1.4555555555542625</v>
      </c>
      <c r="N5" s="19">
        <f t="shared" si="0"/>
        <v>1.0222222222217674</v>
      </c>
      <c r="O5" s="19">
        <f t="shared" si="0"/>
        <v>1.1111111111124266</v>
      </c>
      <c r="P5" s="19">
        <f t="shared" si="0"/>
        <v>1.1666666666657561</v>
      </c>
      <c r="Q5" s="20">
        <f t="shared" si="0"/>
        <v>0.96666666666772105</v>
      </c>
      <c r="R5" s="20">
        <f t="shared" si="0"/>
        <v>1.0555555555569764</v>
      </c>
      <c r="S5" s="20">
        <f t="shared" si="0"/>
        <v>1.1111111111124266</v>
      </c>
      <c r="T5" s="21">
        <f t="shared" si="0"/>
        <v>0.91111111111261134</v>
      </c>
      <c r="U5" s="21">
        <f t="shared" si="1"/>
        <v>1</v>
      </c>
      <c r="V5" s="21">
        <f t="shared" si="1"/>
        <v>1.0555555555569764</v>
      </c>
      <c r="W5" s="22">
        <f t="shared" si="1"/>
        <v>0.85555555555576945</v>
      </c>
      <c r="X5" s="22">
        <f t="shared" si="1"/>
        <v>0.94444444444312226</v>
      </c>
      <c r="Y5" s="22">
        <f t="shared" si="1"/>
        <v>1</v>
      </c>
      <c r="Z5" s="23">
        <f t="shared" si="1"/>
        <v>0.79999999999902938</v>
      </c>
      <c r="AA5" s="23">
        <f t="shared" si="1"/>
        <v>0.88888888888838369</v>
      </c>
      <c r="AB5" s="23">
        <f t="shared" si="1"/>
        <v>0.94444444444312226</v>
      </c>
      <c r="AC5" s="24">
        <f t="shared" si="1"/>
        <v>0.74444444444477886</v>
      </c>
      <c r="AD5" s="24">
        <f t="shared" si="1"/>
        <v>0.83333333333324267</v>
      </c>
      <c r="AE5" s="24">
        <f t="shared" si="1"/>
        <v>0.88888888888838369</v>
      </c>
      <c r="AF5" s="25">
        <f t="shared" si="1"/>
        <v>0.68888888888841848</v>
      </c>
      <c r="AG5" s="25">
        <f t="shared" si="1"/>
        <v>0.77777777777862456</v>
      </c>
      <c r="AH5" s="25">
        <f t="shared" si="1"/>
        <v>0.83333333333324267</v>
      </c>
      <c r="AI5" s="26">
        <f t="shared" si="1"/>
        <v>0.63333333333361597</v>
      </c>
      <c r="AJ5" s="26">
        <f t="shared" si="1"/>
        <v>0.72222222222139631</v>
      </c>
      <c r="AK5" s="26">
        <f t="shared" si="2"/>
        <v>0.77777777777862456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2.2999999999983096</v>
      </c>
      <c r="F6" s="16">
        <f t="shared" si="0"/>
        <v>2.4333333333333274</v>
      </c>
      <c r="G6" s="16">
        <f t="shared" si="0"/>
        <v>2.5166666666638369</v>
      </c>
      <c r="H6" s="17">
        <f t="shared" si="0"/>
        <v>2.1333333333341136</v>
      </c>
      <c r="I6" s="17">
        <f t="shared" si="0"/>
        <v>2.2666666666661328</v>
      </c>
      <c r="J6" s="17">
        <f t="shared" si="0"/>
        <v>2.3499999999996355</v>
      </c>
      <c r="K6" s="18">
        <f t="shared" si="0"/>
        <v>1.966666666665283</v>
      </c>
      <c r="L6" s="18">
        <f t="shared" si="0"/>
        <v>2.1000000000016454</v>
      </c>
      <c r="M6" s="18">
        <f t="shared" si="0"/>
        <v>2.1833333333320404</v>
      </c>
      <c r="N6" s="19">
        <f t="shared" si="0"/>
        <v>1.5333333333328785</v>
      </c>
      <c r="O6" s="19">
        <f t="shared" si="0"/>
        <v>1.6666666666679821</v>
      </c>
      <c r="P6" s="19">
        <f t="shared" si="0"/>
        <v>1.7499999999990896</v>
      </c>
      <c r="Q6" s="20">
        <f t="shared" si="0"/>
        <v>1.4500000000010544</v>
      </c>
      <c r="R6" s="20">
        <f t="shared" si="0"/>
        <v>1.5833333333347541</v>
      </c>
      <c r="S6" s="20">
        <f t="shared" si="0"/>
        <v>1.6666666666679821</v>
      </c>
      <c r="T6" s="21">
        <f t="shared" si="0"/>
        <v>1.3666666666681668</v>
      </c>
      <c r="U6" s="21">
        <f t="shared" si="1"/>
        <v>1.5</v>
      </c>
      <c r="V6" s="21">
        <f t="shared" si="1"/>
        <v>1.5833333333347541</v>
      </c>
      <c r="W6" s="22">
        <f t="shared" si="1"/>
        <v>1.2833333333335473</v>
      </c>
      <c r="X6" s="22">
        <f t="shared" si="1"/>
        <v>1.4166666666653445</v>
      </c>
      <c r="Y6" s="22">
        <f t="shared" si="1"/>
        <v>1.5</v>
      </c>
      <c r="Z6" s="23">
        <f t="shared" si="1"/>
        <v>1.1999999999990294</v>
      </c>
      <c r="AA6" s="23">
        <f t="shared" si="1"/>
        <v>1.3333333333328281</v>
      </c>
      <c r="AB6" s="23">
        <f t="shared" si="1"/>
        <v>1.4166666666653445</v>
      </c>
      <c r="AC6" s="24">
        <f t="shared" si="1"/>
        <v>1.1166666666670011</v>
      </c>
      <c r="AD6" s="24">
        <f t="shared" si="1"/>
        <v>1.2499999999999094</v>
      </c>
      <c r="AE6" s="24">
        <f t="shared" si="1"/>
        <v>1.3333333333328281</v>
      </c>
      <c r="AF6" s="25">
        <f t="shared" si="1"/>
        <v>1.0333333333328629</v>
      </c>
      <c r="AG6" s="25">
        <f t="shared" si="1"/>
        <v>1.1666666666675134</v>
      </c>
      <c r="AH6" s="25">
        <f t="shared" si="1"/>
        <v>1.2499999999999094</v>
      </c>
      <c r="AI6" s="26">
        <f t="shared" si="1"/>
        <v>0.95000000000028262</v>
      </c>
      <c r="AJ6" s="26">
        <f t="shared" si="1"/>
        <v>1.0833333333325075</v>
      </c>
      <c r="AK6" s="26">
        <f t="shared" si="2"/>
        <v>1.1666666666675134</v>
      </c>
    </row>
    <row r="7" spans="1:37" ht="20.100000000000001" customHeight="1">
      <c r="D7" s="27">
        <f t="shared" si="3"/>
        <v>1.1111111111111112E-2</v>
      </c>
      <c r="E7" s="16">
        <f t="shared" si="0"/>
        <v>3.0666666666649762</v>
      </c>
      <c r="F7" s="16">
        <f t="shared" si="0"/>
        <v>3.2444444444444382</v>
      </c>
      <c r="G7" s="16">
        <f t="shared" si="0"/>
        <v>3.3555555555527259</v>
      </c>
      <c r="H7" s="17">
        <f t="shared" si="0"/>
        <v>2.8444444444452248</v>
      </c>
      <c r="I7" s="17">
        <f t="shared" si="0"/>
        <v>3.0222222222216883</v>
      </c>
      <c r="J7" s="17">
        <f t="shared" si="0"/>
        <v>3.1333333333329687</v>
      </c>
      <c r="K7" s="18">
        <f t="shared" si="0"/>
        <v>2.6222222222208385</v>
      </c>
      <c r="L7" s="18">
        <f t="shared" si="0"/>
        <v>2.8000000000016456</v>
      </c>
      <c r="M7" s="18">
        <f t="shared" si="0"/>
        <v>2.9111111111098182</v>
      </c>
      <c r="N7" s="19">
        <f t="shared" si="0"/>
        <v>2.0444444444439895</v>
      </c>
      <c r="O7" s="19">
        <f t="shared" si="0"/>
        <v>2.2222222222235377</v>
      </c>
      <c r="P7" s="19">
        <f t="shared" si="0"/>
        <v>2.3333333333324231</v>
      </c>
      <c r="Q7" s="20">
        <f t="shared" si="0"/>
        <v>1.9333333333343878</v>
      </c>
      <c r="R7" s="20">
        <f t="shared" si="0"/>
        <v>2.1111111111125318</v>
      </c>
      <c r="S7" s="20">
        <f t="shared" si="0"/>
        <v>2.2222222222235377</v>
      </c>
      <c r="T7" s="21">
        <f t="shared" si="0"/>
        <v>1.8222222222237223</v>
      </c>
      <c r="U7" s="21">
        <f t="shared" si="1"/>
        <v>2</v>
      </c>
      <c r="V7" s="21">
        <f t="shared" si="1"/>
        <v>2.1111111111125318</v>
      </c>
      <c r="W7" s="22">
        <f t="shared" si="1"/>
        <v>1.7111111111113251</v>
      </c>
      <c r="X7" s="22">
        <f t="shared" si="1"/>
        <v>1.8888888888875668</v>
      </c>
      <c r="Y7" s="22">
        <f t="shared" si="1"/>
        <v>2</v>
      </c>
      <c r="Z7" s="23">
        <f t="shared" si="1"/>
        <v>1.5999999999990293</v>
      </c>
      <c r="AA7" s="23">
        <f t="shared" si="1"/>
        <v>1.7777777777772725</v>
      </c>
      <c r="AB7" s="23">
        <f t="shared" si="1"/>
        <v>1.8888888888875668</v>
      </c>
      <c r="AC7" s="24">
        <f t="shared" si="1"/>
        <v>1.4888888888892233</v>
      </c>
      <c r="AD7" s="24">
        <f t="shared" si="1"/>
        <v>1.6666666666665761</v>
      </c>
      <c r="AE7" s="24">
        <f t="shared" si="1"/>
        <v>1.7777777777772725</v>
      </c>
      <c r="AF7" s="25">
        <f t="shared" si="1"/>
        <v>1.3777777777773075</v>
      </c>
      <c r="AG7" s="25">
        <f t="shared" si="1"/>
        <v>1.5555555555564022</v>
      </c>
      <c r="AH7" s="25">
        <f t="shared" si="1"/>
        <v>1.6666666666665761</v>
      </c>
      <c r="AI7" s="26">
        <f t="shared" si="1"/>
        <v>1.2666666666669493</v>
      </c>
      <c r="AJ7" s="26">
        <f t="shared" si="1"/>
        <v>1.4444444444436186</v>
      </c>
      <c r="AK7" s="26">
        <f t="shared" si="2"/>
        <v>1.5555555555564022</v>
      </c>
    </row>
    <row r="8" spans="1:37" ht="20.100000000000001" customHeight="1">
      <c r="D8" s="27">
        <f t="shared" si="3"/>
        <v>1.388888888888889E-2</v>
      </c>
      <c r="E8" s="16">
        <f t="shared" si="0"/>
        <v>3.8333333333316428</v>
      </c>
      <c r="F8" s="16">
        <f t="shared" si="0"/>
        <v>4.0555555555555491</v>
      </c>
      <c r="G8" s="16">
        <f t="shared" si="0"/>
        <v>4.1944444444416149</v>
      </c>
      <c r="H8" s="17">
        <f t="shared" si="0"/>
        <v>3.5555555555563361</v>
      </c>
      <c r="I8" s="17">
        <f t="shared" si="0"/>
        <v>3.7777777777772439</v>
      </c>
      <c r="J8" s="17">
        <f t="shared" si="0"/>
        <v>3.9166666666663019</v>
      </c>
      <c r="K8" s="18">
        <f t="shared" si="0"/>
        <v>3.2777777777763939</v>
      </c>
      <c r="L8" s="18">
        <f t="shared" si="0"/>
        <v>3.5000000000016458</v>
      </c>
      <c r="M8" s="18">
        <f t="shared" si="0"/>
        <v>3.6388888888875961</v>
      </c>
      <c r="N8" s="19">
        <f t="shared" si="0"/>
        <v>2.5555555555551006</v>
      </c>
      <c r="O8" s="19">
        <f t="shared" si="0"/>
        <v>2.7777777777790931</v>
      </c>
      <c r="P8" s="19">
        <f t="shared" si="0"/>
        <v>2.9166666666657566</v>
      </c>
      <c r="Q8" s="20">
        <f t="shared" si="0"/>
        <v>2.4166666666677212</v>
      </c>
      <c r="R8" s="20">
        <f t="shared" si="0"/>
        <v>2.6388888888903095</v>
      </c>
      <c r="S8" s="20">
        <f t="shared" si="0"/>
        <v>2.7777777777790931</v>
      </c>
      <c r="T8" s="21">
        <f t="shared" si="0"/>
        <v>2.2777777777792778</v>
      </c>
      <c r="U8" s="21">
        <f t="shared" si="1"/>
        <v>2.5</v>
      </c>
      <c r="V8" s="21">
        <f t="shared" si="1"/>
        <v>2.6388888888903095</v>
      </c>
      <c r="W8" s="22">
        <f t="shared" si="1"/>
        <v>2.1388888888891029</v>
      </c>
      <c r="X8" s="22">
        <f t="shared" si="1"/>
        <v>2.3611111111097891</v>
      </c>
      <c r="Y8" s="22">
        <f t="shared" si="1"/>
        <v>2.5</v>
      </c>
      <c r="Z8" s="23">
        <f t="shared" si="1"/>
        <v>1.9999999999990292</v>
      </c>
      <c r="AA8" s="23">
        <f t="shared" si="1"/>
        <v>2.2222222222217169</v>
      </c>
      <c r="AB8" s="23">
        <f t="shared" si="1"/>
        <v>2.3611111111097891</v>
      </c>
      <c r="AC8" s="24">
        <f t="shared" si="1"/>
        <v>1.8611111111114456</v>
      </c>
      <c r="AD8" s="24">
        <f t="shared" si="1"/>
        <v>2.0833333333332429</v>
      </c>
      <c r="AE8" s="24">
        <f t="shared" si="1"/>
        <v>2.2222222222217169</v>
      </c>
      <c r="AF8" s="25">
        <f t="shared" si="1"/>
        <v>1.722222222221752</v>
      </c>
      <c r="AG8" s="25">
        <f t="shared" si="1"/>
        <v>1.9444444444452911</v>
      </c>
      <c r="AH8" s="25">
        <f t="shared" si="1"/>
        <v>2.0833333333332429</v>
      </c>
      <c r="AI8" s="26">
        <f t="shared" si="1"/>
        <v>1.5833333333336159</v>
      </c>
      <c r="AJ8" s="26">
        <f t="shared" si="1"/>
        <v>1.8055555555547298</v>
      </c>
      <c r="AK8" s="26">
        <f t="shared" si="2"/>
        <v>1.9444444444452911</v>
      </c>
    </row>
    <row r="9" spans="1:37" ht="20.100000000000001" customHeight="1">
      <c r="D9" s="27">
        <f t="shared" si="3"/>
        <v>1.6666666666666666E-2</v>
      </c>
      <c r="E9" s="16">
        <f t="shared" si="0"/>
        <v>4.5999999999983094</v>
      </c>
      <c r="F9" s="16">
        <f t="shared" si="0"/>
        <v>4.86666666666666</v>
      </c>
      <c r="G9" s="16">
        <f t="shared" si="0"/>
        <v>5.0333333333305035</v>
      </c>
      <c r="H9" s="17">
        <f t="shared" si="0"/>
        <v>4.2666666666674473</v>
      </c>
      <c r="I9" s="17">
        <f t="shared" si="0"/>
        <v>4.5333333333327994</v>
      </c>
      <c r="J9" s="17">
        <f t="shared" si="0"/>
        <v>4.6999999999996351</v>
      </c>
      <c r="K9" s="18">
        <f t="shared" si="0"/>
        <v>3.9333333333319493</v>
      </c>
      <c r="L9" s="18">
        <f t="shared" si="0"/>
        <v>4.200000000001646</v>
      </c>
      <c r="M9" s="18">
        <f t="shared" si="0"/>
        <v>4.366666666665374</v>
      </c>
      <c r="N9" s="19">
        <f t="shared" si="0"/>
        <v>3.0666666666662117</v>
      </c>
      <c r="O9" s="19">
        <f t="shared" si="0"/>
        <v>3.3333333333346484</v>
      </c>
      <c r="P9" s="19">
        <f t="shared" si="0"/>
        <v>3.4999999999990901</v>
      </c>
      <c r="Q9" s="20">
        <f t="shared" si="0"/>
        <v>2.9000000000010546</v>
      </c>
      <c r="R9" s="20">
        <f t="shared" si="0"/>
        <v>3.1666666666680872</v>
      </c>
      <c r="S9" s="20">
        <f t="shared" si="0"/>
        <v>3.3333333333346484</v>
      </c>
      <c r="T9" s="21">
        <f t="shared" si="0"/>
        <v>2.7333333333348335</v>
      </c>
      <c r="U9" s="21">
        <f t="shared" si="1"/>
        <v>3</v>
      </c>
      <c r="V9" s="21">
        <f t="shared" si="1"/>
        <v>3.1666666666680872</v>
      </c>
      <c r="W9" s="22">
        <f t="shared" si="1"/>
        <v>2.5666666666668805</v>
      </c>
      <c r="X9" s="22">
        <f t="shared" si="1"/>
        <v>2.8333333333320114</v>
      </c>
      <c r="Y9" s="22">
        <f t="shared" si="1"/>
        <v>3</v>
      </c>
      <c r="Z9" s="23">
        <f t="shared" si="1"/>
        <v>2.3999999999990291</v>
      </c>
      <c r="AA9" s="23">
        <f t="shared" si="1"/>
        <v>2.6666666666661616</v>
      </c>
      <c r="AB9" s="23">
        <f t="shared" si="1"/>
        <v>2.8333333333320114</v>
      </c>
      <c r="AC9" s="24">
        <f t="shared" si="1"/>
        <v>2.2333333333336678</v>
      </c>
      <c r="AD9" s="24">
        <f t="shared" si="1"/>
        <v>2.4999999999999094</v>
      </c>
      <c r="AE9" s="24">
        <f t="shared" si="1"/>
        <v>2.6666666666661616</v>
      </c>
      <c r="AF9" s="25">
        <f t="shared" si="1"/>
        <v>2.0666666666661966</v>
      </c>
      <c r="AG9" s="25">
        <f t="shared" si="1"/>
        <v>2.3333333333341799</v>
      </c>
      <c r="AH9" s="25">
        <f t="shared" si="1"/>
        <v>2.4999999999999094</v>
      </c>
      <c r="AI9" s="26">
        <f t="shared" si="1"/>
        <v>1.9000000000002826</v>
      </c>
      <c r="AJ9" s="26">
        <f t="shared" si="1"/>
        <v>2.166666666665841</v>
      </c>
      <c r="AK9" s="26">
        <f t="shared" si="2"/>
        <v>2.3333333333341799</v>
      </c>
    </row>
    <row r="10" spans="1:37" ht="20.100000000000001" customHeight="1">
      <c r="D10" s="27">
        <f t="shared" si="3"/>
        <v>1.9444444444444445E-2</v>
      </c>
      <c r="E10" s="16">
        <f t="shared" si="0"/>
        <v>5.366666666664976</v>
      </c>
      <c r="F10" s="16">
        <f t="shared" si="0"/>
        <v>5.6777777777777709</v>
      </c>
      <c r="G10" s="16">
        <f t="shared" si="0"/>
        <v>5.8722222222193921</v>
      </c>
      <c r="H10" s="17">
        <f t="shared" si="0"/>
        <v>4.9777777777785586</v>
      </c>
      <c r="I10" s="17">
        <f t="shared" si="0"/>
        <v>5.288888888888355</v>
      </c>
      <c r="J10" s="17">
        <f t="shared" si="0"/>
        <v>5.4833333333329684</v>
      </c>
      <c r="K10" s="18">
        <f t="shared" si="0"/>
        <v>4.5888888888875048</v>
      </c>
      <c r="L10" s="18">
        <f t="shared" si="0"/>
        <v>4.9000000000016461</v>
      </c>
      <c r="M10" s="18">
        <f t="shared" si="0"/>
        <v>5.0944444444431518</v>
      </c>
      <c r="N10" s="19">
        <f t="shared" si="0"/>
        <v>3.5777777777773228</v>
      </c>
      <c r="O10" s="19">
        <f t="shared" si="0"/>
        <v>3.8888888888902038</v>
      </c>
      <c r="P10" s="19">
        <f t="shared" si="0"/>
        <v>4.0833333333324235</v>
      </c>
      <c r="Q10" s="20">
        <f t="shared" si="0"/>
        <v>3.383333333334388</v>
      </c>
      <c r="R10" s="20">
        <f t="shared" si="0"/>
        <v>3.6944444444458648</v>
      </c>
      <c r="S10" s="20">
        <f t="shared" si="0"/>
        <v>3.8888888888902038</v>
      </c>
      <c r="T10" s="21">
        <f t="shared" si="0"/>
        <v>3.1888888888903892</v>
      </c>
      <c r="U10" s="21">
        <f t="shared" si="1"/>
        <v>3.5</v>
      </c>
      <c r="V10" s="21">
        <f t="shared" si="1"/>
        <v>3.6944444444458648</v>
      </c>
      <c r="W10" s="22">
        <f t="shared" si="1"/>
        <v>2.9944444444446581</v>
      </c>
      <c r="X10" s="22">
        <f t="shared" si="1"/>
        <v>3.3055555555542337</v>
      </c>
      <c r="Y10" s="22">
        <f t="shared" si="1"/>
        <v>3.5</v>
      </c>
      <c r="Z10" s="23">
        <f t="shared" si="1"/>
        <v>2.799999999999029</v>
      </c>
      <c r="AA10" s="23">
        <f t="shared" si="1"/>
        <v>3.1111111111106062</v>
      </c>
      <c r="AB10" s="23">
        <f t="shared" si="1"/>
        <v>3.3055555555542337</v>
      </c>
      <c r="AC10" s="24">
        <f t="shared" si="1"/>
        <v>2.60555555555589</v>
      </c>
      <c r="AD10" s="24">
        <f t="shared" si="1"/>
        <v>2.9166666666665759</v>
      </c>
      <c r="AE10" s="24">
        <f t="shared" si="1"/>
        <v>3.1111111111106062</v>
      </c>
      <c r="AF10" s="25">
        <f t="shared" si="1"/>
        <v>2.4111111111106411</v>
      </c>
      <c r="AG10" s="25">
        <f t="shared" si="1"/>
        <v>2.7222222222230688</v>
      </c>
      <c r="AH10" s="25">
        <f t="shared" si="1"/>
        <v>2.9166666666665759</v>
      </c>
      <c r="AI10" s="26">
        <f t="shared" si="1"/>
        <v>2.2166666666669492</v>
      </c>
      <c r="AJ10" s="26">
        <f t="shared" si="1"/>
        <v>2.5277777777769521</v>
      </c>
      <c r="AK10" s="26">
        <f t="shared" si="2"/>
        <v>2.7222222222230688</v>
      </c>
    </row>
    <row r="11" spans="1:37" ht="20.100000000000001" customHeight="1">
      <c r="D11" s="27">
        <f t="shared" si="3"/>
        <v>2.2222222222222223E-2</v>
      </c>
      <c r="E11" s="16">
        <f t="shared" si="0"/>
        <v>6.1333333333316427</v>
      </c>
      <c r="F11" s="16">
        <f t="shared" si="0"/>
        <v>6.4888888888888818</v>
      </c>
      <c r="G11" s="16">
        <f t="shared" si="0"/>
        <v>6.7111111111082806</v>
      </c>
      <c r="H11" s="17">
        <f t="shared" si="0"/>
        <v>5.6888888888896698</v>
      </c>
      <c r="I11" s="17">
        <f t="shared" si="0"/>
        <v>6.0444444444439105</v>
      </c>
      <c r="J11" s="17">
        <f t="shared" si="0"/>
        <v>6.2666666666663016</v>
      </c>
      <c r="K11" s="18">
        <f t="shared" si="0"/>
        <v>5.2444444444430607</v>
      </c>
      <c r="L11" s="18">
        <f t="shared" si="0"/>
        <v>5.6000000000016463</v>
      </c>
      <c r="M11" s="18">
        <f t="shared" si="0"/>
        <v>5.8222222222209297</v>
      </c>
      <c r="N11" s="19">
        <f t="shared" si="0"/>
        <v>4.0888888888884338</v>
      </c>
      <c r="O11" s="19">
        <f t="shared" si="0"/>
        <v>4.4444444444457591</v>
      </c>
      <c r="P11" s="19">
        <f t="shared" si="0"/>
        <v>4.6666666666657566</v>
      </c>
      <c r="Q11" s="20">
        <f t="shared" si="0"/>
        <v>3.8666666666677214</v>
      </c>
      <c r="R11" s="20">
        <f t="shared" si="0"/>
        <v>4.2222222222236425</v>
      </c>
      <c r="S11" s="20">
        <f t="shared" si="0"/>
        <v>4.4444444444457591</v>
      </c>
      <c r="T11" s="21">
        <f t="shared" si="0"/>
        <v>3.644444444445945</v>
      </c>
      <c r="U11" s="21">
        <f t="shared" si="1"/>
        <v>4</v>
      </c>
      <c r="V11" s="21">
        <f t="shared" si="1"/>
        <v>4.2222222222236425</v>
      </c>
      <c r="W11" s="22">
        <f t="shared" si="1"/>
        <v>3.4222222222224357</v>
      </c>
      <c r="X11" s="22">
        <f t="shared" si="1"/>
        <v>3.7777777777764561</v>
      </c>
      <c r="Y11" s="22">
        <f t="shared" si="1"/>
        <v>4</v>
      </c>
      <c r="Z11" s="23">
        <f t="shared" si="1"/>
        <v>3.199999999999029</v>
      </c>
      <c r="AA11" s="23">
        <f t="shared" si="1"/>
        <v>3.5555555555550509</v>
      </c>
      <c r="AB11" s="23">
        <f t="shared" si="1"/>
        <v>3.7777777777764561</v>
      </c>
      <c r="AC11" s="24">
        <f t="shared" si="1"/>
        <v>2.9777777777781123</v>
      </c>
      <c r="AD11" s="24">
        <f t="shared" si="1"/>
        <v>3.3333333333332424</v>
      </c>
      <c r="AE11" s="24">
        <f t="shared" si="1"/>
        <v>3.5555555555550509</v>
      </c>
      <c r="AF11" s="25">
        <f t="shared" si="1"/>
        <v>2.7555555555550857</v>
      </c>
      <c r="AG11" s="25">
        <f t="shared" si="1"/>
        <v>3.1111111111119576</v>
      </c>
      <c r="AH11" s="25">
        <f t="shared" si="1"/>
        <v>3.3333333333332424</v>
      </c>
      <c r="AI11" s="26">
        <f t="shared" si="1"/>
        <v>2.5333333333336157</v>
      </c>
      <c r="AJ11" s="26">
        <f t="shared" si="1"/>
        <v>2.8888888888880633</v>
      </c>
      <c r="AK11" s="26">
        <f t="shared" si="2"/>
        <v>3.1111111111119576</v>
      </c>
    </row>
    <row r="12" spans="1:37" ht="20.100000000000001" customHeight="1">
      <c r="D12" s="27">
        <f t="shared" si="3"/>
        <v>2.5000000000000001E-2</v>
      </c>
      <c r="E12" s="16">
        <f t="shared" si="0"/>
        <v>6.8999999999983093</v>
      </c>
      <c r="F12" s="16">
        <f t="shared" si="0"/>
        <v>7.2999999999999927</v>
      </c>
      <c r="G12" s="16">
        <f t="shared" si="0"/>
        <v>7.5499999999971692</v>
      </c>
      <c r="H12" s="17">
        <f t="shared" si="0"/>
        <v>6.4000000000007811</v>
      </c>
      <c r="I12" s="17">
        <f t="shared" si="0"/>
        <v>6.799999999999466</v>
      </c>
      <c r="J12" s="17">
        <f t="shared" si="0"/>
        <v>7.0499999999996348</v>
      </c>
      <c r="K12" s="18">
        <f t="shared" si="0"/>
        <v>5.8999999999986166</v>
      </c>
      <c r="L12" s="18">
        <f t="shared" si="0"/>
        <v>6.3000000000016465</v>
      </c>
      <c r="M12" s="18">
        <f t="shared" si="0"/>
        <v>6.5499999999987075</v>
      </c>
      <c r="N12" s="19">
        <f t="shared" si="0"/>
        <v>4.5999999999995449</v>
      </c>
      <c r="O12" s="19">
        <f t="shared" si="0"/>
        <v>5.0000000000013145</v>
      </c>
      <c r="P12" s="19">
        <f t="shared" si="0"/>
        <v>5.2499999999990896</v>
      </c>
      <c r="Q12" s="20">
        <f t="shared" si="0"/>
        <v>4.3500000000010548</v>
      </c>
      <c r="R12" s="20">
        <f t="shared" si="0"/>
        <v>4.7500000000014202</v>
      </c>
      <c r="S12" s="20">
        <f t="shared" si="0"/>
        <v>5.0000000000013145</v>
      </c>
      <c r="T12" s="21">
        <f t="shared" si="0"/>
        <v>4.1000000000015007</v>
      </c>
      <c r="U12" s="21">
        <f t="shared" si="1"/>
        <v>4.5</v>
      </c>
      <c r="V12" s="21">
        <f t="shared" si="1"/>
        <v>4.7500000000014202</v>
      </c>
      <c r="W12" s="22">
        <f t="shared" si="1"/>
        <v>3.8500000000002133</v>
      </c>
      <c r="X12" s="22">
        <f t="shared" si="1"/>
        <v>4.2499999999986784</v>
      </c>
      <c r="Y12" s="22">
        <f t="shared" si="1"/>
        <v>4.5</v>
      </c>
      <c r="Z12" s="23">
        <f t="shared" si="1"/>
        <v>3.5999999999990289</v>
      </c>
      <c r="AA12" s="23">
        <f t="shared" si="1"/>
        <v>3.9999999999994955</v>
      </c>
      <c r="AB12" s="23">
        <f t="shared" si="1"/>
        <v>4.2499999999986784</v>
      </c>
      <c r="AC12" s="24">
        <f t="shared" si="1"/>
        <v>3.3500000000003345</v>
      </c>
      <c r="AD12" s="24">
        <f t="shared" si="1"/>
        <v>3.749999999999909</v>
      </c>
      <c r="AE12" s="24">
        <f t="shared" si="1"/>
        <v>3.9999999999994955</v>
      </c>
      <c r="AF12" s="25">
        <f t="shared" si="1"/>
        <v>3.0999999999995302</v>
      </c>
      <c r="AG12" s="25">
        <f t="shared" si="1"/>
        <v>3.5000000000008464</v>
      </c>
      <c r="AH12" s="25">
        <f t="shared" si="1"/>
        <v>3.749999999999909</v>
      </c>
      <c r="AI12" s="26">
        <f t="shared" si="1"/>
        <v>2.8500000000002821</v>
      </c>
      <c r="AJ12" s="26">
        <f t="shared" si="1"/>
        <v>3.2499999999991744</v>
      </c>
      <c r="AK12" s="26">
        <f t="shared" si="2"/>
        <v>3.5000000000008464</v>
      </c>
    </row>
    <row r="13" spans="1:37" ht="20.100000000000001" customHeight="1">
      <c r="D13" s="27">
        <f t="shared" si="3"/>
        <v>2.777777777777778E-2</v>
      </c>
      <c r="E13" s="16">
        <f t="shared" si="0"/>
        <v>7.6666666666649759</v>
      </c>
      <c r="F13" s="16">
        <f t="shared" si="0"/>
        <v>8.1111111111111036</v>
      </c>
      <c r="G13" s="16">
        <f t="shared" si="0"/>
        <v>8.3888888888860578</v>
      </c>
      <c r="H13" s="17">
        <f t="shared" si="0"/>
        <v>7.1111111111118923</v>
      </c>
      <c r="I13" s="17">
        <f t="shared" si="0"/>
        <v>7.5555555555550216</v>
      </c>
      <c r="J13" s="17">
        <f t="shared" si="0"/>
        <v>7.833333333332968</v>
      </c>
      <c r="K13" s="18">
        <f t="shared" si="0"/>
        <v>6.5555555555541725</v>
      </c>
      <c r="L13" s="18">
        <f t="shared" si="0"/>
        <v>7.0000000000016467</v>
      </c>
      <c r="M13" s="18">
        <f t="shared" si="0"/>
        <v>7.2777777777764854</v>
      </c>
      <c r="N13" s="19">
        <f t="shared" si="0"/>
        <v>5.111111111110656</v>
      </c>
      <c r="O13" s="19">
        <f t="shared" si="0"/>
        <v>5.5555555555568699</v>
      </c>
      <c r="P13" s="19">
        <f t="shared" si="0"/>
        <v>5.8333333333324227</v>
      </c>
      <c r="Q13" s="20">
        <f t="shared" si="0"/>
        <v>4.8333333333343882</v>
      </c>
      <c r="R13" s="20">
        <f t="shared" si="0"/>
        <v>5.2777777777791979</v>
      </c>
      <c r="S13" s="20">
        <f t="shared" si="0"/>
        <v>5.5555555555568699</v>
      </c>
      <c r="T13" s="21">
        <f t="shared" si="0"/>
        <v>4.5555555555570564</v>
      </c>
      <c r="U13" s="21">
        <f t="shared" si="1"/>
        <v>5</v>
      </c>
      <c r="V13" s="21">
        <f t="shared" si="1"/>
        <v>5.2777777777791979</v>
      </c>
      <c r="W13" s="22">
        <f t="shared" si="1"/>
        <v>4.2777777777779908</v>
      </c>
      <c r="X13" s="22">
        <f t="shared" si="1"/>
        <v>4.7222222222209007</v>
      </c>
      <c r="Y13" s="22">
        <f t="shared" si="1"/>
        <v>5</v>
      </c>
      <c r="Z13" s="23">
        <f t="shared" si="1"/>
        <v>3.9999999999990288</v>
      </c>
      <c r="AA13" s="23">
        <f t="shared" si="1"/>
        <v>4.4444444444439402</v>
      </c>
      <c r="AB13" s="23">
        <f t="shared" si="1"/>
        <v>4.7222222222209007</v>
      </c>
      <c r="AC13" s="24">
        <f t="shared" si="1"/>
        <v>3.7222222222225567</v>
      </c>
      <c r="AD13" s="24">
        <f t="shared" si="1"/>
        <v>4.1666666666665755</v>
      </c>
      <c r="AE13" s="24">
        <f t="shared" si="1"/>
        <v>4.4444444444439402</v>
      </c>
      <c r="AF13" s="25">
        <f t="shared" si="1"/>
        <v>3.4444444444439748</v>
      </c>
      <c r="AG13" s="25">
        <f t="shared" si="1"/>
        <v>3.8888888888897353</v>
      </c>
      <c r="AH13" s="25">
        <f t="shared" si="1"/>
        <v>4.1666666666665755</v>
      </c>
      <c r="AI13" s="26">
        <f t="shared" si="1"/>
        <v>3.1666666666669485</v>
      </c>
      <c r="AJ13" s="26">
        <f t="shared" si="1"/>
        <v>3.6111111111102856</v>
      </c>
      <c r="AK13" s="26">
        <f t="shared" si="2"/>
        <v>3.8888888888897353</v>
      </c>
    </row>
    <row r="14" spans="1:37" ht="20.100000000000001" customHeight="1">
      <c r="D14" s="27">
        <f t="shared" si="3"/>
        <v>3.0555555555555558E-2</v>
      </c>
      <c r="E14" s="16">
        <f t="shared" si="0"/>
        <v>8.4333333333316425</v>
      </c>
      <c r="F14" s="16">
        <f t="shared" si="0"/>
        <v>8.9222222222222154</v>
      </c>
      <c r="G14" s="16">
        <f t="shared" si="0"/>
        <v>9.2277777777749463</v>
      </c>
      <c r="H14" s="17">
        <f t="shared" si="0"/>
        <v>7.8222222222230036</v>
      </c>
      <c r="I14" s="17">
        <f t="shared" si="0"/>
        <v>8.3111111111105771</v>
      </c>
      <c r="J14" s="17">
        <f t="shared" si="0"/>
        <v>8.6166666666663012</v>
      </c>
      <c r="K14" s="18">
        <f t="shared" si="0"/>
        <v>7.2111111111097284</v>
      </c>
      <c r="L14" s="18">
        <f t="shared" si="0"/>
        <v>7.7000000000016469</v>
      </c>
      <c r="M14" s="18">
        <f t="shared" si="0"/>
        <v>8.0055555555542632</v>
      </c>
      <c r="N14" s="19">
        <f t="shared" si="0"/>
        <v>5.622222222221767</v>
      </c>
      <c r="O14" s="19">
        <f t="shared" si="0"/>
        <v>6.1111111111124252</v>
      </c>
      <c r="P14" s="19">
        <f t="shared" si="0"/>
        <v>6.4166666666657557</v>
      </c>
      <c r="Q14" s="20">
        <f t="shared" si="0"/>
        <v>5.3166666666677216</v>
      </c>
      <c r="R14" s="20">
        <f t="shared" si="0"/>
        <v>5.8055555555569756</v>
      </c>
      <c r="S14" s="20">
        <f t="shared" si="0"/>
        <v>6.1111111111124252</v>
      </c>
      <c r="T14" s="21">
        <f t="shared" si="0"/>
        <v>5.0111111111126121</v>
      </c>
      <c r="U14" s="21">
        <f t="shared" si="1"/>
        <v>5.5</v>
      </c>
      <c r="V14" s="21">
        <f t="shared" si="1"/>
        <v>5.8055555555569756</v>
      </c>
      <c r="W14" s="22">
        <f t="shared" si="1"/>
        <v>4.7055555555557689</v>
      </c>
      <c r="X14" s="22">
        <f t="shared" si="1"/>
        <v>5.194444444443123</v>
      </c>
      <c r="Y14" s="22">
        <f t="shared" si="1"/>
        <v>5.5</v>
      </c>
      <c r="Z14" s="23">
        <f t="shared" si="1"/>
        <v>4.3999999999990287</v>
      </c>
      <c r="AA14" s="23">
        <f t="shared" si="1"/>
        <v>4.8888888888883848</v>
      </c>
      <c r="AB14" s="23">
        <f t="shared" si="1"/>
        <v>5.194444444443123</v>
      </c>
      <c r="AC14" s="24">
        <f t="shared" si="1"/>
        <v>4.094444444444779</v>
      </c>
      <c r="AD14" s="24">
        <f t="shared" si="1"/>
        <v>4.5833333333332424</v>
      </c>
      <c r="AE14" s="24">
        <f t="shared" si="1"/>
        <v>4.8888888888883848</v>
      </c>
      <c r="AF14" s="25">
        <f t="shared" si="1"/>
        <v>3.7888888888884193</v>
      </c>
      <c r="AG14" s="25">
        <f t="shared" si="1"/>
        <v>4.2777777777786241</v>
      </c>
      <c r="AH14" s="25">
        <f t="shared" si="1"/>
        <v>4.5833333333332424</v>
      </c>
      <c r="AI14" s="26">
        <f t="shared" si="1"/>
        <v>3.4833333333336149</v>
      </c>
      <c r="AJ14" s="26">
        <f t="shared" si="1"/>
        <v>3.9722222222213968</v>
      </c>
      <c r="AK14" s="26">
        <f t="shared" si="2"/>
        <v>4.2777777777786241</v>
      </c>
    </row>
    <row r="15" spans="1:37" ht="20.100000000000001" customHeight="1">
      <c r="D15" s="27">
        <f t="shared" si="3"/>
        <v>3.3333333333333333E-2</v>
      </c>
      <c r="E15" s="16">
        <f t="shared" si="0"/>
        <v>9.19999999999831</v>
      </c>
      <c r="F15" s="16">
        <f t="shared" si="0"/>
        <v>9.7333333333333272</v>
      </c>
      <c r="G15" s="16">
        <f t="shared" si="0"/>
        <v>10.066666666663835</v>
      </c>
      <c r="H15" s="17">
        <f t="shared" si="0"/>
        <v>8.5333333333341148</v>
      </c>
      <c r="I15" s="17">
        <f t="shared" si="0"/>
        <v>9.0666666666661335</v>
      </c>
      <c r="J15" s="17">
        <f t="shared" si="0"/>
        <v>9.3999999999996344</v>
      </c>
      <c r="K15" s="18">
        <f t="shared" si="0"/>
        <v>7.8666666666652842</v>
      </c>
      <c r="L15" s="18">
        <f t="shared" si="0"/>
        <v>8.400000000001647</v>
      </c>
      <c r="M15" s="18">
        <f t="shared" si="0"/>
        <v>8.7333333333320411</v>
      </c>
      <c r="N15" s="19">
        <f t="shared" si="0"/>
        <v>6.1333333333328781</v>
      </c>
      <c r="O15" s="19">
        <f t="shared" si="0"/>
        <v>6.6666666666679806</v>
      </c>
      <c r="P15" s="19">
        <f t="shared" si="0"/>
        <v>6.9999999999990887</v>
      </c>
      <c r="Q15" s="20">
        <f t="shared" si="0"/>
        <v>5.800000000001055</v>
      </c>
      <c r="R15" s="20">
        <f t="shared" si="0"/>
        <v>6.3333333333347532</v>
      </c>
      <c r="S15" s="20">
        <f t="shared" si="0"/>
        <v>6.6666666666679806</v>
      </c>
      <c r="T15" s="21">
        <f t="shared" si="0"/>
        <v>5.4666666666681678</v>
      </c>
      <c r="U15" s="21">
        <f t="shared" si="1"/>
        <v>6</v>
      </c>
      <c r="V15" s="21">
        <f t="shared" si="1"/>
        <v>6.3333333333347532</v>
      </c>
      <c r="W15" s="22">
        <f t="shared" si="1"/>
        <v>5.1333333333335469</v>
      </c>
      <c r="X15" s="22">
        <f t="shared" si="1"/>
        <v>5.6666666666653454</v>
      </c>
      <c r="Y15" s="22">
        <f t="shared" si="1"/>
        <v>6</v>
      </c>
      <c r="Z15" s="23">
        <f t="shared" si="1"/>
        <v>4.799999999999029</v>
      </c>
      <c r="AA15" s="23">
        <f t="shared" si="1"/>
        <v>5.3333333333328294</v>
      </c>
      <c r="AB15" s="23">
        <f t="shared" si="1"/>
        <v>5.6666666666653454</v>
      </c>
      <c r="AC15" s="24">
        <f t="shared" si="1"/>
        <v>4.4666666666670007</v>
      </c>
      <c r="AD15" s="24">
        <f t="shared" si="1"/>
        <v>4.9999999999999094</v>
      </c>
      <c r="AE15" s="24">
        <f t="shared" si="1"/>
        <v>5.3333333333328294</v>
      </c>
      <c r="AF15" s="25">
        <f t="shared" si="1"/>
        <v>4.1333333333328639</v>
      </c>
      <c r="AG15" s="25">
        <f t="shared" si="1"/>
        <v>4.6666666666675134</v>
      </c>
      <c r="AH15" s="25">
        <f t="shared" si="1"/>
        <v>4.9999999999999094</v>
      </c>
      <c r="AI15" s="26">
        <f t="shared" si="1"/>
        <v>3.8000000000002814</v>
      </c>
      <c r="AJ15" s="26">
        <f t="shared" si="1"/>
        <v>4.3333333333325079</v>
      </c>
      <c r="AK15" s="26">
        <f t="shared" si="2"/>
        <v>4.6666666666675134</v>
      </c>
    </row>
    <row r="16" spans="1:37" ht="20.100000000000001" customHeight="1">
      <c r="D16" s="27">
        <f t="shared" si="3"/>
        <v>3.6111111111111108E-2</v>
      </c>
      <c r="E16" s="16">
        <f t="shared" si="0"/>
        <v>9.9666666666649775</v>
      </c>
      <c r="F16" s="16">
        <f t="shared" si="0"/>
        <v>10.544444444444439</v>
      </c>
      <c r="G16" s="16">
        <f t="shared" si="0"/>
        <v>10.905555555552723</v>
      </c>
      <c r="H16" s="17">
        <f t="shared" si="0"/>
        <v>9.2444444444452252</v>
      </c>
      <c r="I16" s="17">
        <f t="shared" si="0"/>
        <v>9.8222222222216899</v>
      </c>
      <c r="J16" s="17">
        <f t="shared" si="0"/>
        <v>10.183333333332968</v>
      </c>
      <c r="K16" s="18">
        <f t="shared" si="0"/>
        <v>8.5222222222208401</v>
      </c>
      <c r="L16" s="18">
        <f t="shared" si="0"/>
        <v>9.1000000000016463</v>
      </c>
      <c r="M16" s="18">
        <f t="shared" si="0"/>
        <v>9.4611111111098189</v>
      </c>
      <c r="N16" s="19">
        <f t="shared" si="0"/>
        <v>6.6444444444439892</v>
      </c>
      <c r="O16" s="19">
        <f t="shared" si="0"/>
        <v>7.2222222222235359</v>
      </c>
      <c r="P16" s="19">
        <f t="shared" si="0"/>
        <v>7.5833333333324218</v>
      </c>
      <c r="Q16" s="20">
        <f t="shared" si="0"/>
        <v>6.2833333333343884</v>
      </c>
      <c r="R16" s="20">
        <f t="shared" si="0"/>
        <v>6.8611111111125309</v>
      </c>
      <c r="S16" s="20">
        <f t="shared" si="0"/>
        <v>7.2222222222235359</v>
      </c>
      <c r="T16" s="21">
        <f t="shared" si="0"/>
        <v>5.9222222222237235</v>
      </c>
      <c r="U16" s="21">
        <f t="shared" si="1"/>
        <v>6.5</v>
      </c>
      <c r="V16" s="21">
        <f t="shared" si="1"/>
        <v>6.8611111111125309</v>
      </c>
      <c r="W16" s="22">
        <f t="shared" si="1"/>
        <v>5.5611111111113249</v>
      </c>
      <c r="X16" s="22">
        <f t="shared" si="1"/>
        <v>6.1388888888875677</v>
      </c>
      <c r="Y16" s="22">
        <f t="shared" si="1"/>
        <v>6.5</v>
      </c>
      <c r="Z16" s="23">
        <f t="shared" si="1"/>
        <v>5.1999999999990294</v>
      </c>
      <c r="AA16" s="23">
        <f t="shared" si="1"/>
        <v>5.7777777777772741</v>
      </c>
      <c r="AB16" s="23">
        <f t="shared" si="1"/>
        <v>6.1388888888875677</v>
      </c>
      <c r="AC16" s="24">
        <f t="shared" si="1"/>
        <v>4.8388888888892225</v>
      </c>
      <c r="AD16" s="24">
        <f t="shared" si="1"/>
        <v>5.4166666666665764</v>
      </c>
      <c r="AE16" s="24">
        <f t="shared" si="1"/>
        <v>5.7777777777772741</v>
      </c>
      <c r="AF16" s="25">
        <f t="shared" si="1"/>
        <v>4.477777777777308</v>
      </c>
      <c r="AG16" s="25">
        <f t="shared" si="1"/>
        <v>5.0555555555564027</v>
      </c>
      <c r="AH16" s="25">
        <f t="shared" si="1"/>
        <v>5.4166666666665764</v>
      </c>
      <c r="AI16" s="26">
        <f t="shared" si="1"/>
        <v>4.1166666666669478</v>
      </c>
      <c r="AJ16" s="26">
        <f t="shared" si="1"/>
        <v>4.6944444444436186</v>
      </c>
      <c r="AK16" s="26">
        <f t="shared" si="2"/>
        <v>5.0555555555564027</v>
      </c>
    </row>
    <row r="17" spans="4:37" ht="20.100000000000001" customHeight="1">
      <c r="D17" s="27">
        <f t="shared" si="3"/>
        <v>3.8888888888888883E-2</v>
      </c>
      <c r="E17" s="16">
        <f t="shared" si="0"/>
        <v>10.733333333331645</v>
      </c>
      <c r="F17" s="16">
        <f t="shared" si="0"/>
        <v>11.355555555555551</v>
      </c>
      <c r="G17" s="16">
        <f t="shared" si="0"/>
        <v>11.744444444441612</v>
      </c>
      <c r="H17" s="17">
        <f t="shared" si="0"/>
        <v>9.9555555555563355</v>
      </c>
      <c r="I17" s="17">
        <f t="shared" si="0"/>
        <v>10.577777777777246</v>
      </c>
      <c r="J17" s="17">
        <f t="shared" si="0"/>
        <v>10.966666666666301</v>
      </c>
      <c r="K17" s="18">
        <f t="shared" si="0"/>
        <v>9.1777777777763951</v>
      </c>
      <c r="L17" s="18">
        <f t="shared" si="0"/>
        <v>9.8000000000016456</v>
      </c>
      <c r="M17" s="18">
        <f t="shared" si="0"/>
        <v>10.188888888887597</v>
      </c>
      <c r="N17" s="19">
        <f t="shared" si="0"/>
        <v>7.1555555555551003</v>
      </c>
      <c r="O17" s="19">
        <f t="shared" si="0"/>
        <v>7.7777777777790913</v>
      </c>
      <c r="P17" s="19">
        <f t="shared" si="0"/>
        <v>8.1666666666657548</v>
      </c>
      <c r="Q17" s="20">
        <f t="shared" si="0"/>
        <v>6.7666666666677218</v>
      </c>
      <c r="R17" s="20">
        <f t="shared" si="0"/>
        <v>7.3888888888903086</v>
      </c>
      <c r="S17" s="20">
        <f t="shared" si="0"/>
        <v>7.7777777777790913</v>
      </c>
      <c r="T17" s="21">
        <f t="shared" si="0"/>
        <v>6.3777777777792792</v>
      </c>
      <c r="U17" s="21">
        <f t="shared" si="1"/>
        <v>7</v>
      </c>
      <c r="V17" s="21">
        <f t="shared" si="1"/>
        <v>7.3888888888903086</v>
      </c>
      <c r="W17" s="22">
        <f t="shared" si="1"/>
        <v>5.988888888889103</v>
      </c>
      <c r="X17" s="22">
        <f t="shared" si="1"/>
        <v>6.61111111110979</v>
      </c>
      <c r="Y17" s="22">
        <f t="shared" si="1"/>
        <v>7</v>
      </c>
      <c r="Z17" s="23">
        <f t="shared" si="1"/>
        <v>5.5999999999990298</v>
      </c>
      <c r="AA17" s="23">
        <f t="shared" si="1"/>
        <v>6.2222222222217187</v>
      </c>
      <c r="AB17" s="23">
        <f t="shared" si="1"/>
        <v>6.61111111110979</v>
      </c>
      <c r="AC17" s="24">
        <f t="shared" si="1"/>
        <v>5.2111111111114443</v>
      </c>
      <c r="AD17" s="24">
        <f t="shared" si="1"/>
        <v>5.8333333333332433</v>
      </c>
      <c r="AE17" s="24">
        <f t="shared" si="1"/>
        <v>6.2222222222217187</v>
      </c>
      <c r="AF17" s="25">
        <f t="shared" si="1"/>
        <v>4.8222222222217521</v>
      </c>
      <c r="AG17" s="25">
        <f t="shared" si="1"/>
        <v>5.444444444445292</v>
      </c>
      <c r="AH17" s="25">
        <f t="shared" si="1"/>
        <v>5.8333333333332433</v>
      </c>
      <c r="AI17" s="26">
        <f t="shared" si="1"/>
        <v>4.4333333333336142</v>
      </c>
      <c r="AJ17" s="26">
        <f t="shared" si="1"/>
        <v>5.0555555555547294</v>
      </c>
      <c r="AK17" s="26">
        <f t="shared" si="2"/>
        <v>5.444444444445292</v>
      </c>
    </row>
    <row r="18" spans="4:37" ht="20.100000000000001" customHeight="1">
      <c r="D18" s="27">
        <f t="shared" si="3"/>
        <v>4.1666666666666657E-2</v>
      </c>
      <c r="E18" s="16">
        <f t="shared" si="0"/>
        <v>11.499999999998312</v>
      </c>
      <c r="F18" s="16">
        <f t="shared" si="0"/>
        <v>12.166666666666663</v>
      </c>
      <c r="G18" s="16">
        <f t="shared" si="0"/>
        <v>12.583333333330501</v>
      </c>
      <c r="H18" s="17">
        <f t="shared" si="0"/>
        <v>10.666666666667446</v>
      </c>
      <c r="I18" s="17">
        <f t="shared" si="0"/>
        <v>11.333333333332803</v>
      </c>
      <c r="J18" s="17">
        <f t="shared" si="0"/>
        <v>11.749999999999634</v>
      </c>
      <c r="K18" s="18">
        <f t="shared" si="0"/>
        <v>9.8333333333319501</v>
      </c>
      <c r="L18" s="18">
        <f t="shared" si="0"/>
        <v>10.500000000001645</v>
      </c>
      <c r="M18" s="18">
        <f t="shared" si="0"/>
        <v>10.916666666665375</v>
      </c>
      <c r="N18" s="19">
        <f t="shared" si="0"/>
        <v>7.6666666666662113</v>
      </c>
      <c r="O18" s="19">
        <f t="shared" si="0"/>
        <v>8.3333333333346467</v>
      </c>
      <c r="P18" s="19">
        <f t="shared" si="0"/>
        <v>8.7499999999990887</v>
      </c>
      <c r="Q18" s="20">
        <f t="shared" si="0"/>
        <v>7.2500000000010552</v>
      </c>
      <c r="R18" s="20">
        <f t="shared" si="0"/>
        <v>7.9166666666680863</v>
      </c>
      <c r="S18" s="20">
        <f t="shared" si="0"/>
        <v>8.3333333333346467</v>
      </c>
      <c r="T18" s="21">
        <f t="shared" ref="T18:AI34" si="4">T19-(T$363/360)</f>
        <v>6.8333333333348349</v>
      </c>
      <c r="U18" s="21">
        <f t="shared" si="1"/>
        <v>7.5</v>
      </c>
      <c r="V18" s="21">
        <f t="shared" si="1"/>
        <v>7.9166666666680863</v>
      </c>
      <c r="W18" s="22">
        <f t="shared" si="1"/>
        <v>6.416666666666881</v>
      </c>
      <c r="X18" s="22">
        <f t="shared" si="1"/>
        <v>7.0833333333320123</v>
      </c>
      <c r="Y18" s="22">
        <f t="shared" si="1"/>
        <v>7.5</v>
      </c>
      <c r="Z18" s="23">
        <f t="shared" si="1"/>
        <v>5.9999999999990301</v>
      </c>
      <c r="AA18" s="23">
        <f t="shared" si="1"/>
        <v>6.6666666666661634</v>
      </c>
      <c r="AB18" s="23">
        <f t="shared" si="1"/>
        <v>7.0833333333320123</v>
      </c>
      <c r="AC18" s="24">
        <f t="shared" si="1"/>
        <v>5.5833333333336661</v>
      </c>
      <c r="AD18" s="24">
        <f t="shared" si="1"/>
        <v>6.2499999999999103</v>
      </c>
      <c r="AE18" s="24">
        <f t="shared" si="1"/>
        <v>6.6666666666661634</v>
      </c>
      <c r="AF18" s="25">
        <f t="shared" si="1"/>
        <v>5.1666666666661962</v>
      </c>
      <c r="AG18" s="25">
        <f t="shared" si="1"/>
        <v>5.8333333333341812</v>
      </c>
      <c r="AH18" s="25">
        <f t="shared" si="1"/>
        <v>6.2499999999999103</v>
      </c>
      <c r="AI18" s="26">
        <f t="shared" si="1"/>
        <v>4.7500000000002807</v>
      </c>
      <c r="AJ18" s="26">
        <f t="shared" ref="AJ18:AK33" si="5">AJ19-(AJ$363/360)</f>
        <v>5.4166666666658401</v>
      </c>
      <c r="AK18" s="26">
        <f t="shared" si="5"/>
        <v>5.8333333333341812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12.26666666666498</v>
      </c>
      <c r="F19" s="16">
        <f t="shared" si="6"/>
        <v>12.977777777777774</v>
      </c>
      <c r="G19" s="16">
        <f t="shared" si="6"/>
        <v>13.422222222219389</v>
      </c>
      <c r="H19" s="17">
        <f t="shared" si="6"/>
        <v>11.377777777778556</v>
      </c>
      <c r="I19" s="17">
        <f t="shared" si="6"/>
        <v>12.088888888888359</v>
      </c>
      <c r="J19" s="17">
        <f t="shared" si="6"/>
        <v>12.533333333332967</v>
      </c>
      <c r="K19" s="18">
        <f t="shared" si="6"/>
        <v>10.488888888887505</v>
      </c>
      <c r="L19" s="18">
        <f t="shared" si="6"/>
        <v>11.200000000001644</v>
      </c>
      <c r="M19" s="18">
        <f t="shared" si="6"/>
        <v>11.644444444443153</v>
      </c>
      <c r="N19" s="19">
        <f t="shared" si="6"/>
        <v>8.1777777777773224</v>
      </c>
      <c r="O19" s="19">
        <f t="shared" si="6"/>
        <v>8.888888888890202</v>
      </c>
      <c r="P19" s="19">
        <f t="shared" si="6"/>
        <v>9.3333333333324227</v>
      </c>
      <c r="Q19" s="20">
        <f t="shared" si="6"/>
        <v>7.7333333333343885</v>
      </c>
      <c r="R19" s="20">
        <f t="shared" si="6"/>
        <v>8.444444444445864</v>
      </c>
      <c r="S19" s="20">
        <f t="shared" si="6"/>
        <v>8.888888888890202</v>
      </c>
      <c r="T19" s="21">
        <f t="shared" si="4"/>
        <v>7.2888888888903907</v>
      </c>
      <c r="U19" s="21">
        <f t="shared" si="4"/>
        <v>8</v>
      </c>
      <c r="V19" s="21">
        <f t="shared" si="4"/>
        <v>8.444444444445864</v>
      </c>
      <c r="W19" s="22">
        <f t="shared" si="4"/>
        <v>6.844444444444659</v>
      </c>
      <c r="X19" s="22">
        <f t="shared" si="4"/>
        <v>7.5555555555542346</v>
      </c>
      <c r="Y19" s="22">
        <f t="shared" si="4"/>
        <v>8</v>
      </c>
      <c r="Z19" s="23">
        <f t="shared" si="4"/>
        <v>6.3999999999990305</v>
      </c>
      <c r="AA19" s="23">
        <f t="shared" si="4"/>
        <v>7.111111111110608</v>
      </c>
      <c r="AB19" s="23">
        <f t="shared" si="4"/>
        <v>7.5555555555542346</v>
      </c>
      <c r="AC19" s="24">
        <f t="shared" si="4"/>
        <v>5.9555555555558879</v>
      </c>
      <c r="AD19" s="24">
        <f t="shared" si="4"/>
        <v>6.6666666666665773</v>
      </c>
      <c r="AE19" s="24">
        <f t="shared" si="4"/>
        <v>7.111111111110608</v>
      </c>
      <c r="AF19" s="25">
        <f t="shared" si="4"/>
        <v>5.5111111111106403</v>
      </c>
      <c r="AG19" s="25">
        <f t="shared" si="4"/>
        <v>6.2222222222230705</v>
      </c>
      <c r="AH19" s="25">
        <f t="shared" si="4"/>
        <v>6.6666666666665773</v>
      </c>
      <c r="AI19" s="26">
        <f t="shared" si="4"/>
        <v>5.0666666666669471</v>
      </c>
      <c r="AJ19" s="26">
        <f t="shared" si="5"/>
        <v>5.7777777777769508</v>
      </c>
      <c r="AK19" s="26">
        <f t="shared" si="5"/>
        <v>6.2222222222230705</v>
      </c>
    </row>
    <row r="20" spans="4:37" ht="20.100000000000001" customHeight="1">
      <c r="D20" s="27">
        <f t="shared" si="3"/>
        <v>4.7222222222222207E-2</v>
      </c>
      <c r="E20" s="16">
        <f t="shared" si="6"/>
        <v>13.033333333331647</v>
      </c>
      <c r="F20" s="16">
        <f t="shared" si="6"/>
        <v>13.788888888888886</v>
      </c>
      <c r="G20" s="16">
        <f t="shared" si="6"/>
        <v>14.261111111108278</v>
      </c>
      <c r="H20" s="17">
        <f t="shared" si="6"/>
        <v>12.088888888889667</v>
      </c>
      <c r="I20" s="17">
        <f t="shared" si="6"/>
        <v>12.844444444443916</v>
      </c>
      <c r="J20" s="17">
        <f t="shared" si="6"/>
        <v>13.316666666666301</v>
      </c>
      <c r="K20" s="18">
        <f t="shared" si="6"/>
        <v>11.14444444444306</v>
      </c>
      <c r="L20" s="18">
        <f t="shared" si="6"/>
        <v>11.900000000001643</v>
      </c>
      <c r="M20" s="18">
        <f t="shared" si="6"/>
        <v>12.37222222222093</v>
      </c>
      <c r="N20" s="19">
        <f t="shared" si="6"/>
        <v>8.6888888888884335</v>
      </c>
      <c r="O20" s="19">
        <f t="shared" si="6"/>
        <v>9.4444444444457574</v>
      </c>
      <c r="P20" s="19">
        <f t="shared" si="6"/>
        <v>9.9166666666657566</v>
      </c>
      <c r="Q20" s="20">
        <f t="shared" si="6"/>
        <v>8.2166666666677219</v>
      </c>
      <c r="R20" s="20">
        <f t="shared" si="6"/>
        <v>8.9722222222236425</v>
      </c>
      <c r="S20" s="20">
        <f t="shared" si="6"/>
        <v>9.4444444444457574</v>
      </c>
      <c r="T20" s="21">
        <f t="shared" si="4"/>
        <v>7.7444444444459464</v>
      </c>
      <c r="U20" s="21">
        <f t="shared" si="4"/>
        <v>8.5</v>
      </c>
      <c r="V20" s="21">
        <f t="shared" si="4"/>
        <v>8.9722222222236425</v>
      </c>
      <c r="W20" s="22">
        <f t="shared" si="4"/>
        <v>7.2722222222224371</v>
      </c>
      <c r="X20" s="22">
        <f t="shared" si="4"/>
        <v>8.027777777776457</v>
      </c>
      <c r="Y20" s="22">
        <f t="shared" si="4"/>
        <v>8.5</v>
      </c>
      <c r="Z20" s="23">
        <f t="shared" si="4"/>
        <v>6.7999999999990308</v>
      </c>
      <c r="AA20" s="23">
        <f t="shared" si="4"/>
        <v>7.5555555555550526</v>
      </c>
      <c r="AB20" s="23">
        <f t="shared" si="4"/>
        <v>8.027777777776457</v>
      </c>
      <c r="AC20" s="24">
        <f t="shared" si="4"/>
        <v>6.3277777777781097</v>
      </c>
      <c r="AD20" s="24">
        <f t="shared" si="4"/>
        <v>7.0833333333332442</v>
      </c>
      <c r="AE20" s="24">
        <f t="shared" si="4"/>
        <v>7.5555555555550526</v>
      </c>
      <c r="AF20" s="25">
        <f t="shared" si="4"/>
        <v>5.8555555555550844</v>
      </c>
      <c r="AG20" s="25">
        <f t="shared" si="4"/>
        <v>6.6111111111119598</v>
      </c>
      <c r="AH20" s="25">
        <f t="shared" si="4"/>
        <v>7.0833333333332442</v>
      </c>
      <c r="AI20" s="26">
        <f t="shared" si="4"/>
        <v>5.3833333333336135</v>
      </c>
      <c r="AJ20" s="26">
        <f t="shared" si="5"/>
        <v>6.1388888888880615</v>
      </c>
      <c r="AK20" s="26">
        <f t="shared" si="5"/>
        <v>6.6111111111119598</v>
      </c>
    </row>
    <row r="21" spans="4:37" ht="20.100000000000001" customHeight="1">
      <c r="D21" s="27">
        <f t="shared" si="3"/>
        <v>4.9999999999999982E-2</v>
      </c>
      <c r="E21" s="16">
        <f t="shared" si="6"/>
        <v>13.799999999998315</v>
      </c>
      <c r="F21" s="16">
        <f t="shared" si="6"/>
        <v>14.599999999999998</v>
      </c>
      <c r="G21" s="16">
        <f t="shared" si="6"/>
        <v>15.099999999997166</v>
      </c>
      <c r="H21" s="17">
        <f t="shared" si="6"/>
        <v>12.800000000000777</v>
      </c>
      <c r="I21" s="17">
        <f t="shared" si="6"/>
        <v>13.599999999999472</v>
      </c>
      <c r="J21" s="17">
        <f t="shared" si="6"/>
        <v>14.099999999999634</v>
      </c>
      <c r="K21" s="18">
        <f t="shared" si="6"/>
        <v>11.799999999998615</v>
      </c>
      <c r="L21" s="18">
        <f t="shared" si="6"/>
        <v>12.600000000001643</v>
      </c>
      <c r="M21" s="18">
        <f t="shared" si="6"/>
        <v>13.099999999998708</v>
      </c>
      <c r="N21" s="19">
        <f t="shared" si="6"/>
        <v>9.1999999999995445</v>
      </c>
      <c r="O21" s="19">
        <f t="shared" si="6"/>
        <v>10.000000000001313</v>
      </c>
      <c r="P21" s="19">
        <f t="shared" si="6"/>
        <v>10.499999999999091</v>
      </c>
      <c r="Q21" s="20">
        <f t="shared" si="6"/>
        <v>8.7000000000010544</v>
      </c>
      <c r="R21" s="20">
        <f t="shared" si="6"/>
        <v>9.5000000000014211</v>
      </c>
      <c r="S21" s="20">
        <f t="shared" si="6"/>
        <v>10.000000000001313</v>
      </c>
      <c r="T21" s="21">
        <f t="shared" si="4"/>
        <v>8.2000000000015021</v>
      </c>
      <c r="U21" s="21">
        <f t="shared" si="4"/>
        <v>9</v>
      </c>
      <c r="V21" s="21">
        <f t="shared" si="4"/>
        <v>9.5000000000014211</v>
      </c>
      <c r="W21" s="22">
        <f t="shared" si="4"/>
        <v>7.7000000000002151</v>
      </c>
      <c r="X21" s="22">
        <f t="shared" si="4"/>
        <v>8.4999999999986784</v>
      </c>
      <c r="Y21" s="22">
        <f t="shared" si="4"/>
        <v>9</v>
      </c>
      <c r="Z21" s="23">
        <f t="shared" si="4"/>
        <v>7.1999999999990312</v>
      </c>
      <c r="AA21" s="23">
        <f t="shared" si="4"/>
        <v>7.9999999999994973</v>
      </c>
      <c r="AB21" s="23">
        <f t="shared" si="4"/>
        <v>8.4999999999986784</v>
      </c>
      <c r="AC21" s="24">
        <f t="shared" si="4"/>
        <v>6.7000000000003315</v>
      </c>
      <c r="AD21" s="24">
        <f t="shared" si="4"/>
        <v>7.4999999999999112</v>
      </c>
      <c r="AE21" s="24">
        <f t="shared" si="4"/>
        <v>7.9999999999994973</v>
      </c>
      <c r="AF21" s="25">
        <f t="shared" si="4"/>
        <v>6.1999999999995286</v>
      </c>
      <c r="AG21" s="25">
        <f t="shared" si="4"/>
        <v>7.0000000000008491</v>
      </c>
      <c r="AH21" s="25">
        <f t="shared" si="4"/>
        <v>7.4999999999999112</v>
      </c>
      <c r="AI21" s="26">
        <f t="shared" si="4"/>
        <v>5.70000000000028</v>
      </c>
      <c r="AJ21" s="26">
        <f t="shared" si="5"/>
        <v>6.4999999999991722</v>
      </c>
      <c r="AK21" s="26">
        <f t="shared" si="5"/>
        <v>7.0000000000008491</v>
      </c>
    </row>
    <row r="22" spans="4:37" ht="20.100000000000001" customHeight="1">
      <c r="D22" s="27">
        <f t="shared" si="3"/>
        <v>5.2777777777777757E-2</v>
      </c>
      <c r="E22" s="16">
        <f t="shared" si="6"/>
        <v>14.566666666664982</v>
      </c>
      <c r="F22" s="16">
        <f t="shared" si="6"/>
        <v>15.41111111111111</v>
      </c>
      <c r="G22" s="16">
        <f t="shared" si="6"/>
        <v>15.938888888886055</v>
      </c>
      <c r="H22" s="17">
        <f t="shared" si="6"/>
        <v>13.511111111111887</v>
      </c>
      <c r="I22" s="17">
        <f t="shared" si="6"/>
        <v>14.355555555555028</v>
      </c>
      <c r="J22" s="17">
        <f t="shared" si="6"/>
        <v>14.883333333332967</v>
      </c>
      <c r="K22" s="18">
        <f t="shared" si="6"/>
        <v>12.45555555555417</v>
      </c>
      <c r="L22" s="18">
        <f t="shared" si="6"/>
        <v>13.300000000001642</v>
      </c>
      <c r="M22" s="18">
        <f t="shared" si="6"/>
        <v>13.827777777776486</v>
      </c>
      <c r="N22" s="19">
        <f t="shared" si="6"/>
        <v>9.7111111111106556</v>
      </c>
      <c r="O22" s="19">
        <f t="shared" si="6"/>
        <v>10.555555555556868</v>
      </c>
      <c r="P22" s="19">
        <f t="shared" si="6"/>
        <v>11.083333333332424</v>
      </c>
      <c r="Q22" s="20">
        <f t="shared" si="6"/>
        <v>9.1833333333343869</v>
      </c>
      <c r="R22" s="20">
        <f t="shared" si="6"/>
        <v>10.0277777777792</v>
      </c>
      <c r="S22" s="20">
        <f t="shared" si="6"/>
        <v>10.555555555556868</v>
      </c>
      <c r="T22" s="21">
        <f t="shared" si="4"/>
        <v>8.6555555555570578</v>
      </c>
      <c r="U22" s="21">
        <f t="shared" si="4"/>
        <v>9.5</v>
      </c>
      <c r="V22" s="21">
        <f t="shared" si="4"/>
        <v>10.0277777777792</v>
      </c>
      <c r="W22" s="22">
        <f t="shared" si="4"/>
        <v>8.1277777777779932</v>
      </c>
      <c r="X22" s="22">
        <f t="shared" si="4"/>
        <v>8.9722222222208998</v>
      </c>
      <c r="Y22" s="22">
        <f t="shared" si="4"/>
        <v>9.5</v>
      </c>
      <c r="Z22" s="23">
        <f t="shared" si="4"/>
        <v>7.5999999999990315</v>
      </c>
      <c r="AA22" s="23">
        <f t="shared" si="4"/>
        <v>8.4444444444439419</v>
      </c>
      <c r="AB22" s="23">
        <f t="shared" si="4"/>
        <v>8.9722222222208998</v>
      </c>
      <c r="AC22" s="24">
        <f t="shared" si="4"/>
        <v>7.0722222222225533</v>
      </c>
      <c r="AD22" s="24">
        <f t="shared" si="4"/>
        <v>7.9166666666665781</v>
      </c>
      <c r="AE22" s="24">
        <f t="shared" si="4"/>
        <v>8.4444444444439419</v>
      </c>
      <c r="AF22" s="25">
        <f t="shared" si="4"/>
        <v>6.5444444444439727</v>
      </c>
      <c r="AG22" s="25">
        <f t="shared" si="4"/>
        <v>7.3888888888897384</v>
      </c>
      <c r="AH22" s="25">
        <f t="shared" si="4"/>
        <v>7.9166666666665781</v>
      </c>
      <c r="AI22" s="26">
        <f t="shared" si="4"/>
        <v>6.0166666666669464</v>
      </c>
      <c r="AJ22" s="26">
        <f t="shared" si="5"/>
        <v>6.8611111111102829</v>
      </c>
      <c r="AK22" s="26">
        <f t="shared" si="5"/>
        <v>7.3888888888897384</v>
      </c>
    </row>
    <row r="23" spans="4:37" ht="20.100000000000001" customHeight="1">
      <c r="D23" s="27">
        <f t="shared" si="3"/>
        <v>5.5555555555555532E-2</v>
      </c>
      <c r="E23" s="16">
        <f t="shared" si="6"/>
        <v>15.33333333333165</v>
      </c>
      <c r="F23" s="16">
        <f t="shared" si="6"/>
        <v>16.222222222222221</v>
      </c>
      <c r="G23" s="16">
        <f t="shared" si="6"/>
        <v>16.777777777774944</v>
      </c>
      <c r="H23" s="17">
        <f t="shared" si="6"/>
        <v>14.222222222222998</v>
      </c>
      <c r="I23" s="17">
        <f t="shared" si="6"/>
        <v>15.111111111110585</v>
      </c>
      <c r="J23" s="17">
        <f t="shared" si="6"/>
        <v>15.6666666666663</v>
      </c>
      <c r="K23" s="18">
        <f t="shared" si="6"/>
        <v>13.111111111109725</v>
      </c>
      <c r="L23" s="18">
        <f t="shared" si="6"/>
        <v>14.000000000001641</v>
      </c>
      <c r="M23" s="18">
        <f t="shared" si="6"/>
        <v>14.555555555554264</v>
      </c>
      <c r="N23" s="19">
        <f t="shared" si="6"/>
        <v>10.222222222221767</v>
      </c>
      <c r="O23" s="19">
        <f t="shared" si="6"/>
        <v>11.111111111112423</v>
      </c>
      <c r="P23" s="19">
        <f t="shared" si="6"/>
        <v>11.666666666665758</v>
      </c>
      <c r="Q23" s="20">
        <f t="shared" si="6"/>
        <v>9.6666666666677195</v>
      </c>
      <c r="R23" s="20">
        <f t="shared" si="6"/>
        <v>10.555555555556978</v>
      </c>
      <c r="S23" s="20">
        <f t="shared" si="6"/>
        <v>11.111111111112423</v>
      </c>
      <c r="T23" s="21">
        <f t="shared" si="4"/>
        <v>9.1111111111126135</v>
      </c>
      <c r="U23" s="21">
        <f t="shared" si="4"/>
        <v>10</v>
      </c>
      <c r="V23" s="21">
        <f t="shared" si="4"/>
        <v>10.555555555556978</v>
      </c>
      <c r="W23" s="22">
        <f t="shared" si="4"/>
        <v>8.5555555555557703</v>
      </c>
      <c r="X23" s="22">
        <f t="shared" si="4"/>
        <v>9.4444444444431213</v>
      </c>
      <c r="Y23" s="22">
        <f t="shared" si="4"/>
        <v>10</v>
      </c>
      <c r="Z23" s="23">
        <f t="shared" si="4"/>
        <v>7.9999999999990319</v>
      </c>
      <c r="AA23" s="23">
        <f t="shared" si="4"/>
        <v>8.8888888888883866</v>
      </c>
      <c r="AB23" s="23">
        <f t="shared" si="4"/>
        <v>9.4444444444431213</v>
      </c>
      <c r="AC23" s="24">
        <f t="shared" si="4"/>
        <v>7.444444444444775</v>
      </c>
      <c r="AD23" s="24">
        <f t="shared" si="4"/>
        <v>8.3333333333332451</v>
      </c>
      <c r="AE23" s="24">
        <f t="shared" si="4"/>
        <v>8.8888888888883866</v>
      </c>
      <c r="AF23" s="25">
        <f t="shared" si="4"/>
        <v>6.8888888888884168</v>
      </c>
      <c r="AG23" s="25">
        <f t="shared" si="4"/>
        <v>7.7777777777786277</v>
      </c>
      <c r="AH23" s="25">
        <f t="shared" si="4"/>
        <v>8.3333333333332451</v>
      </c>
      <c r="AI23" s="26">
        <f t="shared" si="4"/>
        <v>6.3333333333336128</v>
      </c>
      <c r="AJ23" s="26">
        <f t="shared" si="5"/>
        <v>7.2222222222213937</v>
      </c>
      <c r="AK23" s="26">
        <f t="shared" si="5"/>
        <v>7.7777777777786277</v>
      </c>
    </row>
    <row r="24" spans="4:37" ht="20.100000000000001" customHeight="1">
      <c r="D24" s="27">
        <f t="shared" si="3"/>
        <v>5.8333333333333307E-2</v>
      </c>
      <c r="E24" s="16">
        <f t="shared" si="6"/>
        <v>16.099999999998317</v>
      </c>
      <c r="F24" s="16">
        <f t="shared" si="6"/>
        <v>17.033333333333331</v>
      </c>
      <c r="G24" s="16">
        <f t="shared" si="6"/>
        <v>17.616666666663832</v>
      </c>
      <c r="H24" s="17">
        <f t="shared" si="6"/>
        <v>14.933333333334108</v>
      </c>
      <c r="I24" s="17">
        <f t="shared" si="6"/>
        <v>15.866666666666141</v>
      </c>
      <c r="J24" s="17">
        <f t="shared" si="6"/>
        <v>16.449999999999633</v>
      </c>
      <c r="K24" s="18">
        <f t="shared" si="6"/>
        <v>13.76666666666528</v>
      </c>
      <c r="L24" s="18">
        <f t="shared" si="6"/>
        <v>14.700000000001641</v>
      </c>
      <c r="M24" s="18">
        <f t="shared" si="6"/>
        <v>15.283333333332042</v>
      </c>
      <c r="N24" s="19">
        <f t="shared" si="6"/>
        <v>10.733333333332878</v>
      </c>
      <c r="O24" s="19">
        <f t="shared" si="6"/>
        <v>11.666666666667979</v>
      </c>
      <c r="P24" s="19">
        <f t="shared" si="6"/>
        <v>12.249999999999092</v>
      </c>
      <c r="Q24" s="20">
        <f t="shared" si="6"/>
        <v>10.150000000001052</v>
      </c>
      <c r="R24" s="20">
        <f t="shared" si="6"/>
        <v>11.083333333334757</v>
      </c>
      <c r="S24" s="20">
        <f t="shared" si="6"/>
        <v>11.666666666667979</v>
      </c>
      <c r="T24" s="21">
        <f t="shared" si="4"/>
        <v>9.5666666666681692</v>
      </c>
      <c r="U24" s="21">
        <f t="shared" si="4"/>
        <v>10.5</v>
      </c>
      <c r="V24" s="21">
        <f t="shared" si="4"/>
        <v>11.083333333334757</v>
      </c>
      <c r="W24" s="22">
        <f t="shared" si="4"/>
        <v>8.9833333333335474</v>
      </c>
      <c r="X24" s="22">
        <f t="shared" si="4"/>
        <v>9.9166666666653427</v>
      </c>
      <c r="Y24" s="22">
        <f t="shared" si="4"/>
        <v>10.5</v>
      </c>
      <c r="Z24" s="23">
        <f t="shared" si="4"/>
        <v>8.3999999999990322</v>
      </c>
      <c r="AA24" s="23">
        <f t="shared" si="4"/>
        <v>9.3333333333328312</v>
      </c>
      <c r="AB24" s="23">
        <f t="shared" si="4"/>
        <v>9.9166666666653427</v>
      </c>
      <c r="AC24" s="24">
        <f t="shared" si="4"/>
        <v>7.8166666666669968</v>
      </c>
      <c r="AD24" s="24">
        <f t="shared" si="4"/>
        <v>8.7499999999999112</v>
      </c>
      <c r="AE24" s="24">
        <f t="shared" si="4"/>
        <v>9.3333333333328312</v>
      </c>
      <c r="AF24" s="25">
        <f t="shared" si="4"/>
        <v>7.2333333333328609</v>
      </c>
      <c r="AG24" s="25">
        <f t="shared" si="4"/>
        <v>8.1666666666675169</v>
      </c>
      <c r="AH24" s="25">
        <f t="shared" si="4"/>
        <v>8.7499999999999112</v>
      </c>
      <c r="AI24" s="26">
        <f t="shared" si="4"/>
        <v>6.6500000000002792</v>
      </c>
      <c r="AJ24" s="26">
        <f t="shared" si="5"/>
        <v>7.5833333333325044</v>
      </c>
      <c r="AK24" s="26">
        <f t="shared" si="5"/>
        <v>8.1666666666675169</v>
      </c>
    </row>
    <row r="25" spans="4:37" ht="20.100000000000001" customHeight="1">
      <c r="D25" s="27">
        <f t="shared" si="3"/>
        <v>6.1111111111111081E-2</v>
      </c>
      <c r="E25" s="16">
        <f t="shared" si="6"/>
        <v>16.866666666664983</v>
      </c>
      <c r="F25" s="16">
        <f t="shared" si="6"/>
        <v>17.844444444444441</v>
      </c>
      <c r="G25" s="16">
        <f t="shared" si="6"/>
        <v>18.455555555552721</v>
      </c>
      <c r="H25" s="17">
        <f t="shared" si="6"/>
        <v>15.644444444445218</v>
      </c>
      <c r="I25" s="17">
        <f t="shared" si="6"/>
        <v>16.622222222221698</v>
      </c>
      <c r="J25" s="17">
        <f t="shared" si="6"/>
        <v>17.233333333332968</v>
      </c>
      <c r="K25" s="18">
        <f t="shared" si="6"/>
        <v>14.422222222220835</v>
      </c>
      <c r="L25" s="18">
        <f t="shared" si="6"/>
        <v>15.40000000000164</v>
      </c>
      <c r="M25" s="18">
        <f t="shared" si="6"/>
        <v>16.01111111110982</v>
      </c>
      <c r="N25" s="19">
        <f t="shared" si="6"/>
        <v>11.244444444443989</v>
      </c>
      <c r="O25" s="19">
        <f t="shared" si="6"/>
        <v>12.222222222223534</v>
      </c>
      <c r="P25" s="19">
        <f t="shared" si="6"/>
        <v>12.833333333332426</v>
      </c>
      <c r="Q25" s="20">
        <f t="shared" si="6"/>
        <v>10.633333333334384</v>
      </c>
      <c r="R25" s="20">
        <f t="shared" si="6"/>
        <v>11.611111111112535</v>
      </c>
      <c r="S25" s="20">
        <f t="shared" si="6"/>
        <v>12.222222222223534</v>
      </c>
      <c r="T25" s="21">
        <f t="shared" si="4"/>
        <v>10.022222222223725</v>
      </c>
      <c r="U25" s="21">
        <f t="shared" si="4"/>
        <v>11</v>
      </c>
      <c r="V25" s="21">
        <f t="shared" si="4"/>
        <v>11.611111111112535</v>
      </c>
      <c r="W25" s="22">
        <f t="shared" si="4"/>
        <v>9.4111111111113246</v>
      </c>
      <c r="X25" s="22">
        <f t="shared" si="4"/>
        <v>10.388888888887564</v>
      </c>
      <c r="Y25" s="22">
        <f t="shared" si="4"/>
        <v>11</v>
      </c>
      <c r="Z25" s="23">
        <f t="shared" si="4"/>
        <v>8.7999999999990326</v>
      </c>
      <c r="AA25" s="23">
        <f t="shared" si="4"/>
        <v>9.7777777777772759</v>
      </c>
      <c r="AB25" s="23">
        <f t="shared" si="4"/>
        <v>10.388888888887564</v>
      </c>
      <c r="AC25" s="24">
        <f t="shared" si="4"/>
        <v>8.1888888888892186</v>
      </c>
      <c r="AD25" s="24">
        <f t="shared" si="4"/>
        <v>9.1666666666665773</v>
      </c>
      <c r="AE25" s="24">
        <f t="shared" si="4"/>
        <v>9.7777777777772759</v>
      </c>
      <c r="AF25" s="25">
        <f t="shared" si="4"/>
        <v>7.577777777777305</v>
      </c>
      <c r="AG25" s="25">
        <f t="shared" si="4"/>
        <v>8.5555555555564062</v>
      </c>
      <c r="AH25" s="25">
        <f t="shared" si="4"/>
        <v>9.1666666666665773</v>
      </c>
      <c r="AI25" s="26">
        <f t="shared" si="4"/>
        <v>6.9666666666669457</v>
      </c>
      <c r="AJ25" s="26">
        <f t="shared" si="5"/>
        <v>7.9444444444436151</v>
      </c>
      <c r="AK25" s="26">
        <f t="shared" si="5"/>
        <v>8.5555555555564062</v>
      </c>
    </row>
    <row r="26" spans="4:37" ht="20.100000000000001" customHeight="1">
      <c r="D26" s="27">
        <f t="shared" si="3"/>
        <v>6.3888888888888856E-2</v>
      </c>
      <c r="E26" s="16">
        <f t="shared" si="6"/>
        <v>17.633333333331649</v>
      </c>
      <c r="F26" s="16">
        <f t="shared" si="6"/>
        <v>18.655555555555551</v>
      </c>
      <c r="G26" s="16">
        <f t="shared" si="6"/>
        <v>19.294444444441609</v>
      </c>
      <c r="H26" s="17">
        <f t="shared" si="6"/>
        <v>16.355555555556329</v>
      </c>
      <c r="I26" s="17">
        <f t="shared" si="6"/>
        <v>17.377777777777254</v>
      </c>
      <c r="J26" s="17">
        <f t="shared" si="6"/>
        <v>18.016666666666303</v>
      </c>
      <c r="K26" s="18">
        <f t="shared" si="6"/>
        <v>15.07777777777639</v>
      </c>
      <c r="L26" s="18">
        <f t="shared" si="6"/>
        <v>16.100000000001639</v>
      </c>
      <c r="M26" s="18">
        <f t="shared" si="6"/>
        <v>16.738888888887598</v>
      </c>
      <c r="N26" s="19">
        <f t="shared" si="6"/>
        <v>11.7555555555551</v>
      </c>
      <c r="O26" s="19">
        <f t="shared" si="6"/>
        <v>12.77777777777909</v>
      </c>
      <c r="P26" s="19">
        <f t="shared" si="6"/>
        <v>13.41666666666576</v>
      </c>
      <c r="Q26" s="20">
        <f t="shared" si="6"/>
        <v>11.116666666667717</v>
      </c>
      <c r="R26" s="20">
        <f t="shared" si="6"/>
        <v>12.138888888890314</v>
      </c>
      <c r="S26" s="20">
        <f t="shared" si="6"/>
        <v>12.77777777777909</v>
      </c>
      <c r="T26" s="21">
        <f t="shared" si="4"/>
        <v>10.477777777779281</v>
      </c>
      <c r="U26" s="21">
        <f t="shared" si="4"/>
        <v>11.5</v>
      </c>
      <c r="V26" s="21">
        <f t="shared" si="4"/>
        <v>12.138888888890314</v>
      </c>
      <c r="W26" s="22">
        <f t="shared" si="4"/>
        <v>9.8388888888891017</v>
      </c>
      <c r="X26" s="22">
        <f t="shared" si="4"/>
        <v>10.861111111109786</v>
      </c>
      <c r="Y26" s="22">
        <f t="shared" si="4"/>
        <v>11.5</v>
      </c>
      <c r="Z26" s="23">
        <f t="shared" si="4"/>
        <v>9.199999999999033</v>
      </c>
      <c r="AA26" s="23">
        <f t="shared" si="4"/>
        <v>10.222222222221721</v>
      </c>
      <c r="AB26" s="23">
        <f t="shared" si="4"/>
        <v>10.861111111109786</v>
      </c>
      <c r="AC26" s="24">
        <f t="shared" si="4"/>
        <v>8.5611111111114404</v>
      </c>
      <c r="AD26" s="24">
        <f t="shared" si="4"/>
        <v>9.5833333333332433</v>
      </c>
      <c r="AE26" s="24">
        <f t="shared" si="4"/>
        <v>10.222222222221721</v>
      </c>
      <c r="AF26" s="25">
        <f t="shared" si="4"/>
        <v>7.9222222222217491</v>
      </c>
      <c r="AG26" s="25">
        <f t="shared" si="4"/>
        <v>8.9444444444452955</v>
      </c>
      <c r="AH26" s="25">
        <f t="shared" si="4"/>
        <v>9.5833333333332433</v>
      </c>
      <c r="AI26" s="26">
        <f t="shared" si="4"/>
        <v>7.2833333333336121</v>
      </c>
      <c r="AJ26" s="26">
        <f t="shared" si="5"/>
        <v>8.3055555555547258</v>
      </c>
      <c r="AK26" s="26">
        <f t="shared" si="5"/>
        <v>8.9444444444452955</v>
      </c>
    </row>
    <row r="27" spans="4:37" ht="20.100000000000001" customHeight="1">
      <c r="D27" s="27">
        <f t="shared" si="3"/>
        <v>6.6666666666666638E-2</v>
      </c>
      <c r="E27" s="16">
        <f t="shared" si="6"/>
        <v>18.399999999998315</v>
      </c>
      <c r="F27" s="16">
        <f t="shared" si="6"/>
        <v>19.466666666666661</v>
      </c>
      <c r="G27" s="16">
        <f t="shared" si="6"/>
        <v>20.133333333330498</v>
      </c>
      <c r="H27" s="17">
        <f t="shared" si="6"/>
        <v>17.066666666667441</v>
      </c>
      <c r="I27" s="17">
        <f t="shared" si="6"/>
        <v>18.133333333332811</v>
      </c>
      <c r="J27" s="17">
        <f t="shared" si="6"/>
        <v>18.799999999999638</v>
      </c>
      <c r="K27" s="18">
        <f t="shared" si="6"/>
        <v>15.733333333331945</v>
      </c>
      <c r="L27" s="18">
        <f t="shared" si="6"/>
        <v>16.800000000001639</v>
      </c>
      <c r="M27" s="18">
        <f t="shared" si="6"/>
        <v>17.466666666665375</v>
      </c>
      <c r="N27" s="19">
        <f t="shared" si="6"/>
        <v>12.266666666666211</v>
      </c>
      <c r="O27" s="19">
        <f t="shared" si="6"/>
        <v>13.333333333334645</v>
      </c>
      <c r="P27" s="19">
        <f t="shared" si="6"/>
        <v>13.999999999999094</v>
      </c>
      <c r="Q27" s="20">
        <f t="shared" si="6"/>
        <v>11.600000000001049</v>
      </c>
      <c r="R27" s="20">
        <f t="shared" si="6"/>
        <v>12.666666666668092</v>
      </c>
      <c r="S27" s="20">
        <f t="shared" si="6"/>
        <v>13.333333333334645</v>
      </c>
      <c r="T27" s="21">
        <f t="shared" si="4"/>
        <v>10.933333333334836</v>
      </c>
      <c r="U27" s="21">
        <f t="shared" si="4"/>
        <v>12</v>
      </c>
      <c r="V27" s="21">
        <f t="shared" si="4"/>
        <v>12.666666666668092</v>
      </c>
      <c r="W27" s="22">
        <f t="shared" si="4"/>
        <v>10.266666666666879</v>
      </c>
      <c r="X27" s="22">
        <f t="shared" si="4"/>
        <v>11.333333333332007</v>
      </c>
      <c r="Y27" s="22">
        <f t="shared" si="4"/>
        <v>12</v>
      </c>
      <c r="Z27" s="23">
        <f t="shared" si="4"/>
        <v>9.5999999999990333</v>
      </c>
      <c r="AA27" s="23">
        <f t="shared" si="4"/>
        <v>10.666666666666165</v>
      </c>
      <c r="AB27" s="23">
        <f t="shared" si="4"/>
        <v>11.333333333332007</v>
      </c>
      <c r="AC27" s="24">
        <f t="shared" si="4"/>
        <v>8.9333333333336622</v>
      </c>
      <c r="AD27" s="24">
        <f t="shared" si="4"/>
        <v>9.9999999999999094</v>
      </c>
      <c r="AE27" s="24">
        <f t="shared" si="4"/>
        <v>10.666666666666165</v>
      </c>
      <c r="AF27" s="25">
        <f t="shared" si="4"/>
        <v>8.2666666666661932</v>
      </c>
      <c r="AG27" s="25">
        <f t="shared" si="4"/>
        <v>9.3333333333341848</v>
      </c>
      <c r="AH27" s="25">
        <f t="shared" si="4"/>
        <v>9.9999999999999094</v>
      </c>
      <c r="AI27" s="26">
        <f t="shared" si="4"/>
        <v>7.6000000000002785</v>
      </c>
      <c r="AJ27" s="26">
        <f t="shared" si="5"/>
        <v>8.6666666666658365</v>
      </c>
      <c r="AK27" s="26">
        <f t="shared" si="5"/>
        <v>9.3333333333341848</v>
      </c>
    </row>
    <row r="28" spans="4:37" ht="20.100000000000001" customHeight="1">
      <c r="D28" s="27">
        <f t="shared" si="3"/>
        <v>6.944444444444442E-2</v>
      </c>
      <c r="E28" s="16">
        <f t="shared" si="6"/>
        <v>19.16666666666498</v>
      </c>
      <c r="F28" s="16">
        <f t="shared" si="6"/>
        <v>20.277777777777771</v>
      </c>
      <c r="G28" s="16">
        <f t="shared" si="6"/>
        <v>20.972222222219386</v>
      </c>
      <c r="H28" s="17">
        <f t="shared" si="6"/>
        <v>17.777777777778553</v>
      </c>
      <c r="I28" s="17">
        <f t="shared" si="6"/>
        <v>18.888888888888367</v>
      </c>
      <c r="J28" s="17">
        <f t="shared" si="6"/>
        <v>19.583333333332973</v>
      </c>
      <c r="K28" s="18">
        <f t="shared" si="6"/>
        <v>16.3888888888875</v>
      </c>
      <c r="L28" s="18">
        <f t="shared" si="6"/>
        <v>17.500000000001638</v>
      </c>
      <c r="M28" s="18">
        <f t="shared" si="6"/>
        <v>18.194444444443153</v>
      </c>
      <c r="N28" s="19">
        <f t="shared" si="6"/>
        <v>12.777777777777322</v>
      </c>
      <c r="O28" s="19">
        <f t="shared" si="6"/>
        <v>13.8888888888902</v>
      </c>
      <c r="P28" s="19">
        <f t="shared" si="6"/>
        <v>14.583333333332428</v>
      </c>
      <c r="Q28" s="20">
        <f t="shared" si="6"/>
        <v>12.083333333334382</v>
      </c>
      <c r="R28" s="20">
        <f t="shared" si="6"/>
        <v>13.194444444445871</v>
      </c>
      <c r="S28" s="20">
        <f t="shared" si="6"/>
        <v>13.8888888888902</v>
      </c>
      <c r="T28" s="21">
        <f t="shared" si="4"/>
        <v>11.388888888890392</v>
      </c>
      <c r="U28" s="21">
        <f t="shared" si="4"/>
        <v>12.5</v>
      </c>
      <c r="V28" s="21">
        <f t="shared" si="4"/>
        <v>13.194444444445871</v>
      </c>
      <c r="W28" s="22">
        <f t="shared" si="4"/>
        <v>10.694444444444656</v>
      </c>
      <c r="X28" s="22">
        <f t="shared" si="4"/>
        <v>11.805555555554228</v>
      </c>
      <c r="Y28" s="22">
        <f t="shared" si="4"/>
        <v>12.5</v>
      </c>
      <c r="Z28" s="23">
        <f t="shared" si="4"/>
        <v>9.9999999999990337</v>
      </c>
      <c r="AA28" s="23">
        <f t="shared" si="4"/>
        <v>11.11111111111061</v>
      </c>
      <c r="AB28" s="23">
        <f t="shared" si="4"/>
        <v>11.805555555554228</v>
      </c>
      <c r="AC28" s="24">
        <f t="shared" si="4"/>
        <v>9.305555555555884</v>
      </c>
      <c r="AD28" s="24">
        <f t="shared" si="4"/>
        <v>10.416666666666575</v>
      </c>
      <c r="AE28" s="24">
        <f t="shared" si="4"/>
        <v>11.11111111111061</v>
      </c>
      <c r="AF28" s="25">
        <f t="shared" si="4"/>
        <v>8.6111111111106382</v>
      </c>
      <c r="AG28" s="25">
        <f t="shared" si="4"/>
        <v>9.7222222222230741</v>
      </c>
      <c r="AH28" s="25">
        <f t="shared" si="4"/>
        <v>10.416666666666575</v>
      </c>
      <c r="AI28" s="26">
        <f t="shared" si="4"/>
        <v>7.916666666666945</v>
      </c>
      <c r="AJ28" s="26">
        <f t="shared" si="5"/>
        <v>9.0277777777769472</v>
      </c>
      <c r="AK28" s="26">
        <f t="shared" si="5"/>
        <v>9.7222222222230741</v>
      </c>
    </row>
    <row r="29" spans="4:37" ht="20.100000000000001" customHeight="1">
      <c r="D29" s="27">
        <f t="shared" si="3"/>
        <v>7.2222222222222202E-2</v>
      </c>
      <c r="E29" s="16">
        <f t="shared" si="6"/>
        <v>19.933333333331646</v>
      </c>
      <c r="F29" s="16">
        <f t="shared" si="6"/>
        <v>21.088888888888881</v>
      </c>
      <c r="G29" s="16">
        <f t="shared" si="6"/>
        <v>21.811111111108275</v>
      </c>
      <c r="H29" s="17">
        <f t="shared" si="6"/>
        <v>18.488888888889665</v>
      </c>
      <c r="I29" s="17">
        <f t="shared" si="6"/>
        <v>19.644444444443923</v>
      </c>
      <c r="J29" s="17">
        <f t="shared" si="6"/>
        <v>20.366666666666308</v>
      </c>
      <c r="K29" s="18">
        <f t="shared" si="6"/>
        <v>17.044444444443055</v>
      </c>
      <c r="L29" s="18">
        <f t="shared" si="6"/>
        <v>18.200000000001637</v>
      </c>
      <c r="M29" s="18">
        <f t="shared" si="6"/>
        <v>18.922222222220931</v>
      </c>
      <c r="N29" s="19">
        <f t="shared" si="6"/>
        <v>13.288888888888433</v>
      </c>
      <c r="O29" s="19">
        <f t="shared" si="6"/>
        <v>14.444444444445756</v>
      </c>
      <c r="P29" s="19">
        <f t="shared" si="6"/>
        <v>15.166666666665762</v>
      </c>
      <c r="Q29" s="20">
        <f t="shared" si="6"/>
        <v>12.566666666667714</v>
      </c>
      <c r="R29" s="20">
        <f t="shared" si="6"/>
        <v>13.72222222222365</v>
      </c>
      <c r="S29" s="20">
        <f t="shared" si="6"/>
        <v>14.444444444445756</v>
      </c>
      <c r="T29" s="21">
        <f t="shared" si="4"/>
        <v>11.844444444445948</v>
      </c>
      <c r="U29" s="21">
        <f t="shared" si="4"/>
        <v>13</v>
      </c>
      <c r="V29" s="21">
        <f t="shared" si="4"/>
        <v>13.72222222222365</v>
      </c>
      <c r="W29" s="22">
        <f t="shared" si="4"/>
        <v>11.122222222222433</v>
      </c>
      <c r="X29" s="22">
        <f t="shared" si="4"/>
        <v>12.27777777777645</v>
      </c>
      <c r="Y29" s="22">
        <f t="shared" si="4"/>
        <v>13</v>
      </c>
      <c r="Z29" s="23">
        <f t="shared" si="4"/>
        <v>10.399999999999034</v>
      </c>
      <c r="AA29" s="23">
        <f t="shared" si="4"/>
        <v>11.555555555555054</v>
      </c>
      <c r="AB29" s="23">
        <f t="shared" si="4"/>
        <v>12.27777777777645</v>
      </c>
      <c r="AC29" s="24">
        <f t="shared" si="4"/>
        <v>9.6777777777781058</v>
      </c>
      <c r="AD29" s="24">
        <f t="shared" si="4"/>
        <v>10.833333333333242</v>
      </c>
      <c r="AE29" s="24">
        <f t="shared" si="4"/>
        <v>11.555555555555054</v>
      </c>
      <c r="AF29" s="25">
        <f t="shared" si="4"/>
        <v>8.9555555555550832</v>
      </c>
      <c r="AG29" s="25">
        <f t="shared" si="4"/>
        <v>10.111111111111963</v>
      </c>
      <c r="AH29" s="25">
        <f t="shared" si="4"/>
        <v>10.833333333333242</v>
      </c>
      <c r="AI29" s="26">
        <f t="shared" si="4"/>
        <v>8.2333333333336114</v>
      </c>
      <c r="AJ29" s="26">
        <f t="shared" si="5"/>
        <v>9.3888888888880579</v>
      </c>
      <c r="AK29" s="26">
        <f t="shared" si="5"/>
        <v>10.111111111111963</v>
      </c>
    </row>
    <row r="30" spans="4:37" ht="20.100000000000001" customHeight="1">
      <c r="D30" s="27">
        <f t="shared" si="3"/>
        <v>7.4999999999999983E-2</v>
      </c>
      <c r="E30" s="16">
        <f t="shared" si="6"/>
        <v>20.699999999998312</v>
      </c>
      <c r="F30" s="16">
        <f t="shared" si="6"/>
        <v>21.899999999999991</v>
      </c>
      <c r="G30" s="16">
        <f t="shared" si="6"/>
        <v>22.649999999997164</v>
      </c>
      <c r="H30" s="17">
        <f t="shared" si="6"/>
        <v>19.200000000000777</v>
      </c>
      <c r="I30" s="17">
        <f t="shared" si="6"/>
        <v>20.39999999999948</v>
      </c>
      <c r="J30" s="17">
        <f t="shared" si="6"/>
        <v>21.149999999999643</v>
      </c>
      <c r="K30" s="18">
        <f t="shared" si="6"/>
        <v>17.69999999999861</v>
      </c>
      <c r="L30" s="18">
        <f t="shared" si="6"/>
        <v>18.900000000001636</v>
      </c>
      <c r="M30" s="18">
        <f t="shared" si="6"/>
        <v>19.649999999998709</v>
      </c>
      <c r="N30" s="19">
        <f t="shared" si="6"/>
        <v>13.799999999999544</v>
      </c>
      <c r="O30" s="19">
        <f t="shared" si="6"/>
        <v>15.000000000001311</v>
      </c>
      <c r="P30" s="19">
        <f t="shared" si="6"/>
        <v>15.749999999999096</v>
      </c>
      <c r="Q30" s="20">
        <f t="shared" si="6"/>
        <v>13.050000000001047</v>
      </c>
      <c r="R30" s="20">
        <f t="shared" si="6"/>
        <v>14.250000000001428</v>
      </c>
      <c r="S30" s="20">
        <f t="shared" si="6"/>
        <v>15.000000000001311</v>
      </c>
      <c r="T30" s="21">
        <f t="shared" si="4"/>
        <v>12.300000000001504</v>
      </c>
      <c r="U30" s="21">
        <f t="shared" si="4"/>
        <v>13.5</v>
      </c>
      <c r="V30" s="21">
        <f t="shared" si="4"/>
        <v>14.250000000001428</v>
      </c>
      <c r="W30" s="22">
        <f t="shared" si="4"/>
        <v>11.55000000000021</v>
      </c>
      <c r="X30" s="22">
        <f t="shared" si="4"/>
        <v>12.749999999998671</v>
      </c>
      <c r="Y30" s="22">
        <f t="shared" si="4"/>
        <v>13.5</v>
      </c>
      <c r="Z30" s="23">
        <f t="shared" si="4"/>
        <v>10.799999999999034</v>
      </c>
      <c r="AA30" s="23">
        <f t="shared" si="4"/>
        <v>11.999999999999499</v>
      </c>
      <c r="AB30" s="23">
        <f t="shared" si="4"/>
        <v>12.749999999998671</v>
      </c>
      <c r="AC30" s="24">
        <f t="shared" si="4"/>
        <v>10.050000000000328</v>
      </c>
      <c r="AD30" s="24">
        <f t="shared" si="4"/>
        <v>11.249999999999908</v>
      </c>
      <c r="AE30" s="24">
        <f t="shared" si="4"/>
        <v>11.999999999999499</v>
      </c>
      <c r="AF30" s="25">
        <f t="shared" si="4"/>
        <v>9.2999999999995282</v>
      </c>
      <c r="AG30" s="25">
        <f t="shared" si="4"/>
        <v>10.500000000000853</v>
      </c>
      <c r="AH30" s="25">
        <f t="shared" si="4"/>
        <v>11.249999999999908</v>
      </c>
      <c r="AI30" s="26">
        <f t="shared" si="4"/>
        <v>8.5500000000002778</v>
      </c>
      <c r="AJ30" s="26">
        <f t="shared" si="5"/>
        <v>9.7499999999991687</v>
      </c>
      <c r="AK30" s="26">
        <f t="shared" si="5"/>
        <v>10.500000000000853</v>
      </c>
    </row>
    <row r="31" spans="4:37" ht="20.100000000000001" customHeight="1">
      <c r="D31" s="27">
        <f t="shared" si="3"/>
        <v>7.7777777777777765E-2</v>
      </c>
      <c r="E31" s="16">
        <f t="shared" si="6"/>
        <v>21.466666666664977</v>
      </c>
      <c r="F31" s="16">
        <f t="shared" si="6"/>
        <v>22.711111111111101</v>
      </c>
      <c r="G31" s="16">
        <f t="shared" si="6"/>
        <v>23.488888888886052</v>
      </c>
      <c r="H31" s="17">
        <f t="shared" si="6"/>
        <v>19.911111111111889</v>
      </c>
      <c r="I31" s="17">
        <f t="shared" si="6"/>
        <v>21.155555555555036</v>
      </c>
      <c r="J31" s="17">
        <f t="shared" si="6"/>
        <v>21.933333333332978</v>
      </c>
      <c r="K31" s="18">
        <f t="shared" si="6"/>
        <v>18.355555555554165</v>
      </c>
      <c r="L31" s="18">
        <f t="shared" si="6"/>
        <v>19.600000000001636</v>
      </c>
      <c r="M31" s="18">
        <f t="shared" si="6"/>
        <v>20.377777777776487</v>
      </c>
      <c r="N31" s="19">
        <f t="shared" si="6"/>
        <v>14.311111111110655</v>
      </c>
      <c r="O31" s="19">
        <f t="shared" si="6"/>
        <v>15.555555555556866</v>
      </c>
      <c r="P31" s="19">
        <f t="shared" si="6"/>
        <v>16.33333333333243</v>
      </c>
      <c r="Q31" s="20">
        <f t="shared" si="6"/>
        <v>13.533333333334379</v>
      </c>
      <c r="R31" s="20">
        <f t="shared" si="6"/>
        <v>14.777777777779207</v>
      </c>
      <c r="S31" s="20">
        <f t="shared" si="6"/>
        <v>15.555555555556866</v>
      </c>
      <c r="T31" s="21">
        <f t="shared" si="4"/>
        <v>12.755555555557059</v>
      </c>
      <c r="U31" s="21">
        <f t="shared" si="4"/>
        <v>14</v>
      </c>
      <c r="V31" s="21">
        <f t="shared" si="4"/>
        <v>14.777777777779207</v>
      </c>
      <c r="W31" s="22">
        <f t="shared" si="4"/>
        <v>11.977777777777987</v>
      </c>
      <c r="X31" s="22">
        <f t="shared" si="4"/>
        <v>13.222222222220893</v>
      </c>
      <c r="Y31" s="22">
        <f t="shared" si="4"/>
        <v>14</v>
      </c>
      <c r="Z31" s="23">
        <f t="shared" si="4"/>
        <v>11.199999999999035</v>
      </c>
      <c r="AA31" s="23">
        <f t="shared" si="4"/>
        <v>12.444444444443944</v>
      </c>
      <c r="AB31" s="23">
        <f t="shared" si="4"/>
        <v>13.222222222220893</v>
      </c>
      <c r="AC31" s="24">
        <f t="shared" si="4"/>
        <v>10.422222222222549</v>
      </c>
      <c r="AD31" s="24">
        <f t="shared" si="4"/>
        <v>11.666666666666574</v>
      </c>
      <c r="AE31" s="24">
        <f t="shared" si="4"/>
        <v>12.444444444443944</v>
      </c>
      <c r="AF31" s="25">
        <f t="shared" si="4"/>
        <v>9.6444444444439732</v>
      </c>
      <c r="AG31" s="25">
        <f t="shared" si="4"/>
        <v>10.888888888889742</v>
      </c>
      <c r="AH31" s="25">
        <f t="shared" si="4"/>
        <v>11.666666666666574</v>
      </c>
      <c r="AI31" s="26">
        <f t="shared" si="4"/>
        <v>8.8666666666669443</v>
      </c>
      <c r="AJ31" s="26">
        <f t="shared" si="5"/>
        <v>10.111111111110279</v>
      </c>
      <c r="AK31" s="26">
        <f t="shared" si="5"/>
        <v>10.888888888889742</v>
      </c>
    </row>
    <row r="32" spans="4:37" ht="20.100000000000001" customHeight="1">
      <c r="D32" s="27">
        <f t="shared" si="3"/>
        <v>8.0555555555555547E-2</v>
      </c>
      <c r="E32" s="16">
        <f t="shared" si="6"/>
        <v>22.233333333331643</v>
      </c>
      <c r="F32" s="16">
        <f t="shared" si="6"/>
        <v>23.522222222222211</v>
      </c>
      <c r="G32" s="16">
        <f t="shared" si="6"/>
        <v>24.327777777774941</v>
      </c>
      <c r="H32" s="17">
        <f t="shared" si="6"/>
        <v>20.622222222223002</v>
      </c>
      <c r="I32" s="17">
        <f t="shared" si="6"/>
        <v>21.911111111110593</v>
      </c>
      <c r="J32" s="17">
        <f t="shared" si="6"/>
        <v>22.716666666666313</v>
      </c>
      <c r="K32" s="18">
        <f t="shared" si="6"/>
        <v>19.01111111110972</v>
      </c>
      <c r="L32" s="18">
        <f t="shared" si="6"/>
        <v>20.300000000001635</v>
      </c>
      <c r="M32" s="18">
        <f t="shared" si="6"/>
        <v>21.105555555554265</v>
      </c>
      <c r="N32" s="19">
        <f t="shared" si="6"/>
        <v>14.822222222221766</v>
      </c>
      <c r="O32" s="19">
        <f t="shared" si="6"/>
        <v>16.111111111112422</v>
      </c>
      <c r="P32" s="19">
        <f t="shared" si="6"/>
        <v>16.916666666665762</v>
      </c>
      <c r="Q32" s="20">
        <f t="shared" si="6"/>
        <v>14.016666666667712</v>
      </c>
      <c r="R32" s="20">
        <f t="shared" si="6"/>
        <v>15.305555555556985</v>
      </c>
      <c r="S32" s="20">
        <f t="shared" si="6"/>
        <v>16.111111111112422</v>
      </c>
      <c r="T32" s="21">
        <f t="shared" si="4"/>
        <v>13.211111111112615</v>
      </c>
      <c r="U32" s="21">
        <f t="shared" si="4"/>
        <v>14.5</v>
      </c>
      <c r="V32" s="21">
        <f t="shared" si="4"/>
        <v>15.305555555556985</v>
      </c>
      <c r="W32" s="22">
        <f t="shared" si="4"/>
        <v>12.405555555555765</v>
      </c>
      <c r="X32" s="22">
        <f t="shared" si="4"/>
        <v>13.694444444443114</v>
      </c>
      <c r="Y32" s="22">
        <f t="shared" si="4"/>
        <v>14.5</v>
      </c>
      <c r="Z32" s="23">
        <f t="shared" si="4"/>
        <v>11.599999999999035</v>
      </c>
      <c r="AA32" s="23">
        <f t="shared" si="4"/>
        <v>12.888888888888388</v>
      </c>
      <c r="AB32" s="23">
        <f t="shared" si="4"/>
        <v>13.694444444443114</v>
      </c>
      <c r="AC32" s="24">
        <f t="shared" si="4"/>
        <v>10.794444444444771</v>
      </c>
      <c r="AD32" s="24">
        <f t="shared" si="4"/>
        <v>12.08333333333324</v>
      </c>
      <c r="AE32" s="24">
        <f t="shared" si="4"/>
        <v>12.888888888888388</v>
      </c>
      <c r="AF32" s="25">
        <f t="shared" si="4"/>
        <v>9.9888888888884182</v>
      </c>
      <c r="AG32" s="25">
        <f t="shared" si="4"/>
        <v>11.277777777778631</v>
      </c>
      <c r="AH32" s="25">
        <f t="shared" si="4"/>
        <v>12.08333333333324</v>
      </c>
      <c r="AI32" s="26">
        <f t="shared" si="4"/>
        <v>9.1833333333336107</v>
      </c>
      <c r="AJ32" s="26">
        <f t="shared" si="5"/>
        <v>10.47222222222139</v>
      </c>
      <c r="AK32" s="26">
        <f t="shared" si="5"/>
        <v>11.277777777778631</v>
      </c>
    </row>
    <row r="33" spans="4:37" ht="20.100000000000001" customHeight="1">
      <c r="D33" s="27">
        <f t="shared" si="3"/>
        <v>8.3333333333333329E-2</v>
      </c>
      <c r="E33" s="16">
        <f t="shared" si="6"/>
        <v>22.999999999998309</v>
      </c>
      <c r="F33" s="16">
        <f t="shared" si="6"/>
        <v>24.333333333333321</v>
      </c>
      <c r="G33" s="16">
        <f t="shared" si="6"/>
        <v>25.166666666663829</v>
      </c>
      <c r="H33" s="17">
        <f t="shared" si="6"/>
        <v>21.333333333334114</v>
      </c>
      <c r="I33" s="17">
        <f t="shared" si="6"/>
        <v>22.666666666666149</v>
      </c>
      <c r="J33" s="17">
        <f t="shared" si="6"/>
        <v>23.499999999999648</v>
      </c>
      <c r="K33" s="18">
        <f t="shared" si="6"/>
        <v>19.666666666665275</v>
      </c>
      <c r="L33" s="18">
        <f t="shared" si="6"/>
        <v>21.000000000001634</v>
      </c>
      <c r="M33" s="18">
        <f t="shared" si="6"/>
        <v>21.833333333332043</v>
      </c>
      <c r="N33" s="19">
        <f t="shared" si="6"/>
        <v>15.333333333332877</v>
      </c>
      <c r="O33" s="19">
        <f t="shared" si="6"/>
        <v>16.666666666667979</v>
      </c>
      <c r="P33" s="19">
        <f t="shared" si="6"/>
        <v>17.499999999999094</v>
      </c>
      <c r="Q33" s="20">
        <f t="shared" si="6"/>
        <v>14.500000000001044</v>
      </c>
      <c r="R33" s="20">
        <f t="shared" si="6"/>
        <v>15.833333333334764</v>
      </c>
      <c r="S33" s="20">
        <f t="shared" si="6"/>
        <v>16.666666666667979</v>
      </c>
      <c r="T33" s="21">
        <f t="shared" si="4"/>
        <v>13.666666666668171</v>
      </c>
      <c r="U33" s="21">
        <f t="shared" si="4"/>
        <v>15</v>
      </c>
      <c r="V33" s="21">
        <f t="shared" si="4"/>
        <v>15.833333333334764</v>
      </c>
      <c r="W33" s="22">
        <f t="shared" si="4"/>
        <v>12.833333333333542</v>
      </c>
      <c r="X33" s="22">
        <f t="shared" si="4"/>
        <v>14.166666666665336</v>
      </c>
      <c r="Y33" s="22">
        <f t="shared" si="4"/>
        <v>15</v>
      </c>
      <c r="Z33" s="23">
        <f t="shared" si="4"/>
        <v>11.999999999999035</v>
      </c>
      <c r="AA33" s="23">
        <f t="shared" si="4"/>
        <v>13.333333333332833</v>
      </c>
      <c r="AB33" s="23">
        <f t="shared" si="4"/>
        <v>14.166666666665336</v>
      </c>
      <c r="AC33" s="24">
        <f t="shared" si="4"/>
        <v>11.166666666666993</v>
      </c>
      <c r="AD33" s="24">
        <f t="shared" si="4"/>
        <v>12.499999999999906</v>
      </c>
      <c r="AE33" s="24">
        <f t="shared" si="4"/>
        <v>13.333333333332833</v>
      </c>
      <c r="AF33" s="25">
        <f t="shared" si="4"/>
        <v>10.333333333332863</v>
      </c>
      <c r="AG33" s="25">
        <f t="shared" si="4"/>
        <v>11.666666666667521</v>
      </c>
      <c r="AH33" s="25">
        <f t="shared" si="4"/>
        <v>12.499999999999906</v>
      </c>
      <c r="AI33" s="26">
        <f t="shared" si="4"/>
        <v>9.5000000000002771</v>
      </c>
      <c r="AJ33" s="26">
        <f t="shared" si="5"/>
        <v>10.833333333332501</v>
      </c>
      <c r="AK33" s="26">
        <f t="shared" si="5"/>
        <v>11.666666666667521</v>
      </c>
    </row>
    <row r="34" spans="4:37" ht="20.100000000000001" customHeight="1">
      <c r="D34" s="27">
        <f t="shared" si="3"/>
        <v>8.611111111111111E-2</v>
      </c>
      <c r="E34" s="16">
        <f t="shared" si="6"/>
        <v>23.766666666664975</v>
      </c>
      <c r="F34" s="16">
        <f t="shared" si="6"/>
        <v>25.144444444444431</v>
      </c>
      <c r="G34" s="16">
        <f t="shared" si="6"/>
        <v>26.005555555552718</v>
      </c>
      <c r="H34" s="17">
        <f t="shared" si="6"/>
        <v>22.044444444445226</v>
      </c>
      <c r="I34" s="17">
        <f t="shared" si="6"/>
        <v>23.422222222221706</v>
      </c>
      <c r="J34" s="17">
        <f t="shared" si="6"/>
        <v>24.283333333332983</v>
      </c>
      <c r="K34" s="18">
        <f t="shared" si="6"/>
        <v>20.32222222222083</v>
      </c>
      <c r="L34" s="18">
        <f t="shared" si="6"/>
        <v>21.700000000001634</v>
      </c>
      <c r="M34" s="18">
        <f t="shared" si="6"/>
        <v>22.56111111110982</v>
      </c>
      <c r="N34" s="19">
        <f t="shared" si="6"/>
        <v>15.844444444443988</v>
      </c>
      <c r="O34" s="19">
        <f t="shared" si="6"/>
        <v>17.222222222223536</v>
      </c>
      <c r="P34" s="19">
        <f t="shared" si="6"/>
        <v>18.083333333332426</v>
      </c>
      <c r="Q34" s="20">
        <f t="shared" si="6"/>
        <v>14.983333333334377</v>
      </c>
      <c r="R34" s="20">
        <f t="shared" si="6"/>
        <v>16.361111111112542</v>
      </c>
      <c r="S34" s="20">
        <f t="shared" si="6"/>
        <v>17.222222222223536</v>
      </c>
      <c r="T34" s="21">
        <f t="shared" si="4"/>
        <v>14.122222222223726</v>
      </c>
      <c r="U34" s="21">
        <f t="shared" si="4"/>
        <v>15.5</v>
      </c>
      <c r="V34" s="21">
        <f t="shared" si="4"/>
        <v>16.361111111112542</v>
      </c>
      <c r="W34" s="22">
        <f t="shared" si="4"/>
        <v>13.261111111111319</v>
      </c>
      <c r="X34" s="22">
        <f t="shared" si="4"/>
        <v>14.638888888887557</v>
      </c>
      <c r="Y34" s="22">
        <f t="shared" si="4"/>
        <v>15.5</v>
      </c>
      <c r="Z34" s="23">
        <f t="shared" si="4"/>
        <v>12.399999999999036</v>
      </c>
      <c r="AA34" s="23">
        <f t="shared" si="4"/>
        <v>13.777777777777278</v>
      </c>
      <c r="AB34" s="23">
        <f t="shared" si="4"/>
        <v>14.638888888887557</v>
      </c>
      <c r="AC34" s="24">
        <f t="shared" si="4"/>
        <v>11.538888888889215</v>
      </c>
      <c r="AD34" s="24">
        <f t="shared" si="4"/>
        <v>12.916666666666572</v>
      </c>
      <c r="AE34" s="24">
        <f t="shared" si="4"/>
        <v>13.777777777777278</v>
      </c>
      <c r="AF34" s="25">
        <f t="shared" si="4"/>
        <v>10.677777777777308</v>
      </c>
      <c r="AG34" s="25">
        <f t="shared" si="4"/>
        <v>12.05555555555641</v>
      </c>
      <c r="AH34" s="25">
        <f t="shared" ref="AE34:AK70" si="7">AH35-(AH$363/360)</f>
        <v>12.916666666666572</v>
      </c>
      <c r="AI34" s="26">
        <f t="shared" si="7"/>
        <v>9.8166666666669435</v>
      </c>
      <c r="AJ34" s="26">
        <f t="shared" si="7"/>
        <v>11.194444444443612</v>
      </c>
      <c r="AK34" s="26">
        <f t="shared" si="7"/>
        <v>12.05555555555641</v>
      </c>
    </row>
    <row r="35" spans="4:37" ht="20.100000000000001" customHeight="1">
      <c r="D35" s="27">
        <f t="shared" si="3"/>
        <v>8.8888888888888892E-2</v>
      </c>
      <c r="E35" s="16">
        <f t="shared" si="6"/>
        <v>24.53333333333164</v>
      </c>
      <c r="F35" s="16">
        <f t="shared" si="6"/>
        <v>25.955555555555542</v>
      </c>
      <c r="G35" s="16">
        <f t="shared" si="6"/>
        <v>26.844444444441606</v>
      </c>
      <c r="H35" s="17">
        <f t="shared" si="6"/>
        <v>22.755555555556338</v>
      </c>
      <c r="I35" s="17">
        <f t="shared" si="6"/>
        <v>24.177777777777262</v>
      </c>
      <c r="J35" s="17">
        <f t="shared" si="6"/>
        <v>25.066666666666318</v>
      </c>
      <c r="K35" s="18">
        <f t="shared" si="6"/>
        <v>20.977777777776385</v>
      </c>
      <c r="L35" s="18">
        <f t="shared" si="6"/>
        <v>22.400000000001633</v>
      </c>
      <c r="M35" s="18">
        <f t="shared" si="6"/>
        <v>23.288888888887598</v>
      </c>
      <c r="N35" s="19">
        <f t="shared" si="6"/>
        <v>16.3555555555551</v>
      </c>
      <c r="O35" s="19">
        <f t="shared" si="6"/>
        <v>17.777777777779093</v>
      </c>
      <c r="P35" s="19">
        <f t="shared" si="6"/>
        <v>18.666666666665758</v>
      </c>
      <c r="Q35" s="20">
        <f t="shared" si="6"/>
        <v>15.46666666666771</v>
      </c>
      <c r="R35" s="20">
        <f t="shared" si="6"/>
        <v>16.888888888890321</v>
      </c>
      <c r="S35" s="20">
        <f t="shared" si="6"/>
        <v>17.777777777779093</v>
      </c>
      <c r="T35" s="21">
        <f t="shared" ref="T35:AG55" si="8">T36-(T$363/360)</f>
        <v>14.577777777779282</v>
      </c>
      <c r="U35" s="21">
        <f t="shared" si="8"/>
        <v>16</v>
      </c>
      <c r="V35" s="21">
        <f t="shared" si="8"/>
        <v>16.888888888890321</v>
      </c>
      <c r="W35" s="22">
        <f t="shared" si="8"/>
        <v>13.688888888889096</v>
      </c>
      <c r="X35" s="22">
        <f t="shared" si="8"/>
        <v>15.111111111109778</v>
      </c>
      <c r="Y35" s="22">
        <f t="shared" si="8"/>
        <v>16</v>
      </c>
      <c r="Z35" s="23">
        <f t="shared" si="8"/>
        <v>12.799999999999036</v>
      </c>
      <c r="AA35" s="23">
        <f t="shared" si="8"/>
        <v>14.222222222221722</v>
      </c>
      <c r="AB35" s="23">
        <f t="shared" si="8"/>
        <v>15.111111111109778</v>
      </c>
      <c r="AC35" s="24">
        <f t="shared" si="8"/>
        <v>11.911111111111437</v>
      </c>
      <c r="AD35" s="24">
        <f t="shared" si="8"/>
        <v>13.333333333333238</v>
      </c>
      <c r="AE35" s="24">
        <f t="shared" si="7"/>
        <v>14.222222222221722</v>
      </c>
      <c r="AF35" s="25">
        <f t="shared" si="7"/>
        <v>11.022222222221753</v>
      </c>
      <c r="AG35" s="25">
        <f t="shared" si="7"/>
        <v>12.444444444445299</v>
      </c>
      <c r="AH35" s="25">
        <f t="shared" si="7"/>
        <v>13.333333333333238</v>
      </c>
      <c r="AI35" s="26">
        <f t="shared" si="7"/>
        <v>10.13333333333361</v>
      </c>
      <c r="AJ35" s="26">
        <f t="shared" si="7"/>
        <v>11.555555555554722</v>
      </c>
      <c r="AK35" s="26">
        <f t="shared" si="7"/>
        <v>12.444444444445299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25.299999999998306</v>
      </c>
      <c r="F36" s="16">
        <f t="shared" si="9"/>
        <v>26.766666666666652</v>
      </c>
      <c r="G36" s="16">
        <f t="shared" si="9"/>
        <v>27.683333333330495</v>
      </c>
      <c r="H36" s="17">
        <f t="shared" si="9"/>
        <v>23.46666666666745</v>
      </c>
      <c r="I36" s="17">
        <f t="shared" si="9"/>
        <v>24.933333333332818</v>
      </c>
      <c r="J36" s="17">
        <f t="shared" si="9"/>
        <v>25.849999999999653</v>
      </c>
      <c r="K36" s="18">
        <f t="shared" si="9"/>
        <v>21.63333333333194</v>
      </c>
      <c r="L36" s="18">
        <f t="shared" si="9"/>
        <v>23.100000000001632</v>
      </c>
      <c r="M36" s="18">
        <f t="shared" si="9"/>
        <v>24.016666666665376</v>
      </c>
      <c r="N36" s="19">
        <f t="shared" si="9"/>
        <v>16.866666666666212</v>
      </c>
      <c r="O36" s="19">
        <f t="shared" si="9"/>
        <v>18.33333333333465</v>
      </c>
      <c r="P36" s="19">
        <f t="shared" si="9"/>
        <v>19.249999999999091</v>
      </c>
      <c r="Q36" s="20">
        <f t="shared" si="9"/>
        <v>15.950000000001042</v>
      </c>
      <c r="R36" s="20">
        <f t="shared" si="9"/>
        <v>17.4166666666681</v>
      </c>
      <c r="S36" s="20">
        <f t="shared" si="9"/>
        <v>18.33333333333465</v>
      </c>
      <c r="T36" s="21">
        <f t="shared" si="8"/>
        <v>15.033333333334838</v>
      </c>
      <c r="U36" s="21">
        <f t="shared" si="8"/>
        <v>16.5</v>
      </c>
      <c r="V36" s="21">
        <f t="shared" si="8"/>
        <v>17.4166666666681</v>
      </c>
      <c r="W36" s="22">
        <f t="shared" si="8"/>
        <v>14.116666666666873</v>
      </c>
      <c r="X36" s="22">
        <f t="shared" si="8"/>
        <v>15.583333333332</v>
      </c>
      <c r="Y36" s="22">
        <f t="shared" si="8"/>
        <v>16.5</v>
      </c>
      <c r="Z36" s="23">
        <f t="shared" si="8"/>
        <v>13.199999999999037</v>
      </c>
      <c r="AA36" s="23">
        <f t="shared" si="8"/>
        <v>14.666666666666167</v>
      </c>
      <c r="AB36" s="23">
        <f t="shared" si="8"/>
        <v>15.583333333332</v>
      </c>
      <c r="AC36" s="24">
        <f t="shared" si="8"/>
        <v>12.283333333333658</v>
      </c>
      <c r="AD36" s="24">
        <f t="shared" si="8"/>
        <v>13.749999999999904</v>
      </c>
      <c r="AE36" s="24">
        <f t="shared" si="7"/>
        <v>14.666666666666167</v>
      </c>
      <c r="AF36" s="25">
        <f t="shared" si="7"/>
        <v>11.366666666666198</v>
      </c>
      <c r="AG36" s="25">
        <f t="shared" si="7"/>
        <v>12.833333333334188</v>
      </c>
      <c r="AH36" s="25">
        <f t="shared" si="7"/>
        <v>13.749999999999904</v>
      </c>
      <c r="AI36" s="26">
        <f t="shared" si="7"/>
        <v>10.450000000000276</v>
      </c>
      <c r="AJ36" s="26">
        <f t="shared" si="7"/>
        <v>11.916666666665833</v>
      </c>
      <c r="AK36" s="26">
        <f t="shared" si="7"/>
        <v>12.833333333334188</v>
      </c>
    </row>
    <row r="37" spans="4:37" ht="20.100000000000001" customHeight="1">
      <c r="D37" s="27">
        <f t="shared" si="3"/>
        <v>9.4444444444444456E-2</v>
      </c>
      <c r="E37" s="16">
        <f t="shared" si="9"/>
        <v>26.066666666664972</v>
      </c>
      <c r="F37" s="16">
        <f t="shared" si="9"/>
        <v>27.577777777777762</v>
      </c>
      <c r="G37" s="16">
        <f t="shared" si="9"/>
        <v>28.522222222219384</v>
      </c>
      <c r="H37" s="17">
        <f t="shared" si="9"/>
        <v>24.177777777778562</v>
      </c>
      <c r="I37" s="17">
        <f t="shared" si="9"/>
        <v>25.688888888888375</v>
      </c>
      <c r="J37" s="17">
        <f t="shared" si="9"/>
        <v>26.633333333332988</v>
      </c>
      <c r="K37" s="18">
        <f t="shared" si="9"/>
        <v>22.288888888887495</v>
      </c>
      <c r="L37" s="18">
        <f t="shared" si="9"/>
        <v>23.800000000001631</v>
      </c>
      <c r="M37" s="18">
        <f t="shared" si="9"/>
        <v>24.744444444443154</v>
      </c>
      <c r="N37" s="19">
        <f t="shared" si="9"/>
        <v>17.377777777777325</v>
      </c>
      <c r="O37" s="19">
        <f t="shared" si="9"/>
        <v>18.888888888890207</v>
      </c>
      <c r="P37" s="19">
        <f t="shared" si="9"/>
        <v>19.833333333332423</v>
      </c>
      <c r="Q37" s="20">
        <f t="shared" si="9"/>
        <v>16.433333333334375</v>
      </c>
      <c r="R37" s="20">
        <f t="shared" si="9"/>
        <v>17.944444444445878</v>
      </c>
      <c r="S37" s="20">
        <f t="shared" si="9"/>
        <v>18.888888888890207</v>
      </c>
      <c r="T37" s="21">
        <f t="shared" si="8"/>
        <v>15.488888888890394</v>
      </c>
      <c r="U37" s="21">
        <f t="shared" si="8"/>
        <v>17</v>
      </c>
      <c r="V37" s="21">
        <f t="shared" si="8"/>
        <v>17.944444444445878</v>
      </c>
      <c r="W37" s="22">
        <f t="shared" si="8"/>
        <v>14.54444444444465</v>
      </c>
      <c r="X37" s="22">
        <f t="shared" si="8"/>
        <v>16.055555555554221</v>
      </c>
      <c r="Y37" s="22">
        <f t="shared" si="8"/>
        <v>17</v>
      </c>
      <c r="Z37" s="23">
        <f t="shared" si="8"/>
        <v>13.599999999999037</v>
      </c>
      <c r="AA37" s="23">
        <f t="shared" si="8"/>
        <v>15.111111111110612</v>
      </c>
      <c r="AB37" s="23">
        <f t="shared" si="8"/>
        <v>16.055555555554221</v>
      </c>
      <c r="AC37" s="24">
        <f t="shared" si="8"/>
        <v>12.65555555555588</v>
      </c>
      <c r="AD37" s="24">
        <f t="shared" si="8"/>
        <v>14.16666666666657</v>
      </c>
      <c r="AE37" s="24">
        <f t="shared" si="7"/>
        <v>15.111111111110612</v>
      </c>
      <c r="AF37" s="25">
        <f t="shared" si="7"/>
        <v>11.711111111110643</v>
      </c>
      <c r="AG37" s="25">
        <f t="shared" si="7"/>
        <v>13.222222222223078</v>
      </c>
      <c r="AH37" s="25">
        <f t="shared" si="7"/>
        <v>14.16666666666657</v>
      </c>
      <c r="AI37" s="26">
        <f t="shared" si="7"/>
        <v>10.766666666666943</v>
      </c>
      <c r="AJ37" s="26">
        <f t="shared" si="7"/>
        <v>12.277777777776944</v>
      </c>
      <c r="AK37" s="26">
        <f t="shared" si="7"/>
        <v>13.222222222223078</v>
      </c>
    </row>
    <row r="38" spans="4:37" ht="20.100000000000001" customHeight="1">
      <c r="D38" s="27">
        <f t="shared" si="3"/>
        <v>9.7222222222222238E-2</v>
      </c>
      <c r="E38" s="16">
        <f t="shared" si="9"/>
        <v>26.833333333331638</v>
      </c>
      <c r="F38" s="16">
        <f t="shared" si="9"/>
        <v>28.388888888888872</v>
      </c>
      <c r="G38" s="16">
        <f t="shared" si="9"/>
        <v>29.361111111108272</v>
      </c>
      <c r="H38" s="17">
        <f t="shared" si="9"/>
        <v>24.888888888889674</v>
      </c>
      <c r="I38" s="17">
        <f t="shared" si="9"/>
        <v>26.444444444443931</v>
      </c>
      <c r="J38" s="17">
        <f t="shared" si="9"/>
        <v>27.416666666666323</v>
      </c>
      <c r="K38" s="18">
        <f t="shared" si="9"/>
        <v>22.94444444444305</v>
      </c>
      <c r="L38" s="18">
        <f t="shared" si="9"/>
        <v>24.500000000001631</v>
      </c>
      <c r="M38" s="18">
        <f t="shared" si="9"/>
        <v>25.472222222220932</v>
      </c>
      <c r="N38" s="19">
        <f t="shared" si="9"/>
        <v>17.888888888888438</v>
      </c>
      <c r="O38" s="19">
        <f t="shared" si="9"/>
        <v>19.444444444445764</v>
      </c>
      <c r="P38" s="19">
        <f t="shared" si="9"/>
        <v>20.416666666665755</v>
      </c>
      <c r="Q38" s="20">
        <f t="shared" si="9"/>
        <v>16.916666666667709</v>
      </c>
      <c r="R38" s="20">
        <f t="shared" si="9"/>
        <v>18.472222222223657</v>
      </c>
      <c r="S38" s="20">
        <f t="shared" si="9"/>
        <v>19.444444444445764</v>
      </c>
      <c r="T38" s="21">
        <f t="shared" si="8"/>
        <v>15.944444444445949</v>
      </c>
      <c r="U38" s="21">
        <f t="shared" si="8"/>
        <v>17.5</v>
      </c>
      <c r="V38" s="21">
        <f t="shared" si="8"/>
        <v>18.472222222223657</v>
      </c>
      <c r="W38" s="22">
        <f t="shared" si="8"/>
        <v>14.972222222222427</v>
      </c>
      <c r="X38" s="22">
        <f t="shared" si="8"/>
        <v>16.527777777776443</v>
      </c>
      <c r="Y38" s="22">
        <f t="shared" si="8"/>
        <v>17.5</v>
      </c>
      <c r="Z38" s="23">
        <f t="shared" si="8"/>
        <v>13.999999999999037</v>
      </c>
      <c r="AA38" s="23">
        <f t="shared" si="8"/>
        <v>15.555555555555056</v>
      </c>
      <c r="AB38" s="23">
        <f t="shared" si="8"/>
        <v>16.527777777776443</v>
      </c>
      <c r="AC38" s="24">
        <f t="shared" si="8"/>
        <v>13.027777777778102</v>
      </c>
      <c r="AD38" s="24">
        <f t="shared" si="8"/>
        <v>14.583333333333236</v>
      </c>
      <c r="AE38" s="24">
        <f t="shared" si="7"/>
        <v>15.555555555555056</v>
      </c>
      <c r="AF38" s="25">
        <f t="shared" si="7"/>
        <v>12.055555555555088</v>
      </c>
      <c r="AG38" s="25">
        <f t="shared" si="7"/>
        <v>13.611111111111967</v>
      </c>
      <c r="AH38" s="25">
        <f t="shared" si="7"/>
        <v>14.583333333333236</v>
      </c>
      <c r="AI38" s="26">
        <f t="shared" si="7"/>
        <v>11.083333333333609</v>
      </c>
      <c r="AJ38" s="26">
        <f t="shared" si="7"/>
        <v>12.638888888888054</v>
      </c>
      <c r="AK38" s="26">
        <f t="shared" si="7"/>
        <v>13.611111111111967</v>
      </c>
    </row>
    <row r="39" spans="4:37" ht="20.100000000000001" customHeight="1">
      <c r="D39" s="27">
        <f t="shared" si="3"/>
        <v>0.10000000000000002</v>
      </c>
      <c r="E39" s="16">
        <f t="shared" si="9"/>
        <v>27.599999999998303</v>
      </c>
      <c r="F39" s="16">
        <f t="shared" si="9"/>
        <v>29.199999999999982</v>
      </c>
      <c r="G39" s="16">
        <f t="shared" si="9"/>
        <v>30.199999999997161</v>
      </c>
      <c r="H39" s="17">
        <f t="shared" si="9"/>
        <v>25.600000000000787</v>
      </c>
      <c r="I39" s="17">
        <f t="shared" si="9"/>
        <v>27.199999999999488</v>
      </c>
      <c r="J39" s="17">
        <f t="shared" si="9"/>
        <v>28.199999999999658</v>
      </c>
      <c r="K39" s="18">
        <f t="shared" si="9"/>
        <v>23.599999999998605</v>
      </c>
      <c r="L39" s="18">
        <f t="shared" si="9"/>
        <v>25.20000000000163</v>
      </c>
      <c r="M39" s="18">
        <f t="shared" si="9"/>
        <v>26.19999999999871</v>
      </c>
      <c r="N39" s="19">
        <f t="shared" si="9"/>
        <v>18.399999999999551</v>
      </c>
      <c r="O39" s="19">
        <f t="shared" si="9"/>
        <v>20.000000000001322</v>
      </c>
      <c r="P39" s="19">
        <f t="shared" si="9"/>
        <v>20.999999999999087</v>
      </c>
      <c r="Q39" s="20">
        <f t="shared" si="9"/>
        <v>17.400000000001043</v>
      </c>
      <c r="R39" s="20">
        <f t="shared" si="9"/>
        <v>19.000000000001435</v>
      </c>
      <c r="S39" s="20">
        <f t="shared" si="9"/>
        <v>20.000000000001322</v>
      </c>
      <c r="T39" s="21">
        <f t="shared" si="8"/>
        <v>16.400000000001505</v>
      </c>
      <c r="U39" s="21">
        <f t="shared" si="8"/>
        <v>18</v>
      </c>
      <c r="V39" s="21">
        <f t="shared" si="8"/>
        <v>19.000000000001435</v>
      </c>
      <c r="W39" s="22">
        <f t="shared" si="8"/>
        <v>15.400000000000205</v>
      </c>
      <c r="X39" s="22">
        <f t="shared" si="8"/>
        <v>16.999999999998664</v>
      </c>
      <c r="Y39" s="22">
        <f t="shared" si="8"/>
        <v>18</v>
      </c>
      <c r="Z39" s="23">
        <f t="shared" si="8"/>
        <v>14.399999999999038</v>
      </c>
      <c r="AA39" s="23">
        <f t="shared" si="8"/>
        <v>15.999999999999501</v>
      </c>
      <c r="AB39" s="23">
        <f t="shared" si="8"/>
        <v>16.999999999998664</v>
      </c>
      <c r="AC39" s="24">
        <f t="shared" si="8"/>
        <v>13.400000000000324</v>
      </c>
      <c r="AD39" s="24">
        <f t="shared" si="8"/>
        <v>14.999999999999902</v>
      </c>
      <c r="AE39" s="24">
        <f t="shared" si="7"/>
        <v>15.999999999999501</v>
      </c>
      <c r="AF39" s="25">
        <f t="shared" si="7"/>
        <v>12.399999999999533</v>
      </c>
      <c r="AG39" s="25">
        <f t="shared" si="7"/>
        <v>14.000000000000856</v>
      </c>
      <c r="AH39" s="25">
        <f t="shared" si="7"/>
        <v>14.999999999999902</v>
      </c>
      <c r="AI39" s="26">
        <f t="shared" si="7"/>
        <v>11.400000000000276</v>
      </c>
      <c r="AJ39" s="26">
        <f t="shared" si="7"/>
        <v>12.999999999999165</v>
      </c>
      <c r="AK39" s="26">
        <f t="shared" si="7"/>
        <v>14.000000000000856</v>
      </c>
    </row>
    <row r="40" spans="4:37" ht="20.100000000000001" customHeight="1">
      <c r="D40" s="27">
        <f t="shared" si="3"/>
        <v>0.1027777777777778</v>
      </c>
      <c r="E40" s="16">
        <f t="shared" si="9"/>
        <v>28.366666666664969</v>
      </c>
      <c r="F40" s="16">
        <f t="shared" si="9"/>
        <v>30.011111111111092</v>
      </c>
      <c r="G40" s="16">
        <f t="shared" si="9"/>
        <v>31.038888888886049</v>
      </c>
      <c r="H40" s="17">
        <f t="shared" si="9"/>
        <v>26.311111111111899</v>
      </c>
      <c r="I40" s="17">
        <f t="shared" si="9"/>
        <v>27.955555555555044</v>
      </c>
      <c r="J40" s="17">
        <f t="shared" si="9"/>
        <v>28.983333333332993</v>
      </c>
      <c r="K40" s="18">
        <f t="shared" si="9"/>
        <v>24.25555555555416</v>
      </c>
      <c r="L40" s="18">
        <f t="shared" si="9"/>
        <v>25.900000000001629</v>
      </c>
      <c r="M40" s="18">
        <f t="shared" si="9"/>
        <v>26.927777777776488</v>
      </c>
      <c r="N40" s="19">
        <f t="shared" si="9"/>
        <v>18.911111111110664</v>
      </c>
      <c r="O40" s="19">
        <f t="shared" si="9"/>
        <v>20.555555555556879</v>
      </c>
      <c r="P40" s="19">
        <f t="shared" si="9"/>
        <v>21.583333333332419</v>
      </c>
      <c r="Q40" s="20">
        <f t="shared" si="9"/>
        <v>17.883333333334377</v>
      </c>
      <c r="R40" s="20">
        <f t="shared" si="9"/>
        <v>19.527777777779214</v>
      </c>
      <c r="S40" s="20">
        <f t="shared" si="9"/>
        <v>20.555555555556879</v>
      </c>
      <c r="T40" s="21">
        <f t="shared" si="8"/>
        <v>16.855555555557061</v>
      </c>
      <c r="U40" s="21">
        <f t="shared" si="8"/>
        <v>18.5</v>
      </c>
      <c r="V40" s="21">
        <f t="shared" si="8"/>
        <v>19.527777777779214</v>
      </c>
      <c r="W40" s="22">
        <f t="shared" si="8"/>
        <v>15.827777777777982</v>
      </c>
      <c r="X40" s="22">
        <f t="shared" si="8"/>
        <v>17.472222222220886</v>
      </c>
      <c r="Y40" s="22">
        <f t="shared" si="8"/>
        <v>18.5</v>
      </c>
      <c r="Z40" s="23">
        <f t="shared" si="8"/>
        <v>14.799999999999038</v>
      </c>
      <c r="AA40" s="23">
        <f t="shared" si="8"/>
        <v>16.444444444443945</v>
      </c>
      <c r="AB40" s="23">
        <f t="shared" si="8"/>
        <v>17.472222222220886</v>
      </c>
      <c r="AC40" s="24">
        <f t="shared" si="8"/>
        <v>13.772222222222545</v>
      </c>
      <c r="AD40" s="24">
        <f t="shared" si="8"/>
        <v>15.416666666666568</v>
      </c>
      <c r="AE40" s="24">
        <f>AE41-(AE$363/360)</f>
        <v>16.444444444443945</v>
      </c>
      <c r="AF40" s="25">
        <f>AF41-(AF$363/360)</f>
        <v>12.744444444443978</v>
      </c>
      <c r="AG40" s="25">
        <f>AG41-(AG$363/360)</f>
        <v>14.388888888889745</v>
      </c>
      <c r="AH40" s="25">
        <f>AH41-(AH$363/360)</f>
        <v>15.416666666666568</v>
      </c>
      <c r="AI40" s="26">
        <f>AI41-(AI$363/360)</f>
        <v>11.716666666666942</v>
      </c>
      <c r="AJ40" s="26">
        <f t="shared" si="7"/>
        <v>13.361111111110276</v>
      </c>
      <c r="AK40" s="26">
        <f t="shared" si="7"/>
        <v>14.388888888889745</v>
      </c>
    </row>
    <row r="41" spans="4:37" ht="20.100000000000001" customHeight="1">
      <c r="D41" s="27">
        <f t="shared" si="3"/>
        <v>0.10555555555555558</v>
      </c>
      <c r="E41" s="16">
        <f t="shared" si="9"/>
        <v>29.133333333331635</v>
      </c>
      <c r="F41" s="16">
        <f t="shared" si="9"/>
        <v>30.822222222222202</v>
      </c>
      <c r="G41" s="16">
        <f t="shared" si="9"/>
        <v>31.877777777774938</v>
      </c>
      <c r="H41" s="17">
        <f t="shared" si="9"/>
        <v>27.022222222223011</v>
      </c>
      <c r="I41" s="17">
        <f t="shared" si="9"/>
        <v>28.711111111110601</v>
      </c>
      <c r="J41" s="17">
        <f t="shared" si="9"/>
        <v>29.766666666666328</v>
      </c>
      <c r="K41" s="18">
        <f t="shared" si="9"/>
        <v>24.911111111109715</v>
      </c>
      <c r="L41" s="18">
        <f t="shared" si="9"/>
        <v>26.600000000001629</v>
      </c>
      <c r="M41" s="18">
        <f t="shared" si="9"/>
        <v>27.655555555554265</v>
      </c>
      <c r="N41" s="19">
        <f t="shared" si="9"/>
        <v>19.422222222221777</v>
      </c>
      <c r="O41" s="19">
        <f t="shared" si="9"/>
        <v>21.111111111112436</v>
      </c>
      <c r="P41" s="19">
        <f t="shared" si="9"/>
        <v>22.166666666665751</v>
      </c>
      <c r="Q41" s="20">
        <f t="shared" si="9"/>
        <v>18.366666666667712</v>
      </c>
      <c r="R41" s="20">
        <f t="shared" si="9"/>
        <v>20.055555555556992</v>
      </c>
      <c r="S41" s="20">
        <f t="shared" si="9"/>
        <v>21.111111111112436</v>
      </c>
      <c r="T41" s="21">
        <f t="shared" si="8"/>
        <v>17.311111111112616</v>
      </c>
      <c r="U41" s="21">
        <f t="shared" si="8"/>
        <v>19</v>
      </c>
      <c r="V41" s="21">
        <f t="shared" si="8"/>
        <v>20.055555555556992</v>
      </c>
      <c r="W41" s="22">
        <f t="shared" si="8"/>
        <v>16.255555555555759</v>
      </c>
      <c r="X41" s="22">
        <f t="shared" si="8"/>
        <v>17.944444444443107</v>
      </c>
      <c r="Y41" s="22">
        <f t="shared" si="8"/>
        <v>19</v>
      </c>
      <c r="Z41" s="23">
        <f t="shared" si="8"/>
        <v>15.199999999999038</v>
      </c>
      <c r="AA41" s="23">
        <f t="shared" si="8"/>
        <v>16.888888888888388</v>
      </c>
      <c r="AB41" s="23">
        <f t="shared" si="8"/>
        <v>17.944444444443107</v>
      </c>
      <c r="AC41" s="24">
        <f t="shared" si="8"/>
        <v>14.144444444444767</v>
      </c>
      <c r="AD41" s="24">
        <f t="shared" si="8"/>
        <v>15.833333333333234</v>
      </c>
      <c r="AE41" s="24">
        <f t="shared" si="8"/>
        <v>16.888888888888388</v>
      </c>
      <c r="AF41" s="25">
        <f t="shared" si="8"/>
        <v>13.088888888888423</v>
      </c>
      <c r="AG41" s="25">
        <f t="shared" si="8"/>
        <v>14.777777777778635</v>
      </c>
      <c r="AH41" s="25">
        <f t="shared" si="7"/>
        <v>15.833333333333234</v>
      </c>
      <c r="AI41" s="26">
        <f t="shared" si="7"/>
        <v>12.033333333333609</v>
      </c>
      <c r="AJ41" s="26">
        <f t="shared" si="7"/>
        <v>13.722222222221387</v>
      </c>
      <c r="AK41" s="26">
        <f t="shared" si="7"/>
        <v>14.777777777778635</v>
      </c>
    </row>
    <row r="42" spans="4:37" ht="20.100000000000001" customHeight="1">
      <c r="D42" s="27">
        <f t="shared" si="3"/>
        <v>0.10833333333333336</v>
      </c>
      <c r="E42" s="16">
        <f t="shared" si="9"/>
        <v>29.8999999999983</v>
      </c>
      <c r="F42" s="16">
        <f t="shared" si="9"/>
        <v>31.633333333333312</v>
      </c>
      <c r="G42" s="16">
        <f t="shared" si="9"/>
        <v>32.716666666663826</v>
      </c>
      <c r="H42" s="17">
        <f t="shared" si="9"/>
        <v>27.733333333334123</v>
      </c>
      <c r="I42" s="17">
        <f t="shared" si="9"/>
        <v>29.466666666666157</v>
      </c>
      <c r="J42" s="17">
        <f t="shared" si="9"/>
        <v>30.549999999999663</v>
      </c>
      <c r="K42" s="18">
        <f t="shared" si="9"/>
        <v>25.56666666666527</v>
      </c>
      <c r="L42" s="18">
        <f t="shared" si="9"/>
        <v>27.300000000001628</v>
      </c>
      <c r="M42" s="18">
        <f t="shared" si="9"/>
        <v>28.383333333332043</v>
      </c>
      <c r="N42" s="19">
        <f t="shared" si="9"/>
        <v>19.933333333332889</v>
      </c>
      <c r="O42" s="19">
        <f t="shared" si="9"/>
        <v>21.666666666667993</v>
      </c>
      <c r="P42" s="19">
        <f t="shared" si="9"/>
        <v>22.749999999999083</v>
      </c>
      <c r="Q42" s="20">
        <f t="shared" si="9"/>
        <v>18.850000000001046</v>
      </c>
      <c r="R42" s="20">
        <f t="shared" si="9"/>
        <v>20.583333333334771</v>
      </c>
      <c r="S42" s="20">
        <f t="shared" si="9"/>
        <v>21.666666666667993</v>
      </c>
      <c r="T42" s="21">
        <f t="shared" si="9"/>
        <v>17.766666666668172</v>
      </c>
      <c r="U42" s="21">
        <f t="shared" si="8"/>
        <v>19.5</v>
      </c>
      <c r="V42" s="21">
        <f t="shared" si="8"/>
        <v>20.583333333334771</v>
      </c>
      <c r="W42" s="22">
        <f t="shared" si="8"/>
        <v>16.683333333333536</v>
      </c>
      <c r="X42" s="22">
        <f t="shared" si="8"/>
        <v>18.416666666665328</v>
      </c>
      <c r="Y42" s="22">
        <f t="shared" si="8"/>
        <v>19.5</v>
      </c>
      <c r="Z42" s="23">
        <f t="shared" si="8"/>
        <v>15.599999999999039</v>
      </c>
      <c r="AA42" s="23">
        <f t="shared" si="8"/>
        <v>17.333333333332831</v>
      </c>
      <c r="AB42" s="23">
        <f t="shared" si="8"/>
        <v>18.416666666665328</v>
      </c>
      <c r="AC42" s="24">
        <f t="shared" si="8"/>
        <v>14.516666666666989</v>
      </c>
      <c r="AD42" s="24">
        <f t="shared" si="8"/>
        <v>16.249999999999901</v>
      </c>
      <c r="AE42" s="24">
        <f t="shared" si="8"/>
        <v>17.333333333332831</v>
      </c>
      <c r="AF42" s="25">
        <f t="shared" si="8"/>
        <v>13.433333333332868</v>
      </c>
      <c r="AG42" s="25">
        <f t="shared" si="8"/>
        <v>15.166666666667524</v>
      </c>
      <c r="AH42" s="25">
        <f t="shared" si="7"/>
        <v>16.249999999999901</v>
      </c>
      <c r="AI42" s="26">
        <f t="shared" si="7"/>
        <v>12.350000000000275</v>
      </c>
      <c r="AJ42" s="26">
        <f t="shared" si="7"/>
        <v>14.083333333332497</v>
      </c>
      <c r="AK42" s="26">
        <f t="shared" si="7"/>
        <v>15.166666666667524</v>
      </c>
    </row>
    <row r="43" spans="4:37" ht="20.100000000000001" customHeight="1">
      <c r="D43" s="27">
        <f t="shared" si="3"/>
        <v>0.11111111111111115</v>
      </c>
      <c r="E43" s="16">
        <f t="shared" si="9"/>
        <v>30.666666666664966</v>
      </c>
      <c r="F43" s="16">
        <f t="shared" si="9"/>
        <v>32.444444444444422</v>
      </c>
      <c r="G43" s="16">
        <f t="shared" si="9"/>
        <v>33.555555555552715</v>
      </c>
      <c r="H43" s="17">
        <f t="shared" si="9"/>
        <v>28.444444444445235</v>
      </c>
      <c r="I43" s="17">
        <f t="shared" si="9"/>
        <v>30.222222222221713</v>
      </c>
      <c r="J43" s="17">
        <f t="shared" si="9"/>
        <v>31.333333333332998</v>
      </c>
      <c r="K43" s="18">
        <f t="shared" si="9"/>
        <v>26.222222222220825</v>
      </c>
      <c r="L43" s="18">
        <f t="shared" si="9"/>
        <v>28.000000000001627</v>
      </c>
      <c r="M43" s="18">
        <f t="shared" si="9"/>
        <v>29.111111111109821</v>
      </c>
      <c r="N43" s="19">
        <f t="shared" si="9"/>
        <v>20.444444444444002</v>
      </c>
      <c r="O43" s="19">
        <f t="shared" si="9"/>
        <v>22.22222222222355</v>
      </c>
      <c r="P43" s="19">
        <f t="shared" si="9"/>
        <v>23.333333333332416</v>
      </c>
      <c r="Q43" s="20">
        <f t="shared" si="9"/>
        <v>19.33333333333438</v>
      </c>
      <c r="R43" s="20">
        <f t="shared" si="9"/>
        <v>21.11111111111255</v>
      </c>
      <c r="S43" s="20">
        <f t="shared" si="9"/>
        <v>22.22222222222355</v>
      </c>
      <c r="T43" s="21">
        <f t="shared" si="9"/>
        <v>18.222222222223728</v>
      </c>
      <c r="U43" s="21">
        <f t="shared" si="8"/>
        <v>20</v>
      </c>
      <c r="V43" s="21">
        <f t="shared" si="8"/>
        <v>21.11111111111255</v>
      </c>
      <c r="W43" s="22">
        <f t="shared" si="8"/>
        <v>17.111111111111313</v>
      </c>
      <c r="X43" s="22">
        <f t="shared" si="8"/>
        <v>18.88888888888755</v>
      </c>
      <c r="Y43" s="22">
        <f t="shared" si="8"/>
        <v>20</v>
      </c>
      <c r="Z43" s="23">
        <f t="shared" si="8"/>
        <v>15.999999999999039</v>
      </c>
      <c r="AA43" s="23">
        <f t="shared" si="8"/>
        <v>17.777777777777274</v>
      </c>
      <c r="AB43" s="23">
        <f t="shared" si="8"/>
        <v>18.88888888888755</v>
      </c>
      <c r="AC43" s="24">
        <f t="shared" si="8"/>
        <v>14.888888888889211</v>
      </c>
      <c r="AD43" s="24">
        <f t="shared" si="8"/>
        <v>16.666666666666568</v>
      </c>
      <c r="AE43" s="24">
        <f t="shared" si="8"/>
        <v>17.777777777777274</v>
      </c>
      <c r="AF43" s="25">
        <f t="shared" si="8"/>
        <v>13.777777777777313</v>
      </c>
      <c r="AG43" s="25">
        <f t="shared" si="8"/>
        <v>15.555555555556413</v>
      </c>
      <c r="AH43" s="25">
        <f t="shared" si="7"/>
        <v>16.666666666666568</v>
      </c>
      <c r="AI43" s="26">
        <f t="shared" si="7"/>
        <v>12.666666666666941</v>
      </c>
      <c r="AJ43" s="26">
        <f t="shared" si="7"/>
        <v>14.444444444443608</v>
      </c>
      <c r="AK43" s="26">
        <f t="shared" si="7"/>
        <v>15.555555555556413</v>
      </c>
    </row>
    <row r="44" spans="4:37" ht="20.100000000000001" customHeight="1">
      <c r="D44" s="27">
        <f t="shared" si="3"/>
        <v>0.11388888888888893</v>
      </c>
      <c r="E44" s="16">
        <f t="shared" si="9"/>
        <v>31.433333333331632</v>
      </c>
      <c r="F44" s="16">
        <f t="shared" si="9"/>
        <v>33.255555555555532</v>
      </c>
      <c r="G44" s="16">
        <f t="shared" si="9"/>
        <v>34.394444444441604</v>
      </c>
      <c r="H44" s="17">
        <f t="shared" si="9"/>
        <v>29.155555555556347</v>
      </c>
      <c r="I44" s="17">
        <f t="shared" si="9"/>
        <v>30.97777777777727</v>
      </c>
      <c r="J44" s="17">
        <f t="shared" si="9"/>
        <v>32.116666666666333</v>
      </c>
      <c r="K44" s="18">
        <f t="shared" si="9"/>
        <v>26.87777777777638</v>
      </c>
      <c r="L44" s="18">
        <f t="shared" si="9"/>
        <v>28.700000000001626</v>
      </c>
      <c r="M44" s="18">
        <f t="shared" si="9"/>
        <v>29.838888888887599</v>
      </c>
      <c r="N44" s="19">
        <f t="shared" si="9"/>
        <v>20.955555555555115</v>
      </c>
      <c r="O44" s="19">
        <f t="shared" si="9"/>
        <v>22.777777777779107</v>
      </c>
      <c r="P44" s="19">
        <f t="shared" si="9"/>
        <v>23.916666666665748</v>
      </c>
      <c r="Q44" s="20">
        <f t="shared" si="9"/>
        <v>19.816666666667714</v>
      </c>
      <c r="R44" s="20">
        <f t="shared" si="9"/>
        <v>21.638888888890328</v>
      </c>
      <c r="S44" s="20">
        <f t="shared" si="9"/>
        <v>22.777777777779107</v>
      </c>
      <c r="T44" s="21">
        <f t="shared" si="9"/>
        <v>18.677777777779283</v>
      </c>
      <c r="U44" s="21">
        <f t="shared" si="8"/>
        <v>20.5</v>
      </c>
      <c r="V44" s="21">
        <f t="shared" si="8"/>
        <v>21.638888888890328</v>
      </c>
      <c r="W44" s="22">
        <f t="shared" si="8"/>
        <v>17.53888888888909</v>
      </c>
      <c r="X44" s="22">
        <f t="shared" si="8"/>
        <v>19.361111111109771</v>
      </c>
      <c r="Y44" s="22">
        <f t="shared" si="8"/>
        <v>20.5</v>
      </c>
      <c r="Z44" s="23">
        <f t="shared" si="8"/>
        <v>16.399999999999039</v>
      </c>
      <c r="AA44" s="23">
        <f t="shared" si="8"/>
        <v>18.222222222221717</v>
      </c>
      <c r="AB44" s="23">
        <f t="shared" si="8"/>
        <v>19.361111111109771</v>
      </c>
      <c r="AC44" s="24">
        <f t="shared" si="8"/>
        <v>15.261111111111433</v>
      </c>
      <c r="AD44" s="24">
        <f t="shared" si="8"/>
        <v>17.083333333333236</v>
      </c>
      <c r="AE44" s="24">
        <f t="shared" si="8"/>
        <v>18.222222222221717</v>
      </c>
      <c r="AF44" s="25">
        <f t="shared" si="8"/>
        <v>14.122222222221758</v>
      </c>
      <c r="AG44" s="25">
        <f t="shared" si="8"/>
        <v>15.944444444445303</v>
      </c>
      <c r="AH44" s="25">
        <f t="shared" si="7"/>
        <v>17.083333333333236</v>
      </c>
      <c r="AI44" s="26">
        <f t="shared" si="7"/>
        <v>12.983333333333608</v>
      </c>
      <c r="AJ44" s="26">
        <f t="shared" si="7"/>
        <v>14.805555555554719</v>
      </c>
      <c r="AK44" s="26">
        <f t="shared" si="7"/>
        <v>15.944444444445303</v>
      </c>
    </row>
    <row r="45" spans="4:37" ht="20.100000000000001" customHeight="1">
      <c r="D45" s="27">
        <f t="shared" si="3"/>
        <v>0.11666666666666671</v>
      </c>
      <c r="E45" s="16">
        <f t="shared" si="9"/>
        <v>32.199999999998298</v>
      </c>
      <c r="F45" s="16">
        <f t="shared" si="9"/>
        <v>34.066666666666642</v>
      </c>
      <c r="G45" s="16">
        <f t="shared" si="9"/>
        <v>35.233333333330492</v>
      </c>
      <c r="H45" s="17">
        <f t="shared" si="9"/>
        <v>29.866666666667459</v>
      </c>
      <c r="I45" s="17">
        <f t="shared" si="9"/>
        <v>31.733333333332826</v>
      </c>
      <c r="J45" s="17">
        <f t="shared" si="9"/>
        <v>32.899999999999665</v>
      </c>
      <c r="K45" s="18">
        <f t="shared" si="9"/>
        <v>27.533333333331935</v>
      </c>
      <c r="L45" s="18">
        <f t="shared" si="9"/>
        <v>29.400000000001626</v>
      </c>
      <c r="M45" s="18">
        <f t="shared" si="9"/>
        <v>30.566666666665377</v>
      </c>
      <c r="N45" s="19">
        <f t="shared" si="9"/>
        <v>21.466666666666228</v>
      </c>
      <c r="O45" s="19">
        <f t="shared" si="9"/>
        <v>23.333333333334664</v>
      </c>
      <c r="P45" s="19">
        <f t="shared" si="9"/>
        <v>24.49999999999908</v>
      </c>
      <c r="Q45" s="20">
        <f t="shared" si="9"/>
        <v>20.300000000001049</v>
      </c>
      <c r="R45" s="20">
        <f t="shared" si="9"/>
        <v>22.166666666668107</v>
      </c>
      <c r="S45" s="20">
        <f t="shared" si="9"/>
        <v>23.333333333334664</v>
      </c>
      <c r="T45" s="21">
        <f t="shared" si="9"/>
        <v>19.133333333334839</v>
      </c>
      <c r="U45" s="21">
        <f t="shared" si="8"/>
        <v>21</v>
      </c>
      <c r="V45" s="21">
        <f t="shared" si="8"/>
        <v>22.166666666668107</v>
      </c>
      <c r="W45" s="22">
        <f t="shared" si="8"/>
        <v>17.966666666666868</v>
      </c>
      <c r="X45" s="22">
        <f t="shared" si="8"/>
        <v>19.833333333331993</v>
      </c>
      <c r="Y45" s="22">
        <f t="shared" si="8"/>
        <v>21</v>
      </c>
      <c r="Z45" s="23">
        <f t="shared" si="8"/>
        <v>16.799999999999038</v>
      </c>
      <c r="AA45" s="23">
        <f t="shared" si="8"/>
        <v>18.66666666666616</v>
      </c>
      <c r="AB45" s="23">
        <f t="shared" si="8"/>
        <v>19.833333333331993</v>
      </c>
      <c r="AC45" s="24">
        <f t="shared" si="8"/>
        <v>15.633333333333654</v>
      </c>
      <c r="AD45" s="24">
        <f t="shared" si="8"/>
        <v>17.499999999999904</v>
      </c>
      <c r="AE45" s="24">
        <f t="shared" si="8"/>
        <v>18.66666666666616</v>
      </c>
      <c r="AF45" s="25">
        <f t="shared" si="8"/>
        <v>14.466666666666203</v>
      </c>
      <c r="AG45" s="25">
        <f t="shared" si="8"/>
        <v>16.333333333334192</v>
      </c>
      <c r="AH45" s="25">
        <f t="shared" si="7"/>
        <v>17.499999999999904</v>
      </c>
      <c r="AI45" s="26">
        <f t="shared" si="7"/>
        <v>13.300000000000274</v>
      </c>
      <c r="AJ45" s="26">
        <f t="shared" si="7"/>
        <v>15.166666666665829</v>
      </c>
      <c r="AK45" s="26">
        <f t="shared" si="7"/>
        <v>16.333333333334192</v>
      </c>
    </row>
    <row r="46" spans="4:37" ht="20.100000000000001" customHeight="1">
      <c r="D46" s="27">
        <f t="shared" si="3"/>
        <v>0.11944444444444449</v>
      </c>
      <c r="E46" s="16">
        <f t="shared" si="9"/>
        <v>32.966666666664963</v>
      </c>
      <c r="F46" s="16">
        <f t="shared" si="9"/>
        <v>34.877777777777752</v>
      </c>
      <c r="G46" s="16">
        <f t="shared" si="9"/>
        <v>36.072222222219381</v>
      </c>
      <c r="H46" s="17">
        <f t="shared" si="9"/>
        <v>30.577777777778572</v>
      </c>
      <c r="I46" s="17">
        <f t="shared" si="9"/>
        <v>32.488888888888383</v>
      </c>
      <c r="J46" s="17">
        <f t="shared" si="9"/>
        <v>33.683333333332996</v>
      </c>
      <c r="K46" s="18">
        <f t="shared" si="9"/>
        <v>28.18888888888749</v>
      </c>
      <c r="L46" s="18">
        <f t="shared" si="9"/>
        <v>30.100000000001625</v>
      </c>
      <c r="M46" s="18">
        <f t="shared" si="9"/>
        <v>31.294444444443155</v>
      </c>
      <c r="N46" s="19">
        <f t="shared" si="9"/>
        <v>21.977777777777341</v>
      </c>
      <c r="O46" s="19">
        <f t="shared" si="9"/>
        <v>23.888888888890222</v>
      </c>
      <c r="P46" s="19">
        <f t="shared" si="9"/>
        <v>25.083333333332412</v>
      </c>
      <c r="Q46" s="20">
        <f t="shared" si="9"/>
        <v>20.783333333334383</v>
      </c>
      <c r="R46" s="20">
        <f t="shared" si="9"/>
        <v>22.694444444445885</v>
      </c>
      <c r="S46" s="20">
        <f t="shared" si="9"/>
        <v>23.888888888890222</v>
      </c>
      <c r="T46" s="21">
        <f t="shared" si="9"/>
        <v>19.588888888890395</v>
      </c>
      <c r="U46" s="21">
        <f t="shared" si="8"/>
        <v>21.5</v>
      </c>
      <c r="V46" s="21">
        <f t="shared" si="8"/>
        <v>22.694444444445885</v>
      </c>
      <c r="W46" s="22">
        <f t="shared" si="8"/>
        <v>18.394444444444645</v>
      </c>
      <c r="X46" s="22">
        <f t="shared" si="8"/>
        <v>20.305555555554214</v>
      </c>
      <c r="Y46" s="22">
        <f t="shared" si="8"/>
        <v>21.5</v>
      </c>
      <c r="Z46" s="23">
        <f t="shared" si="8"/>
        <v>17.199999999999037</v>
      </c>
      <c r="AA46" s="23">
        <f t="shared" si="8"/>
        <v>19.111111111110603</v>
      </c>
      <c r="AB46" s="23">
        <f t="shared" si="8"/>
        <v>20.305555555554214</v>
      </c>
      <c r="AC46" s="24">
        <f t="shared" si="8"/>
        <v>16.005555555555876</v>
      </c>
      <c r="AD46" s="24">
        <f t="shared" si="8"/>
        <v>17.916666666666572</v>
      </c>
      <c r="AE46" s="24">
        <f t="shared" si="8"/>
        <v>19.111111111110603</v>
      </c>
      <c r="AF46" s="25">
        <f t="shared" si="8"/>
        <v>14.811111111110648</v>
      </c>
      <c r="AG46" s="25">
        <f t="shared" si="8"/>
        <v>16.722222222223081</v>
      </c>
      <c r="AH46" s="25">
        <f t="shared" si="7"/>
        <v>17.916666666666572</v>
      </c>
      <c r="AI46" s="26">
        <f t="shared" si="7"/>
        <v>13.616666666666941</v>
      </c>
      <c r="AJ46" s="26">
        <f t="shared" si="7"/>
        <v>15.52777777777694</v>
      </c>
      <c r="AK46" s="26">
        <f t="shared" si="7"/>
        <v>16.722222222223081</v>
      </c>
    </row>
    <row r="47" spans="4:37" ht="20.100000000000001" customHeight="1">
      <c r="D47" s="27">
        <f t="shared" si="3"/>
        <v>0.12222222222222227</v>
      </c>
      <c r="E47" s="16">
        <f t="shared" si="9"/>
        <v>33.733333333331629</v>
      </c>
      <c r="F47" s="16">
        <f t="shared" si="9"/>
        <v>35.688888888888862</v>
      </c>
      <c r="G47" s="16">
        <f t="shared" si="9"/>
        <v>36.911111111108269</v>
      </c>
      <c r="H47" s="17">
        <f t="shared" si="9"/>
        <v>31.288888888889684</v>
      </c>
      <c r="I47" s="17">
        <f t="shared" si="9"/>
        <v>33.244444444443936</v>
      </c>
      <c r="J47" s="17">
        <f t="shared" si="9"/>
        <v>34.466666666666328</v>
      </c>
      <c r="K47" s="18">
        <f t="shared" si="9"/>
        <v>28.844444444443045</v>
      </c>
      <c r="L47" s="18">
        <f t="shared" si="9"/>
        <v>30.800000000001624</v>
      </c>
      <c r="M47" s="18">
        <f t="shared" si="9"/>
        <v>32.022222222220933</v>
      </c>
      <c r="N47" s="19">
        <f t="shared" si="9"/>
        <v>22.488888888888454</v>
      </c>
      <c r="O47" s="19">
        <f t="shared" si="9"/>
        <v>24.444444444445779</v>
      </c>
      <c r="P47" s="19">
        <f t="shared" si="9"/>
        <v>25.666666666665744</v>
      </c>
      <c r="Q47" s="20">
        <f t="shared" si="9"/>
        <v>21.266666666667717</v>
      </c>
      <c r="R47" s="20">
        <f t="shared" si="9"/>
        <v>23.222222222223664</v>
      </c>
      <c r="S47" s="20">
        <f t="shared" si="9"/>
        <v>24.444444444445779</v>
      </c>
      <c r="T47" s="21">
        <f t="shared" si="9"/>
        <v>20.044444444445951</v>
      </c>
      <c r="U47" s="21">
        <f t="shared" si="8"/>
        <v>22</v>
      </c>
      <c r="V47" s="21">
        <f t="shared" si="8"/>
        <v>23.222222222223664</v>
      </c>
      <c r="W47" s="22">
        <f t="shared" si="8"/>
        <v>18.822222222222422</v>
      </c>
      <c r="X47" s="22">
        <f t="shared" si="8"/>
        <v>20.777777777776436</v>
      </c>
      <c r="Y47" s="22">
        <f t="shared" si="8"/>
        <v>22</v>
      </c>
      <c r="Z47" s="23">
        <f t="shared" si="8"/>
        <v>17.599999999999035</v>
      </c>
      <c r="AA47" s="23">
        <f t="shared" si="8"/>
        <v>19.555555555555046</v>
      </c>
      <c r="AB47" s="23">
        <f t="shared" si="8"/>
        <v>20.777777777776436</v>
      </c>
      <c r="AC47" s="24">
        <f t="shared" si="8"/>
        <v>16.3777777777781</v>
      </c>
      <c r="AD47" s="24">
        <f t="shared" si="8"/>
        <v>18.33333333333324</v>
      </c>
      <c r="AE47" s="24">
        <f t="shared" si="8"/>
        <v>19.555555555555046</v>
      </c>
      <c r="AF47" s="25">
        <f t="shared" si="8"/>
        <v>15.155555555555093</v>
      </c>
      <c r="AG47" s="25">
        <f t="shared" si="8"/>
        <v>17.11111111111197</v>
      </c>
      <c r="AH47" s="25">
        <f t="shared" si="7"/>
        <v>18.33333333333324</v>
      </c>
      <c r="AI47" s="26">
        <f t="shared" si="7"/>
        <v>13.933333333333607</v>
      </c>
      <c r="AJ47" s="26">
        <f t="shared" si="7"/>
        <v>15.888888888888051</v>
      </c>
      <c r="AK47" s="26">
        <f t="shared" si="7"/>
        <v>17.11111111111197</v>
      </c>
    </row>
    <row r="48" spans="4:37" ht="20.100000000000001" customHeight="1">
      <c r="D48" s="27">
        <f t="shared" si="3"/>
        <v>0.12500000000000006</v>
      </c>
      <c r="E48" s="16">
        <f t="shared" si="9"/>
        <v>34.499999999998295</v>
      </c>
      <c r="F48" s="16">
        <f t="shared" si="9"/>
        <v>36.499999999999972</v>
      </c>
      <c r="G48" s="16">
        <f t="shared" si="9"/>
        <v>37.749999999997158</v>
      </c>
      <c r="H48" s="17">
        <f t="shared" si="9"/>
        <v>32.000000000000796</v>
      </c>
      <c r="I48" s="17">
        <f t="shared" si="9"/>
        <v>33.999999999999488</v>
      </c>
      <c r="J48" s="17">
        <f t="shared" si="9"/>
        <v>35.249999999999659</v>
      </c>
      <c r="K48" s="18">
        <f t="shared" si="9"/>
        <v>29.4999999999986</v>
      </c>
      <c r="L48" s="18">
        <f t="shared" si="9"/>
        <v>31.500000000001624</v>
      </c>
      <c r="M48" s="18">
        <f t="shared" si="9"/>
        <v>32.749999999998707</v>
      </c>
      <c r="N48" s="19">
        <f t="shared" si="9"/>
        <v>22.999999999999567</v>
      </c>
      <c r="O48" s="19">
        <f t="shared" si="9"/>
        <v>25.000000000001336</v>
      </c>
      <c r="P48" s="19">
        <f t="shared" si="9"/>
        <v>26.249999999999076</v>
      </c>
      <c r="Q48" s="20">
        <f t="shared" si="9"/>
        <v>21.750000000001052</v>
      </c>
      <c r="R48" s="20">
        <f t="shared" si="9"/>
        <v>23.750000000001442</v>
      </c>
      <c r="S48" s="20">
        <f t="shared" si="9"/>
        <v>25.000000000001336</v>
      </c>
      <c r="T48" s="21">
        <f t="shared" si="9"/>
        <v>20.500000000001506</v>
      </c>
      <c r="U48" s="21">
        <f t="shared" si="8"/>
        <v>22.5</v>
      </c>
      <c r="V48" s="21">
        <f t="shared" si="8"/>
        <v>23.750000000001442</v>
      </c>
      <c r="W48" s="22">
        <f t="shared" si="8"/>
        <v>19.250000000000199</v>
      </c>
      <c r="X48" s="22">
        <f t="shared" si="8"/>
        <v>21.249999999998657</v>
      </c>
      <c r="Y48" s="22">
        <f t="shared" si="8"/>
        <v>22.5</v>
      </c>
      <c r="Z48" s="23">
        <f t="shared" si="8"/>
        <v>17.999999999999034</v>
      </c>
      <c r="AA48" s="23">
        <f t="shared" si="8"/>
        <v>19.999999999999488</v>
      </c>
      <c r="AB48" s="23">
        <f t="shared" si="8"/>
        <v>21.249999999998657</v>
      </c>
      <c r="AC48" s="24">
        <f t="shared" si="8"/>
        <v>16.750000000000323</v>
      </c>
      <c r="AD48" s="24">
        <f t="shared" si="8"/>
        <v>18.749999999999908</v>
      </c>
      <c r="AE48" s="24">
        <f t="shared" si="8"/>
        <v>19.999999999999488</v>
      </c>
      <c r="AF48" s="25">
        <f t="shared" si="8"/>
        <v>15.499999999999538</v>
      </c>
      <c r="AG48" s="25">
        <f t="shared" si="8"/>
        <v>17.50000000000086</v>
      </c>
      <c r="AH48" s="25">
        <f t="shared" si="7"/>
        <v>18.749999999999908</v>
      </c>
      <c r="AI48" s="26">
        <f t="shared" si="7"/>
        <v>14.250000000000274</v>
      </c>
      <c r="AJ48" s="26">
        <f t="shared" si="7"/>
        <v>16.249999999999162</v>
      </c>
      <c r="AK48" s="26">
        <f t="shared" si="7"/>
        <v>17.50000000000086</v>
      </c>
    </row>
    <row r="49" spans="4:37" ht="20.100000000000001" customHeight="1">
      <c r="D49" s="27">
        <f t="shared" si="3"/>
        <v>0.12777777777777782</v>
      </c>
      <c r="E49" s="16">
        <f t="shared" si="9"/>
        <v>35.26666666666496</v>
      </c>
      <c r="F49" s="16">
        <f t="shared" si="9"/>
        <v>37.311111111111082</v>
      </c>
      <c r="G49" s="16">
        <f t="shared" si="9"/>
        <v>38.588888888886046</v>
      </c>
      <c r="H49" s="17">
        <f t="shared" si="9"/>
        <v>32.711111111111904</v>
      </c>
      <c r="I49" s="17">
        <f t="shared" si="9"/>
        <v>34.755555555555041</v>
      </c>
      <c r="J49" s="17">
        <f t="shared" si="9"/>
        <v>36.03333333333299</v>
      </c>
      <c r="K49" s="18">
        <f t="shared" si="9"/>
        <v>30.155555555554155</v>
      </c>
      <c r="L49" s="18">
        <f t="shared" si="9"/>
        <v>32.200000000001623</v>
      </c>
      <c r="M49" s="18">
        <f t="shared" si="9"/>
        <v>33.477777777776481</v>
      </c>
      <c r="N49" s="19">
        <f t="shared" si="9"/>
        <v>23.511111111110679</v>
      </c>
      <c r="O49" s="19">
        <f t="shared" si="9"/>
        <v>25.555555555556893</v>
      </c>
      <c r="P49" s="19">
        <f t="shared" si="9"/>
        <v>26.833333333332408</v>
      </c>
      <c r="Q49" s="20">
        <f t="shared" si="9"/>
        <v>22.233333333334386</v>
      </c>
      <c r="R49" s="20">
        <f t="shared" si="9"/>
        <v>24.277777777779221</v>
      </c>
      <c r="S49" s="20">
        <f t="shared" si="9"/>
        <v>25.555555555556893</v>
      </c>
      <c r="T49" s="21">
        <f t="shared" si="9"/>
        <v>20.955555555557062</v>
      </c>
      <c r="U49" s="21">
        <f t="shared" si="8"/>
        <v>23</v>
      </c>
      <c r="V49" s="21">
        <f t="shared" si="8"/>
        <v>24.277777777779221</v>
      </c>
      <c r="W49" s="22">
        <f t="shared" si="8"/>
        <v>19.677777777777976</v>
      </c>
      <c r="X49" s="22">
        <f t="shared" si="8"/>
        <v>21.722222222220879</v>
      </c>
      <c r="Y49" s="22">
        <f t="shared" si="8"/>
        <v>23</v>
      </c>
      <c r="Z49" s="23">
        <f t="shared" si="8"/>
        <v>18.399999999999032</v>
      </c>
      <c r="AA49" s="23">
        <f t="shared" si="8"/>
        <v>20.444444444443931</v>
      </c>
      <c r="AB49" s="23">
        <f t="shared" si="8"/>
        <v>21.722222222220879</v>
      </c>
      <c r="AC49" s="24">
        <f t="shared" si="8"/>
        <v>17.122222222222547</v>
      </c>
      <c r="AD49" s="24">
        <f t="shared" si="8"/>
        <v>19.166666666666575</v>
      </c>
      <c r="AE49" s="24">
        <f t="shared" si="8"/>
        <v>20.444444444443931</v>
      </c>
      <c r="AF49" s="25">
        <f t="shared" si="8"/>
        <v>15.844444444443983</v>
      </c>
      <c r="AG49" s="25">
        <f t="shared" si="8"/>
        <v>17.888888888889749</v>
      </c>
      <c r="AH49" s="25">
        <f t="shared" si="7"/>
        <v>19.166666666666575</v>
      </c>
      <c r="AI49" s="26">
        <f t="shared" si="7"/>
        <v>14.56666666666694</v>
      </c>
      <c r="AJ49" s="26">
        <f t="shared" si="7"/>
        <v>16.611111111110272</v>
      </c>
      <c r="AK49" s="26">
        <f t="shared" si="7"/>
        <v>17.888888888889749</v>
      </c>
    </row>
    <row r="50" spans="4:37" ht="20.100000000000001" customHeight="1">
      <c r="D50" s="27">
        <f t="shared" si="3"/>
        <v>0.13055555555555559</v>
      </c>
      <c r="E50" s="16">
        <f t="shared" si="9"/>
        <v>36.033333333331626</v>
      </c>
      <c r="F50" s="16">
        <f t="shared" si="9"/>
        <v>38.122222222222192</v>
      </c>
      <c r="G50" s="16">
        <f t="shared" si="9"/>
        <v>39.427777777774935</v>
      </c>
      <c r="H50" s="17">
        <f t="shared" si="9"/>
        <v>33.422222222223013</v>
      </c>
      <c r="I50" s="17">
        <f t="shared" si="9"/>
        <v>35.511111111110594</v>
      </c>
      <c r="J50" s="17">
        <f t="shared" si="9"/>
        <v>36.816666666666322</v>
      </c>
      <c r="K50" s="18">
        <f t="shared" si="9"/>
        <v>30.81111111110971</v>
      </c>
      <c r="L50" s="18">
        <f t="shared" si="9"/>
        <v>32.900000000001626</v>
      </c>
      <c r="M50" s="18">
        <f t="shared" si="9"/>
        <v>34.205555555554255</v>
      </c>
      <c r="N50" s="19">
        <f t="shared" si="9"/>
        <v>24.022222222221792</v>
      </c>
      <c r="O50" s="19">
        <f t="shared" si="9"/>
        <v>26.11111111111245</v>
      </c>
      <c r="P50" s="19">
        <f t="shared" si="9"/>
        <v>27.416666666665741</v>
      </c>
      <c r="Q50" s="20">
        <f t="shared" si="9"/>
        <v>22.71666666666772</v>
      </c>
      <c r="R50" s="20">
        <f t="shared" si="9"/>
        <v>24.805555555557</v>
      </c>
      <c r="S50" s="20">
        <f t="shared" si="9"/>
        <v>26.11111111111245</v>
      </c>
      <c r="T50" s="21">
        <f t="shared" si="9"/>
        <v>21.411111111112618</v>
      </c>
      <c r="U50" s="21">
        <f t="shared" si="8"/>
        <v>23.5</v>
      </c>
      <c r="V50" s="21">
        <f t="shared" si="8"/>
        <v>24.805555555557</v>
      </c>
      <c r="W50" s="22">
        <f t="shared" si="8"/>
        <v>20.105555555555753</v>
      </c>
      <c r="X50" s="22">
        <f t="shared" si="8"/>
        <v>22.1944444444431</v>
      </c>
      <c r="Y50" s="22">
        <f t="shared" si="8"/>
        <v>23.5</v>
      </c>
      <c r="Z50" s="23">
        <f t="shared" si="8"/>
        <v>18.799999999999031</v>
      </c>
      <c r="AA50" s="23">
        <f t="shared" si="8"/>
        <v>20.888888888888374</v>
      </c>
      <c r="AB50" s="23">
        <f t="shared" si="8"/>
        <v>22.1944444444431</v>
      </c>
      <c r="AC50" s="24">
        <f t="shared" si="8"/>
        <v>17.49444444444477</v>
      </c>
      <c r="AD50" s="24">
        <f t="shared" si="8"/>
        <v>19.583333333333243</v>
      </c>
      <c r="AE50" s="24">
        <f t="shared" si="8"/>
        <v>20.888888888888374</v>
      </c>
      <c r="AF50" s="25">
        <f t="shared" si="8"/>
        <v>16.188888888888428</v>
      </c>
      <c r="AG50" s="25">
        <f t="shared" si="8"/>
        <v>18.277777777778638</v>
      </c>
      <c r="AH50" s="25">
        <f t="shared" si="7"/>
        <v>19.583333333333243</v>
      </c>
      <c r="AI50" s="26">
        <f t="shared" si="7"/>
        <v>14.883333333333606</v>
      </c>
      <c r="AJ50" s="26">
        <f t="shared" si="7"/>
        <v>16.972222222221383</v>
      </c>
      <c r="AK50" s="26">
        <f t="shared" si="7"/>
        <v>18.277777777778638</v>
      </c>
    </row>
    <row r="51" spans="4:37" ht="20.100000000000001" customHeight="1">
      <c r="D51" s="27">
        <f t="shared" si="3"/>
        <v>0.13333333333333336</v>
      </c>
      <c r="E51" s="16">
        <f t="shared" si="9"/>
        <v>36.799999999998292</v>
      </c>
      <c r="F51" s="16">
        <f t="shared" si="9"/>
        <v>38.933333333333302</v>
      </c>
      <c r="G51" s="16">
        <f t="shared" si="9"/>
        <v>40.266666666663824</v>
      </c>
      <c r="H51" s="17">
        <f t="shared" si="9"/>
        <v>34.133333333334122</v>
      </c>
      <c r="I51" s="17">
        <f t="shared" si="9"/>
        <v>36.266666666666147</v>
      </c>
      <c r="J51" s="17">
        <f t="shared" si="9"/>
        <v>37.599999999999653</v>
      </c>
      <c r="K51" s="18">
        <f t="shared" si="9"/>
        <v>31.466666666665265</v>
      </c>
      <c r="L51" s="18">
        <f t="shared" si="9"/>
        <v>33.600000000001629</v>
      </c>
      <c r="M51" s="18">
        <f t="shared" si="9"/>
        <v>34.93333333333203</v>
      </c>
      <c r="N51" s="19">
        <f t="shared" si="9"/>
        <v>24.533333333332905</v>
      </c>
      <c r="O51" s="19">
        <f t="shared" si="9"/>
        <v>26.666666666668007</v>
      </c>
      <c r="P51" s="19">
        <f t="shared" si="9"/>
        <v>27.999999999999073</v>
      </c>
      <c r="Q51" s="20">
        <f t="shared" si="9"/>
        <v>23.200000000001054</v>
      </c>
      <c r="R51" s="20">
        <f t="shared" si="9"/>
        <v>25.333333333334778</v>
      </c>
      <c r="S51" s="20">
        <f t="shared" si="9"/>
        <v>26.666666666668007</v>
      </c>
      <c r="T51" s="21">
        <f t="shared" si="9"/>
        <v>21.866666666668173</v>
      </c>
      <c r="U51" s="21">
        <f t="shared" si="8"/>
        <v>24</v>
      </c>
      <c r="V51" s="21">
        <f t="shared" si="8"/>
        <v>25.333333333334778</v>
      </c>
      <c r="W51" s="22">
        <f t="shared" si="8"/>
        <v>20.53333333333353</v>
      </c>
      <c r="X51" s="22">
        <f t="shared" si="8"/>
        <v>22.666666666665321</v>
      </c>
      <c r="Y51" s="22">
        <f t="shared" si="8"/>
        <v>24</v>
      </c>
      <c r="Z51" s="23">
        <f t="shared" si="8"/>
        <v>19.199999999999029</v>
      </c>
      <c r="AA51" s="23">
        <f t="shared" si="8"/>
        <v>21.333333333332817</v>
      </c>
      <c r="AB51" s="23">
        <f t="shared" si="8"/>
        <v>22.666666666665321</v>
      </c>
      <c r="AC51" s="24">
        <f t="shared" si="8"/>
        <v>17.866666666666994</v>
      </c>
      <c r="AD51" s="24">
        <f t="shared" si="8"/>
        <v>19.999999999999911</v>
      </c>
      <c r="AE51" s="24">
        <f t="shared" si="8"/>
        <v>21.333333333332817</v>
      </c>
      <c r="AF51" s="25">
        <f t="shared" si="8"/>
        <v>16.533333333332873</v>
      </c>
      <c r="AG51" s="25">
        <f t="shared" si="8"/>
        <v>18.666666666667528</v>
      </c>
      <c r="AH51" s="25">
        <f t="shared" si="7"/>
        <v>19.999999999999911</v>
      </c>
      <c r="AI51" s="26">
        <f t="shared" si="7"/>
        <v>15.200000000000273</v>
      </c>
      <c r="AJ51" s="26">
        <f t="shared" si="7"/>
        <v>17.333333333332494</v>
      </c>
      <c r="AK51" s="26">
        <f t="shared" si="7"/>
        <v>18.666666666667528</v>
      </c>
    </row>
    <row r="52" spans="4:37" ht="20.100000000000001" customHeight="1">
      <c r="D52" s="27">
        <f t="shared" si="3"/>
        <v>0.13611111111111113</v>
      </c>
      <c r="E52" s="16">
        <f t="shared" si="9"/>
        <v>37.566666666664958</v>
      </c>
      <c r="F52" s="16">
        <f t="shared" si="9"/>
        <v>39.744444444444412</v>
      </c>
      <c r="G52" s="16">
        <f t="shared" si="9"/>
        <v>41.105555555552712</v>
      </c>
      <c r="H52" s="17">
        <f t="shared" si="9"/>
        <v>34.84444444444523</v>
      </c>
      <c r="I52" s="17">
        <f t="shared" si="9"/>
        <v>37.0222222222217</v>
      </c>
      <c r="J52" s="17">
        <f t="shared" ref="J52:Y69" si="10">J53-(J$363/360)</f>
        <v>38.383333333332985</v>
      </c>
      <c r="K52" s="18">
        <f t="shared" si="10"/>
        <v>32.12222222222082</v>
      </c>
      <c r="L52" s="18">
        <f t="shared" si="10"/>
        <v>34.300000000001631</v>
      </c>
      <c r="M52" s="18">
        <f t="shared" si="10"/>
        <v>35.661111111109804</v>
      </c>
      <c r="N52" s="19">
        <f t="shared" si="10"/>
        <v>25.044444444444018</v>
      </c>
      <c r="O52" s="19">
        <f t="shared" si="10"/>
        <v>27.222222222223564</v>
      </c>
      <c r="P52" s="19">
        <f t="shared" si="10"/>
        <v>28.583333333332405</v>
      </c>
      <c r="Q52" s="20">
        <f t="shared" si="10"/>
        <v>23.683333333334389</v>
      </c>
      <c r="R52" s="20">
        <f t="shared" si="10"/>
        <v>25.861111111112557</v>
      </c>
      <c r="S52" s="20">
        <f t="shared" si="10"/>
        <v>27.222222222223564</v>
      </c>
      <c r="T52" s="21">
        <f t="shared" si="10"/>
        <v>22.322222222223729</v>
      </c>
      <c r="U52" s="21">
        <f t="shared" si="8"/>
        <v>24.5</v>
      </c>
      <c r="V52" s="21">
        <f t="shared" si="8"/>
        <v>25.861111111112557</v>
      </c>
      <c r="W52" s="22">
        <f t="shared" si="8"/>
        <v>20.961111111111308</v>
      </c>
      <c r="X52" s="22">
        <f t="shared" si="8"/>
        <v>23.138888888887543</v>
      </c>
      <c r="Y52" s="22">
        <f t="shared" si="8"/>
        <v>24.5</v>
      </c>
      <c r="Z52" s="23">
        <f t="shared" si="8"/>
        <v>19.599999999999028</v>
      </c>
      <c r="AA52" s="23">
        <f t="shared" si="8"/>
        <v>21.77777777777726</v>
      </c>
      <c r="AB52" s="23">
        <f t="shared" si="8"/>
        <v>23.138888888887543</v>
      </c>
      <c r="AC52" s="24">
        <f t="shared" si="8"/>
        <v>18.238888888889218</v>
      </c>
      <c r="AD52" s="24">
        <f t="shared" si="8"/>
        <v>20.416666666666579</v>
      </c>
      <c r="AE52" s="24">
        <f t="shared" si="8"/>
        <v>21.77777777777726</v>
      </c>
      <c r="AF52" s="25">
        <f t="shared" si="8"/>
        <v>16.877777777777318</v>
      </c>
      <c r="AG52" s="25">
        <f t="shared" si="8"/>
        <v>19.055555555556417</v>
      </c>
      <c r="AH52" s="25">
        <f t="shared" si="7"/>
        <v>20.416666666666579</v>
      </c>
      <c r="AI52" s="26">
        <f t="shared" si="7"/>
        <v>15.516666666666939</v>
      </c>
      <c r="AJ52" s="26">
        <f t="shared" si="7"/>
        <v>17.694444444443604</v>
      </c>
      <c r="AK52" s="26">
        <f t="shared" si="7"/>
        <v>19.055555555556417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38.333333333331623</v>
      </c>
      <c r="F53" s="16">
        <f t="shared" si="11"/>
        <v>40.555555555555522</v>
      </c>
      <c r="G53" s="16">
        <f t="shared" si="11"/>
        <v>41.944444444441601</v>
      </c>
      <c r="H53" s="17">
        <f t="shared" si="11"/>
        <v>35.555555555556339</v>
      </c>
      <c r="I53" s="17">
        <f t="shared" si="11"/>
        <v>37.777777777777253</v>
      </c>
      <c r="J53" s="17">
        <f t="shared" si="10"/>
        <v>39.166666666666316</v>
      </c>
      <c r="K53" s="18">
        <f t="shared" si="10"/>
        <v>32.777777777776379</v>
      </c>
      <c r="L53" s="18">
        <f t="shared" si="10"/>
        <v>35.000000000001634</v>
      </c>
      <c r="M53" s="18">
        <f t="shared" si="10"/>
        <v>36.388888888887578</v>
      </c>
      <c r="N53" s="19">
        <f t="shared" si="10"/>
        <v>25.555555555555131</v>
      </c>
      <c r="O53" s="19">
        <f t="shared" si="10"/>
        <v>27.777777777779121</v>
      </c>
      <c r="P53" s="19">
        <f t="shared" si="10"/>
        <v>29.166666666665737</v>
      </c>
      <c r="Q53" s="20">
        <f t="shared" si="10"/>
        <v>24.166666666667723</v>
      </c>
      <c r="R53" s="20">
        <f t="shared" si="10"/>
        <v>26.388888888890335</v>
      </c>
      <c r="S53" s="20">
        <f t="shared" si="10"/>
        <v>27.777777777779121</v>
      </c>
      <c r="T53" s="21">
        <f t="shared" si="10"/>
        <v>22.777777777779285</v>
      </c>
      <c r="U53" s="21">
        <f t="shared" si="8"/>
        <v>25</v>
      </c>
      <c r="V53" s="21">
        <f t="shared" si="8"/>
        <v>26.388888888890335</v>
      </c>
      <c r="W53" s="22">
        <f t="shared" si="8"/>
        <v>21.388888888889085</v>
      </c>
      <c r="X53" s="22">
        <f t="shared" si="8"/>
        <v>23.611111111109764</v>
      </c>
      <c r="Y53" s="22">
        <f t="shared" si="8"/>
        <v>25</v>
      </c>
      <c r="Z53" s="23">
        <f t="shared" si="8"/>
        <v>19.999999999999027</v>
      </c>
      <c r="AA53" s="23">
        <f t="shared" si="8"/>
        <v>22.222222222221703</v>
      </c>
      <c r="AB53" s="23">
        <f t="shared" si="8"/>
        <v>23.611111111109764</v>
      </c>
      <c r="AC53" s="24">
        <f t="shared" si="8"/>
        <v>18.611111111111441</v>
      </c>
      <c r="AD53" s="24">
        <f t="shared" si="8"/>
        <v>20.833333333333247</v>
      </c>
      <c r="AE53" s="24">
        <f t="shared" si="8"/>
        <v>22.222222222221703</v>
      </c>
      <c r="AF53" s="25">
        <f t="shared" si="8"/>
        <v>17.222222222221763</v>
      </c>
      <c r="AG53" s="25">
        <f t="shared" si="8"/>
        <v>19.444444444445306</v>
      </c>
      <c r="AH53" s="25">
        <f t="shared" si="7"/>
        <v>20.833333333333247</v>
      </c>
      <c r="AI53" s="26">
        <f t="shared" si="7"/>
        <v>15.833333333333606</v>
      </c>
      <c r="AJ53" s="26">
        <f t="shared" si="7"/>
        <v>18.055555555554715</v>
      </c>
      <c r="AK53" s="26">
        <f t="shared" si="7"/>
        <v>19.444444444445306</v>
      </c>
    </row>
    <row r="54" spans="4:37" ht="20.100000000000001" customHeight="1">
      <c r="D54" s="27">
        <f t="shared" si="3"/>
        <v>0.14166666666666666</v>
      </c>
      <c r="E54" s="16">
        <f t="shared" si="11"/>
        <v>39.099999999998289</v>
      </c>
      <c r="F54" s="16">
        <f t="shared" si="11"/>
        <v>41.366666666666632</v>
      </c>
      <c r="G54" s="16">
        <f t="shared" si="11"/>
        <v>42.783333333330489</v>
      </c>
      <c r="H54" s="17">
        <f t="shared" si="11"/>
        <v>36.266666666667447</v>
      </c>
      <c r="I54" s="17">
        <f t="shared" si="11"/>
        <v>38.533333333332806</v>
      </c>
      <c r="J54" s="17">
        <f t="shared" si="10"/>
        <v>39.949999999999648</v>
      </c>
      <c r="K54" s="18">
        <f t="shared" si="10"/>
        <v>33.433333333331937</v>
      </c>
      <c r="L54" s="18">
        <f t="shared" si="10"/>
        <v>35.700000000001637</v>
      </c>
      <c r="M54" s="18">
        <f t="shared" si="10"/>
        <v>37.116666666665353</v>
      </c>
      <c r="N54" s="19">
        <f t="shared" si="10"/>
        <v>26.066666666666244</v>
      </c>
      <c r="O54" s="19">
        <f t="shared" si="10"/>
        <v>28.333333333334679</v>
      </c>
      <c r="P54" s="19">
        <f t="shared" si="10"/>
        <v>29.749999999999069</v>
      </c>
      <c r="Q54" s="20">
        <f t="shared" si="10"/>
        <v>24.650000000001057</v>
      </c>
      <c r="R54" s="20">
        <f t="shared" si="10"/>
        <v>26.916666666668114</v>
      </c>
      <c r="S54" s="20">
        <f t="shared" si="10"/>
        <v>28.333333333334679</v>
      </c>
      <c r="T54" s="21">
        <f t="shared" si="10"/>
        <v>23.233333333334841</v>
      </c>
      <c r="U54" s="21">
        <f t="shared" si="8"/>
        <v>25.5</v>
      </c>
      <c r="V54" s="21">
        <f t="shared" si="8"/>
        <v>26.916666666668114</v>
      </c>
      <c r="W54" s="22">
        <f t="shared" si="8"/>
        <v>21.816666666666862</v>
      </c>
      <c r="X54" s="22">
        <f t="shared" si="8"/>
        <v>24.083333333331986</v>
      </c>
      <c r="Y54" s="22">
        <f t="shared" si="8"/>
        <v>25.5</v>
      </c>
      <c r="Z54" s="23">
        <f t="shared" si="8"/>
        <v>20.399999999999025</v>
      </c>
      <c r="AA54" s="23">
        <f t="shared" si="8"/>
        <v>22.666666666666146</v>
      </c>
      <c r="AB54" s="23">
        <f t="shared" si="8"/>
        <v>24.083333333331986</v>
      </c>
      <c r="AC54" s="24">
        <f t="shared" si="8"/>
        <v>18.983333333333665</v>
      </c>
      <c r="AD54" s="24">
        <f t="shared" si="8"/>
        <v>21.249999999999915</v>
      </c>
      <c r="AE54" s="24">
        <f t="shared" si="8"/>
        <v>22.666666666666146</v>
      </c>
      <c r="AF54" s="25">
        <f t="shared" si="8"/>
        <v>17.566666666666208</v>
      </c>
      <c r="AG54" s="25">
        <f t="shared" si="8"/>
        <v>19.833333333334195</v>
      </c>
      <c r="AH54" s="25">
        <f t="shared" si="7"/>
        <v>21.249999999999915</v>
      </c>
      <c r="AI54" s="26">
        <f t="shared" si="7"/>
        <v>16.150000000000272</v>
      </c>
      <c r="AJ54" s="26">
        <f t="shared" si="7"/>
        <v>18.416666666665826</v>
      </c>
      <c r="AK54" s="26">
        <f t="shared" si="7"/>
        <v>19.833333333334195</v>
      </c>
    </row>
    <row r="55" spans="4:37" ht="20.100000000000001" customHeight="1">
      <c r="D55" s="27">
        <f t="shared" si="3"/>
        <v>0.14444444444444443</v>
      </c>
      <c r="E55" s="16">
        <f t="shared" si="11"/>
        <v>39.866666666664955</v>
      </c>
      <c r="F55" s="16">
        <f t="shared" si="11"/>
        <v>42.177777777777742</v>
      </c>
      <c r="G55" s="16">
        <f t="shared" si="11"/>
        <v>43.622222222219378</v>
      </c>
      <c r="H55" s="17">
        <f t="shared" si="11"/>
        <v>36.977777777778556</v>
      </c>
      <c r="I55" s="17">
        <f t="shared" si="11"/>
        <v>39.288888888888359</v>
      </c>
      <c r="J55" s="17">
        <f t="shared" si="10"/>
        <v>40.733333333332979</v>
      </c>
      <c r="K55" s="18">
        <f t="shared" si="10"/>
        <v>34.088888888887496</v>
      </c>
      <c r="L55" s="18">
        <f t="shared" si="10"/>
        <v>36.40000000000164</v>
      </c>
      <c r="M55" s="18">
        <f t="shared" si="10"/>
        <v>37.844444444443127</v>
      </c>
      <c r="N55" s="19">
        <f t="shared" si="10"/>
        <v>26.577777777777357</v>
      </c>
      <c r="O55" s="19">
        <f t="shared" si="10"/>
        <v>28.888888888890236</v>
      </c>
      <c r="P55" s="19">
        <f t="shared" si="10"/>
        <v>30.333333333332401</v>
      </c>
      <c r="Q55" s="20">
        <f t="shared" si="10"/>
        <v>25.133333333334392</v>
      </c>
      <c r="R55" s="20">
        <f t="shared" si="10"/>
        <v>27.444444444445892</v>
      </c>
      <c r="S55" s="20">
        <f t="shared" si="10"/>
        <v>28.888888888890236</v>
      </c>
      <c r="T55" s="21">
        <f t="shared" si="10"/>
        <v>23.688888888890396</v>
      </c>
      <c r="U55" s="21">
        <f t="shared" si="8"/>
        <v>26</v>
      </c>
      <c r="V55" s="21">
        <f t="shared" si="8"/>
        <v>27.444444444445892</v>
      </c>
      <c r="W55" s="22">
        <f t="shared" si="8"/>
        <v>22.244444444444639</v>
      </c>
      <c r="X55" s="22">
        <f t="shared" si="8"/>
        <v>24.555555555554207</v>
      </c>
      <c r="Y55" s="22">
        <f t="shared" si="8"/>
        <v>26</v>
      </c>
      <c r="Z55" s="23">
        <f t="shared" si="8"/>
        <v>20.799999999999024</v>
      </c>
      <c r="AA55" s="23">
        <f t="shared" ref="AA55:AK85" si="12">AA56-(AA$363/360)</f>
        <v>23.111111111110588</v>
      </c>
      <c r="AB55" s="23">
        <f t="shared" si="12"/>
        <v>24.555555555554207</v>
      </c>
      <c r="AC55" s="24">
        <f t="shared" si="12"/>
        <v>19.355555555555888</v>
      </c>
      <c r="AD55" s="24">
        <f t="shared" si="12"/>
        <v>21.666666666666583</v>
      </c>
      <c r="AE55" s="24">
        <f t="shared" si="12"/>
        <v>23.111111111110588</v>
      </c>
      <c r="AF55" s="25">
        <f t="shared" si="12"/>
        <v>17.911111111110653</v>
      </c>
      <c r="AG55" s="25">
        <f t="shared" si="12"/>
        <v>20.222222222223085</v>
      </c>
      <c r="AH55" s="25">
        <f t="shared" si="7"/>
        <v>21.666666666666583</v>
      </c>
      <c r="AI55" s="26">
        <f t="shared" si="7"/>
        <v>16.466666666666939</v>
      </c>
      <c r="AJ55" s="26">
        <f t="shared" si="7"/>
        <v>18.777777777776937</v>
      </c>
      <c r="AK55" s="26">
        <f t="shared" si="7"/>
        <v>20.222222222223085</v>
      </c>
    </row>
    <row r="56" spans="4:37" ht="20.100000000000001" customHeight="1">
      <c r="D56" s="27">
        <f t="shared" si="3"/>
        <v>0.1472222222222222</v>
      </c>
      <c r="E56" s="16">
        <f t="shared" si="11"/>
        <v>40.63333333333162</v>
      </c>
      <c r="F56" s="16">
        <f t="shared" si="11"/>
        <v>42.988888888888852</v>
      </c>
      <c r="G56" s="16">
        <f t="shared" si="11"/>
        <v>44.461111111108266</v>
      </c>
      <c r="H56" s="17">
        <f t="shared" si="11"/>
        <v>37.688888888889664</v>
      </c>
      <c r="I56" s="17">
        <f t="shared" si="11"/>
        <v>40.044444444443911</v>
      </c>
      <c r="J56" s="17">
        <f t="shared" si="10"/>
        <v>41.51666666666631</v>
      </c>
      <c r="K56" s="18">
        <f t="shared" si="10"/>
        <v>34.744444444443054</v>
      </c>
      <c r="L56" s="18">
        <f t="shared" si="10"/>
        <v>37.100000000001643</v>
      </c>
      <c r="M56" s="18">
        <f t="shared" si="10"/>
        <v>38.572222222220901</v>
      </c>
      <c r="N56" s="19">
        <f t="shared" si="10"/>
        <v>27.088888888888469</v>
      </c>
      <c r="O56" s="19">
        <f t="shared" si="10"/>
        <v>29.444444444445793</v>
      </c>
      <c r="P56" s="19">
        <f t="shared" si="10"/>
        <v>30.916666666665733</v>
      </c>
      <c r="Q56" s="20">
        <f t="shared" si="10"/>
        <v>25.616666666667726</v>
      </c>
      <c r="R56" s="20">
        <f t="shared" si="10"/>
        <v>27.972222222223671</v>
      </c>
      <c r="S56" s="20">
        <f t="shared" si="10"/>
        <v>29.444444444445793</v>
      </c>
      <c r="T56" s="21">
        <f t="shared" si="10"/>
        <v>24.144444444445952</v>
      </c>
      <c r="U56" s="21">
        <f t="shared" si="10"/>
        <v>26.5</v>
      </c>
      <c r="V56" s="21">
        <f t="shared" si="10"/>
        <v>27.972222222223671</v>
      </c>
      <c r="W56" s="22">
        <f t="shared" si="10"/>
        <v>22.672222222222416</v>
      </c>
      <c r="X56" s="22">
        <f t="shared" si="10"/>
        <v>25.027777777776429</v>
      </c>
      <c r="Y56" s="22">
        <f t="shared" si="10"/>
        <v>26.5</v>
      </c>
      <c r="Z56" s="23">
        <f t="shared" ref="Z56:Z68" si="13">Z57-(Z$363/360)</f>
        <v>21.199999999999022</v>
      </c>
      <c r="AA56" s="23">
        <f t="shared" si="12"/>
        <v>23.555555555555031</v>
      </c>
      <c r="AB56" s="23">
        <f t="shared" si="12"/>
        <v>25.027777777776429</v>
      </c>
      <c r="AC56" s="24">
        <f t="shared" si="12"/>
        <v>19.727777777778112</v>
      </c>
      <c r="AD56" s="24">
        <f t="shared" si="12"/>
        <v>22.08333333333325</v>
      </c>
      <c r="AE56" s="24">
        <f t="shared" si="12"/>
        <v>23.555555555555031</v>
      </c>
      <c r="AF56" s="25">
        <f t="shared" si="12"/>
        <v>18.255555555555098</v>
      </c>
      <c r="AG56" s="25">
        <f t="shared" si="12"/>
        <v>20.611111111111974</v>
      </c>
      <c r="AH56" s="25">
        <f t="shared" si="7"/>
        <v>22.08333333333325</v>
      </c>
      <c r="AI56" s="26">
        <f t="shared" si="7"/>
        <v>16.783333333333605</v>
      </c>
      <c r="AJ56" s="26">
        <f t="shared" si="7"/>
        <v>19.138888888888047</v>
      </c>
      <c r="AK56" s="26">
        <f t="shared" si="7"/>
        <v>20.611111111111974</v>
      </c>
    </row>
    <row r="57" spans="4:37" ht="20.100000000000001" customHeight="1">
      <c r="D57" s="27">
        <f t="shared" si="3"/>
        <v>0.14999999999999997</v>
      </c>
      <c r="E57" s="16">
        <f t="shared" si="11"/>
        <v>41.399999999998286</v>
      </c>
      <c r="F57" s="16">
        <f t="shared" si="11"/>
        <v>43.799999999999962</v>
      </c>
      <c r="G57" s="16">
        <f t="shared" si="11"/>
        <v>45.299999999997155</v>
      </c>
      <c r="H57" s="17">
        <f t="shared" si="11"/>
        <v>38.400000000000773</v>
      </c>
      <c r="I57" s="17">
        <f t="shared" si="11"/>
        <v>40.799999999999464</v>
      </c>
      <c r="J57" s="17">
        <f t="shared" si="10"/>
        <v>42.299999999999642</v>
      </c>
      <c r="K57" s="18">
        <f t="shared" si="10"/>
        <v>35.399999999998613</v>
      </c>
      <c r="L57" s="18">
        <f t="shared" si="10"/>
        <v>37.800000000001646</v>
      </c>
      <c r="M57" s="18">
        <f t="shared" si="10"/>
        <v>39.299999999998676</v>
      </c>
      <c r="N57" s="19">
        <f t="shared" si="10"/>
        <v>27.599999999999582</v>
      </c>
      <c r="O57" s="19">
        <f t="shared" si="10"/>
        <v>30.00000000000135</v>
      </c>
      <c r="P57" s="19">
        <f t="shared" si="10"/>
        <v>31.499999999999066</v>
      </c>
      <c r="Q57" s="20">
        <f t="shared" si="10"/>
        <v>26.10000000000106</v>
      </c>
      <c r="R57" s="20">
        <f t="shared" si="10"/>
        <v>28.50000000000145</v>
      </c>
      <c r="S57" s="20">
        <f t="shared" si="10"/>
        <v>30.00000000000135</v>
      </c>
      <c r="T57" s="21">
        <f t="shared" si="10"/>
        <v>24.600000000001508</v>
      </c>
      <c r="U57" s="21">
        <f t="shared" si="10"/>
        <v>27</v>
      </c>
      <c r="V57" s="21">
        <f t="shared" si="10"/>
        <v>28.50000000000145</v>
      </c>
      <c r="W57" s="22">
        <f t="shared" si="10"/>
        <v>23.100000000000193</v>
      </c>
      <c r="X57" s="22">
        <f t="shared" si="10"/>
        <v>25.49999999999865</v>
      </c>
      <c r="Y57" s="22">
        <f t="shared" si="10"/>
        <v>27</v>
      </c>
      <c r="Z57" s="23">
        <f t="shared" si="13"/>
        <v>21.599999999999021</v>
      </c>
      <c r="AA57" s="23">
        <f t="shared" si="12"/>
        <v>23.999999999999474</v>
      </c>
      <c r="AB57" s="23">
        <f t="shared" si="12"/>
        <v>25.49999999999865</v>
      </c>
      <c r="AC57" s="24">
        <f t="shared" si="12"/>
        <v>20.100000000000335</v>
      </c>
      <c r="AD57" s="24">
        <f t="shared" si="12"/>
        <v>22.499999999999918</v>
      </c>
      <c r="AE57" s="24">
        <f t="shared" si="12"/>
        <v>23.999999999999474</v>
      </c>
      <c r="AF57" s="25">
        <f t="shared" si="12"/>
        <v>18.599999999999543</v>
      </c>
      <c r="AG57" s="25">
        <f t="shared" si="12"/>
        <v>21.000000000000863</v>
      </c>
      <c r="AH57" s="25">
        <f t="shared" si="7"/>
        <v>22.499999999999918</v>
      </c>
      <c r="AI57" s="26">
        <f t="shared" si="7"/>
        <v>17.100000000000271</v>
      </c>
      <c r="AJ57" s="26">
        <f t="shared" si="7"/>
        <v>19.499999999999158</v>
      </c>
      <c r="AK57" s="26">
        <f t="shared" si="7"/>
        <v>21.000000000000863</v>
      </c>
    </row>
    <row r="58" spans="4:37" ht="20.100000000000001" customHeight="1">
      <c r="D58" s="27">
        <f t="shared" si="3"/>
        <v>0.15277777777777773</v>
      </c>
      <c r="E58" s="16">
        <f t="shared" si="11"/>
        <v>42.166666666664952</v>
      </c>
      <c r="F58" s="16">
        <f t="shared" si="11"/>
        <v>44.611111111111072</v>
      </c>
      <c r="G58" s="16">
        <f t="shared" si="11"/>
        <v>46.138888888886044</v>
      </c>
      <c r="H58" s="17">
        <f t="shared" si="11"/>
        <v>39.111111111111882</v>
      </c>
      <c r="I58" s="17">
        <f t="shared" si="11"/>
        <v>41.555555555555017</v>
      </c>
      <c r="J58" s="17">
        <f t="shared" si="10"/>
        <v>43.083333333332973</v>
      </c>
      <c r="K58" s="18">
        <f t="shared" si="10"/>
        <v>36.055555555554172</v>
      </c>
      <c r="L58" s="18">
        <f t="shared" si="10"/>
        <v>38.500000000001648</v>
      </c>
      <c r="M58" s="18">
        <f t="shared" si="10"/>
        <v>40.02777777777645</v>
      </c>
      <c r="N58" s="19">
        <f t="shared" si="10"/>
        <v>28.111111111110695</v>
      </c>
      <c r="O58" s="19">
        <f t="shared" si="10"/>
        <v>30.555555555556907</v>
      </c>
      <c r="P58" s="19">
        <f t="shared" si="10"/>
        <v>32.083333333332398</v>
      </c>
      <c r="Q58" s="20">
        <f t="shared" si="10"/>
        <v>26.583333333334394</v>
      </c>
      <c r="R58" s="20">
        <f t="shared" si="10"/>
        <v>29.027777777779228</v>
      </c>
      <c r="S58" s="20">
        <f t="shared" si="10"/>
        <v>30.555555555556907</v>
      </c>
      <c r="T58" s="21">
        <f t="shared" si="10"/>
        <v>25.055555555557063</v>
      </c>
      <c r="U58" s="21">
        <f t="shared" si="10"/>
        <v>27.5</v>
      </c>
      <c r="V58" s="21">
        <f t="shared" si="10"/>
        <v>29.027777777779228</v>
      </c>
      <c r="W58" s="22">
        <f t="shared" si="10"/>
        <v>23.52777777777797</v>
      </c>
      <c r="X58" s="22">
        <f t="shared" si="10"/>
        <v>25.972222222220871</v>
      </c>
      <c r="Y58" s="22">
        <f t="shared" si="10"/>
        <v>27.5</v>
      </c>
      <c r="Z58" s="23">
        <f t="shared" si="13"/>
        <v>21.999999999999019</v>
      </c>
      <c r="AA58" s="23">
        <f t="shared" si="12"/>
        <v>24.444444444443917</v>
      </c>
      <c r="AB58" s="23">
        <f t="shared" si="12"/>
        <v>25.972222222220871</v>
      </c>
      <c r="AC58" s="24">
        <f t="shared" si="12"/>
        <v>20.472222222222559</v>
      </c>
      <c r="AD58" s="24">
        <f t="shared" si="12"/>
        <v>22.916666666666586</v>
      </c>
      <c r="AE58" s="24">
        <f t="shared" si="12"/>
        <v>24.444444444443917</v>
      </c>
      <c r="AF58" s="25">
        <f t="shared" si="12"/>
        <v>18.944444444443988</v>
      </c>
      <c r="AG58" s="25">
        <f t="shared" si="12"/>
        <v>21.388888888889753</v>
      </c>
      <c r="AH58" s="25">
        <f t="shared" si="7"/>
        <v>22.916666666666586</v>
      </c>
      <c r="AI58" s="26">
        <f t="shared" si="7"/>
        <v>17.416666666666938</v>
      </c>
      <c r="AJ58" s="26">
        <f t="shared" si="7"/>
        <v>19.861111111110269</v>
      </c>
      <c r="AK58" s="26">
        <f t="shared" si="7"/>
        <v>21.388888888889753</v>
      </c>
    </row>
    <row r="59" spans="4:37" ht="20.100000000000001" customHeight="1">
      <c r="D59" s="27">
        <f t="shared" si="3"/>
        <v>0.1555555555555555</v>
      </c>
      <c r="E59" s="16">
        <f t="shared" si="11"/>
        <v>42.933333333331618</v>
      </c>
      <c r="F59" s="16">
        <f t="shared" si="11"/>
        <v>45.422222222222182</v>
      </c>
      <c r="G59" s="16">
        <f t="shared" si="11"/>
        <v>46.977777777774932</v>
      </c>
      <c r="H59" s="17">
        <f t="shared" si="11"/>
        <v>39.82222222222299</v>
      </c>
      <c r="I59" s="17">
        <f t="shared" si="11"/>
        <v>42.31111111111057</v>
      </c>
      <c r="J59" s="17">
        <f t="shared" si="10"/>
        <v>43.866666666666305</v>
      </c>
      <c r="K59" s="18">
        <f t="shared" si="10"/>
        <v>36.71111111110973</v>
      </c>
      <c r="L59" s="18">
        <f t="shared" si="10"/>
        <v>39.200000000001651</v>
      </c>
      <c r="M59" s="18">
        <f t="shared" si="10"/>
        <v>40.755555555554224</v>
      </c>
      <c r="N59" s="19">
        <f t="shared" si="10"/>
        <v>28.622222222221808</v>
      </c>
      <c r="O59" s="19">
        <f t="shared" si="10"/>
        <v>31.111111111112464</v>
      </c>
      <c r="P59" s="19">
        <f t="shared" si="10"/>
        <v>32.666666666665733</v>
      </c>
      <c r="Q59" s="20">
        <f t="shared" si="10"/>
        <v>27.066666666667729</v>
      </c>
      <c r="R59" s="20">
        <f t="shared" si="10"/>
        <v>29.555555555557007</v>
      </c>
      <c r="S59" s="20">
        <f t="shared" si="10"/>
        <v>31.111111111112464</v>
      </c>
      <c r="T59" s="21">
        <f t="shared" si="10"/>
        <v>25.511111111112619</v>
      </c>
      <c r="U59" s="21">
        <f t="shared" si="10"/>
        <v>28</v>
      </c>
      <c r="V59" s="21">
        <f t="shared" si="10"/>
        <v>29.555555555557007</v>
      </c>
      <c r="W59" s="22">
        <f t="shared" si="10"/>
        <v>23.955555555555748</v>
      </c>
      <c r="X59" s="22">
        <f t="shared" si="10"/>
        <v>26.444444444443093</v>
      </c>
      <c r="Y59" s="22">
        <f t="shared" si="10"/>
        <v>28</v>
      </c>
      <c r="Z59" s="23">
        <f t="shared" si="13"/>
        <v>22.399999999999018</v>
      </c>
      <c r="AA59" s="23">
        <f t="shared" si="12"/>
        <v>24.88888888888836</v>
      </c>
      <c r="AB59" s="23">
        <f t="shared" si="12"/>
        <v>26.444444444443093</v>
      </c>
      <c r="AC59" s="24">
        <f t="shared" si="12"/>
        <v>20.844444444444783</v>
      </c>
      <c r="AD59" s="24">
        <f t="shared" si="12"/>
        <v>23.333333333333254</v>
      </c>
      <c r="AE59" s="24">
        <f t="shared" si="12"/>
        <v>24.88888888888836</v>
      </c>
      <c r="AF59" s="25">
        <f t="shared" si="12"/>
        <v>19.288888888888433</v>
      </c>
      <c r="AG59" s="25">
        <f t="shared" si="12"/>
        <v>21.777777777778642</v>
      </c>
      <c r="AH59" s="25">
        <f t="shared" si="7"/>
        <v>23.333333333333254</v>
      </c>
      <c r="AI59" s="26">
        <f t="shared" si="7"/>
        <v>17.733333333333604</v>
      </c>
      <c r="AJ59" s="26">
        <f t="shared" si="7"/>
        <v>20.222222222221379</v>
      </c>
      <c r="AK59" s="26">
        <f t="shared" si="7"/>
        <v>21.777777777778642</v>
      </c>
    </row>
    <row r="60" spans="4:37" ht="20.100000000000001" customHeight="1">
      <c r="D60" s="27">
        <f t="shared" si="3"/>
        <v>0.15833333333333327</v>
      </c>
      <c r="E60" s="16">
        <f t="shared" si="11"/>
        <v>43.699999999998283</v>
      </c>
      <c r="F60" s="16">
        <f t="shared" si="11"/>
        <v>46.233333333333292</v>
      </c>
      <c r="G60" s="16">
        <f t="shared" si="11"/>
        <v>47.816666666663821</v>
      </c>
      <c r="H60" s="17">
        <f t="shared" si="11"/>
        <v>40.533333333334099</v>
      </c>
      <c r="I60" s="17">
        <f t="shared" si="11"/>
        <v>43.066666666666123</v>
      </c>
      <c r="J60" s="17">
        <f t="shared" si="10"/>
        <v>44.649999999999636</v>
      </c>
      <c r="K60" s="18">
        <f t="shared" si="10"/>
        <v>37.366666666665289</v>
      </c>
      <c r="L60" s="18">
        <f t="shared" si="10"/>
        <v>39.900000000001654</v>
      </c>
      <c r="M60" s="18">
        <f t="shared" si="10"/>
        <v>41.483333333331998</v>
      </c>
      <c r="N60" s="19">
        <f t="shared" si="10"/>
        <v>29.133333333332921</v>
      </c>
      <c r="O60" s="19">
        <f t="shared" si="10"/>
        <v>31.666666666668021</v>
      </c>
      <c r="P60" s="19">
        <f t="shared" si="10"/>
        <v>33.249999999999069</v>
      </c>
      <c r="Q60" s="20">
        <f t="shared" si="10"/>
        <v>27.550000000001063</v>
      </c>
      <c r="R60" s="20">
        <f t="shared" si="10"/>
        <v>30.083333333334785</v>
      </c>
      <c r="S60" s="20">
        <f t="shared" si="10"/>
        <v>31.666666666668021</v>
      </c>
      <c r="T60" s="21">
        <f t="shared" si="10"/>
        <v>25.966666666668175</v>
      </c>
      <c r="U60" s="21">
        <f t="shared" si="10"/>
        <v>28.5</v>
      </c>
      <c r="V60" s="21">
        <f t="shared" si="10"/>
        <v>30.083333333334785</v>
      </c>
      <c r="W60" s="22">
        <f t="shared" si="10"/>
        <v>24.383333333333525</v>
      </c>
      <c r="X60" s="22">
        <f t="shared" si="10"/>
        <v>26.916666666665314</v>
      </c>
      <c r="Y60" s="22">
        <f t="shared" si="10"/>
        <v>28.5</v>
      </c>
      <c r="Z60" s="23">
        <f t="shared" si="13"/>
        <v>22.799999999999017</v>
      </c>
      <c r="AA60" s="23">
        <f t="shared" si="12"/>
        <v>25.333333333332803</v>
      </c>
      <c r="AB60" s="23">
        <f t="shared" si="12"/>
        <v>26.916666666665314</v>
      </c>
      <c r="AC60" s="24">
        <f t="shared" si="12"/>
        <v>21.216666666667006</v>
      </c>
      <c r="AD60" s="24">
        <f t="shared" si="12"/>
        <v>23.749999999999922</v>
      </c>
      <c r="AE60" s="24">
        <f t="shared" si="12"/>
        <v>25.333333333332803</v>
      </c>
      <c r="AF60" s="25">
        <f t="shared" si="12"/>
        <v>19.633333333332878</v>
      </c>
      <c r="AG60" s="25">
        <f t="shared" si="12"/>
        <v>22.166666666667531</v>
      </c>
      <c r="AH60" s="25">
        <f t="shared" si="7"/>
        <v>23.749999999999922</v>
      </c>
      <c r="AI60" s="26">
        <f t="shared" si="7"/>
        <v>18.050000000000271</v>
      </c>
      <c r="AJ60" s="26">
        <f t="shared" si="7"/>
        <v>20.58333333333249</v>
      </c>
      <c r="AK60" s="26">
        <f t="shared" si="7"/>
        <v>22.166666666667531</v>
      </c>
    </row>
    <row r="61" spans="4:37" ht="20.100000000000001" customHeight="1">
      <c r="D61" s="27">
        <f t="shared" si="3"/>
        <v>0.16111111111111104</v>
      </c>
      <c r="E61" s="16">
        <f t="shared" si="11"/>
        <v>44.466666666664949</v>
      </c>
      <c r="F61" s="16">
        <f t="shared" si="11"/>
        <v>47.044444444444402</v>
      </c>
      <c r="G61" s="16">
        <f t="shared" si="11"/>
        <v>48.655555555552709</v>
      </c>
      <c r="H61" s="17">
        <f t="shared" si="11"/>
        <v>41.244444444445207</v>
      </c>
      <c r="I61" s="17">
        <f t="shared" si="11"/>
        <v>43.822222222221676</v>
      </c>
      <c r="J61" s="17">
        <f t="shared" si="10"/>
        <v>45.433333333332968</v>
      </c>
      <c r="K61" s="18">
        <f t="shared" si="10"/>
        <v>38.022222222220847</v>
      </c>
      <c r="L61" s="18">
        <f t="shared" si="10"/>
        <v>40.600000000001657</v>
      </c>
      <c r="M61" s="18">
        <f t="shared" si="10"/>
        <v>42.211111111109773</v>
      </c>
      <c r="N61" s="19">
        <f t="shared" si="10"/>
        <v>29.644444444444034</v>
      </c>
      <c r="O61" s="19">
        <f t="shared" si="10"/>
        <v>32.222222222223579</v>
      </c>
      <c r="P61" s="19">
        <f t="shared" si="10"/>
        <v>33.833333333332405</v>
      </c>
      <c r="Q61" s="20">
        <f t="shared" si="10"/>
        <v>28.033333333334397</v>
      </c>
      <c r="R61" s="20">
        <f t="shared" si="10"/>
        <v>30.611111111112564</v>
      </c>
      <c r="S61" s="20">
        <f t="shared" si="10"/>
        <v>32.222222222223579</v>
      </c>
      <c r="T61" s="21">
        <f t="shared" si="10"/>
        <v>26.422222222223731</v>
      </c>
      <c r="U61" s="21">
        <f t="shared" si="10"/>
        <v>29</v>
      </c>
      <c r="V61" s="21">
        <f t="shared" si="10"/>
        <v>30.611111111112564</v>
      </c>
      <c r="W61" s="22">
        <f t="shared" si="10"/>
        <v>24.811111111111302</v>
      </c>
      <c r="X61" s="22">
        <f t="shared" si="10"/>
        <v>27.388888888887536</v>
      </c>
      <c r="Y61" s="22">
        <f t="shared" si="10"/>
        <v>29</v>
      </c>
      <c r="Z61" s="23">
        <f t="shared" si="13"/>
        <v>23.199999999999015</v>
      </c>
      <c r="AA61" s="23">
        <f t="shared" si="12"/>
        <v>25.777777777777246</v>
      </c>
      <c r="AB61" s="23">
        <f t="shared" si="12"/>
        <v>27.388888888887536</v>
      </c>
      <c r="AC61" s="24">
        <f t="shared" si="12"/>
        <v>21.58888888888923</v>
      </c>
      <c r="AD61" s="24">
        <f t="shared" si="12"/>
        <v>24.16666666666659</v>
      </c>
      <c r="AE61" s="24">
        <f t="shared" si="12"/>
        <v>25.777777777777246</v>
      </c>
      <c r="AF61" s="25">
        <f t="shared" si="12"/>
        <v>19.977777777777323</v>
      </c>
      <c r="AG61" s="25">
        <f t="shared" si="12"/>
        <v>22.55555555555642</v>
      </c>
      <c r="AH61" s="25">
        <f t="shared" si="7"/>
        <v>24.16666666666659</v>
      </c>
      <c r="AI61" s="26">
        <f t="shared" si="7"/>
        <v>18.366666666666937</v>
      </c>
      <c r="AJ61" s="26">
        <f t="shared" si="7"/>
        <v>20.944444444443601</v>
      </c>
      <c r="AK61" s="26">
        <f t="shared" si="7"/>
        <v>22.55555555555642</v>
      </c>
    </row>
    <row r="62" spans="4:37" ht="20.100000000000001" customHeight="1">
      <c r="D62" s="27">
        <f t="shared" si="3"/>
        <v>0.16388888888888881</v>
      </c>
      <c r="E62" s="16">
        <f t="shared" si="11"/>
        <v>45.233333333331615</v>
      </c>
      <c r="F62" s="16">
        <f t="shared" si="11"/>
        <v>47.855555555555512</v>
      </c>
      <c r="G62" s="16">
        <f t="shared" si="11"/>
        <v>49.494444444441598</v>
      </c>
      <c r="H62" s="17">
        <f t="shared" si="11"/>
        <v>41.955555555556316</v>
      </c>
      <c r="I62" s="17">
        <f t="shared" si="11"/>
        <v>44.577777777777229</v>
      </c>
      <c r="J62" s="17">
        <f t="shared" si="10"/>
        <v>46.216666666666299</v>
      </c>
      <c r="K62" s="18">
        <f t="shared" si="10"/>
        <v>38.677777777776406</v>
      </c>
      <c r="L62" s="18">
        <f t="shared" si="10"/>
        <v>41.30000000000166</v>
      </c>
      <c r="M62" s="18">
        <f t="shared" si="10"/>
        <v>42.938888888887547</v>
      </c>
      <c r="N62" s="19">
        <f t="shared" si="10"/>
        <v>30.155555555555146</v>
      </c>
      <c r="O62" s="19">
        <f t="shared" si="10"/>
        <v>32.777777777779136</v>
      </c>
      <c r="P62" s="19">
        <f t="shared" si="10"/>
        <v>34.416666666665741</v>
      </c>
      <c r="Q62" s="20">
        <f t="shared" si="10"/>
        <v>28.516666666667732</v>
      </c>
      <c r="R62" s="20">
        <f t="shared" si="10"/>
        <v>31.138888888890342</v>
      </c>
      <c r="S62" s="20">
        <f t="shared" si="10"/>
        <v>32.777777777779136</v>
      </c>
      <c r="T62" s="21">
        <f t="shared" si="10"/>
        <v>26.877777777779286</v>
      </c>
      <c r="U62" s="21">
        <f t="shared" si="10"/>
        <v>29.5</v>
      </c>
      <c r="V62" s="21">
        <f t="shared" si="10"/>
        <v>31.138888888890342</v>
      </c>
      <c r="W62" s="22">
        <f t="shared" si="10"/>
        <v>25.238888888889079</v>
      </c>
      <c r="X62" s="22">
        <f t="shared" si="10"/>
        <v>27.861111111109757</v>
      </c>
      <c r="Y62" s="22">
        <f t="shared" si="10"/>
        <v>29.5</v>
      </c>
      <c r="Z62" s="23">
        <f t="shared" si="13"/>
        <v>23.599999999999014</v>
      </c>
      <c r="AA62" s="23">
        <f t="shared" si="12"/>
        <v>26.222222222221689</v>
      </c>
      <c r="AB62" s="23">
        <f t="shared" si="12"/>
        <v>27.861111111109757</v>
      </c>
      <c r="AC62" s="24">
        <f t="shared" si="12"/>
        <v>21.961111111111453</v>
      </c>
      <c r="AD62" s="24">
        <f t="shared" si="12"/>
        <v>24.583333333333258</v>
      </c>
      <c r="AE62" s="24">
        <f t="shared" si="12"/>
        <v>26.222222222221689</v>
      </c>
      <c r="AF62" s="25">
        <f t="shared" si="12"/>
        <v>20.322222222221768</v>
      </c>
      <c r="AG62" s="25">
        <f t="shared" si="12"/>
        <v>22.94444444444531</v>
      </c>
      <c r="AH62" s="25">
        <f t="shared" si="7"/>
        <v>24.583333333333258</v>
      </c>
      <c r="AI62" s="26">
        <f t="shared" si="7"/>
        <v>18.683333333333604</v>
      </c>
      <c r="AJ62" s="26">
        <f t="shared" si="7"/>
        <v>21.305555555554712</v>
      </c>
      <c r="AK62" s="26">
        <f t="shared" si="7"/>
        <v>22.94444444444531</v>
      </c>
    </row>
    <row r="63" spans="4:37" ht="20.100000000000001" customHeight="1">
      <c r="D63" s="27">
        <f t="shared" si="3"/>
        <v>0.16666666666666657</v>
      </c>
      <c r="E63" s="16">
        <f t="shared" si="11"/>
        <v>45.99999999999828</v>
      </c>
      <c r="F63" s="16">
        <f t="shared" si="11"/>
        <v>48.666666666666622</v>
      </c>
      <c r="G63" s="16">
        <f t="shared" si="11"/>
        <v>50.333333333330486</v>
      </c>
      <c r="H63" s="17">
        <f t="shared" si="11"/>
        <v>42.666666666667425</v>
      </c>
      <c r="I63" s="17">
        <f t="shared" si="11"/>
        <v>45.333333333332781</v>
      </c>
      <c r="J63" s="17">
        <f t="shared" si="10"/>
        <v>46.999999999999631</v>
      </c>
      <c r="K63" s="18">
        <f t="shared" si="10"/>
        <v>39.333333333331964</v>
      </c>
      <c r="L63" s="18">
        <f t="shared" si="10"/>
        <v>42.000000000001663</v>
      </c>
      <c r="M63" s="18">
        <f t="shared" si="10"/>
        <v>43.666666666665321</v>
      </c>
      <c r="N63" s="19">
        <f t="shared" si="10"/>
        <v>30.666666666666259</v>
      </c>
      <c r="O63" s="19">
        <f t="shared" si="10"/>
        <v>33.333333333334693</v>
      </c>
      <c r="P63" s="19">
        <f t="shared" si="10"/>
        <v>34.999999999999076</v>
      </c>
      <c r="Q63" s="20">
        <f t="shared" si="10"/>
        <v>29.000000000001066</v>
      </c>
      <c r="R63" s="20">
        <f t="shared" si="10"/>
        <v>31.666666666668121</v>
      </c>
      <c r="S63" s="20">
        <f t="shared" si="10"/>
        <v>33.333333333334693</v>
      </c>
      <c r="T63" s="21">
        <f t="shared" si="10"/>
        <v>27.333333333334842</v>
      </c>
      <c r="U63" s="21">
        <f t="shared" si="10"/>
        <v>30</v>
      </c>
      <c r="V63" s="21">
        <f t="shared" si="10"/>
        <v>31.666666666668121</v>
      </c>
      <c r="W63" s="22">
        <f t="shared" si="10"/>
        <v>25.666666666666856</v>
      </c>
      <c r="X63" s="22">
        <f t="shared" si="10"/>
        <v>28.333333333331979</v>
      </c>
      <c r="Y63" s="22">
        <f t="shared" si="10"/>
        <v>30</v>
      </c>
      <c r="Z63" s="23">
        <f t="shared" si="13"/>
        <v>23.999999999999012</v>
      </c>
      <c r="AA63" s="23">
        <f t="shared" si="12"/>
        <v>26.666666666666131</v>
      </c>
      <c r="AB63" s="23">
        <f t="shared" si="12"/>
        <v>28.333333333331979</v>
      </c>
      <c r="AC63" s="24">
        <f t="shared" si="12"/>
        <v>22.333333333333677</v>
      </c>
      <c r="AD63" s="24">
        <f t="shared" si="12"/>
        <v>24.999999999999925</v>
      </c>
      <c r="AE63" s="24">
        <f t="shared" si="12"/>
        <v>26.666666666666131</v>
      </c>
      <c r="AF63" s="25">
        <f t="shared" si="12"/>
        <v>20.666666666666213</v>
      </c>
      <c r="AG63" s="25">
        <f t="shared" si="12"/>
        <v>23.333333333334199</v>
      </c>
      <c r="AH63" s="25">
        <f t="shared" si="7"/>
        <v>24.999999999999925</v>
      </c>
      <c r="AI63" s="26">
        <f t="shared" si="7"/>
        <v>19.00000000000027</v>
      </c>
      <c r="AJ63" s="26">
        <f t="shared" si="7"/>
        <v>21.666666666665822</v>
      </c>
      <c r="AK63" s="26">
        <f t="shared" si="7"/>
        <v>23.333333333334199</v>
      </c>
    </row>
    <row r="64" spans="4:37" ht="20.100000000000001" customHeight="1">
      <c r="D64" s="27">
        <f t="shared" si="3"/>
        <v>0.16944444444444434</v>
      </c>
      <c r="E64" s="16">
        <f t="shared" si="11"/>
        <v>46.766666666664946</v>
      </c>
      <c r="F64" s="16">
        <f t="shared" si="11"/>
        <v>49.477777777777732</v>
      </c>
      <c r="G64" s="16">
        <f t="shared" si="11"/>
        <v>51.172222222219375</v>
      </c>
      <c r="H64" s="17">
        <f t="shared" si="11"/>
        <v>43.377777777778533</v>
      </c>
      <c r="I64" s="17">
        <f t="shared" si="11"/>
        <v>46.088888888888334</v>
      </c>
      <c r="J64" s="17">
        <f t="shared" si="10"/>
        <v>47.783333333332962</v>
      </c>
      <c r="K64" s="18">
        <f t="shared" si="10"/>
        <v>39.988888888887523</v>
      </c>
      <c r="L64" s="18">
        <f t="shared" si="10"/>
        <v>42.700000000001666</v>
      </c>
      <c r="M64" s="18">
        <f t="shared" si="10"/>
        <v>44.394444444443096</v>
      </c>
      <c r="N64" s="19">
        <f t="shared" si="10"/>
        <v>31.177777777777372</v>
      </c>
      <c r="O64" s="19">
        <f t="shared" si="10"/>
        <v>33.88888888889025</v>
      </c>
      <c r="P64" s="19">
        <f t="shared" si="10"/>
        <v>35.583333333332412</v>
      </c>
      <c r="Q64" s="20">
        <f t="shared" si="10"/>
        <v>29.4833333333344</v>
      </c>
      <c r="R64" s="20">
        <f t="shared" si="10"/>
        <v>32.194444444445899</v>
      </c>
      <c r="S64" s="20">
        <f t="shared" si="10"/>
        <v>33.88888888889025</v>
      </c>
      <c r="T64" s="21">
        <f t="shared" si="10"/>
        <v>27.788888888890398</v>
      </c>
      <c r="U64" s="21">
        <f t="shared" si="10"/>
        <v>30.5</v>
      </c>
      <c r="V64" s="21">
        <f t="shared" si="10"/>
        <v>32.194444444445899</v>
      </c>
      <c r="W64" s="22">
        <f t="shared" si="10"/>
        <v>26.094444444444633</v>
      </c>
      <c r="X64" s="22">
        <f t="shared" si="10"/>
        <v>28.8055555555542</v>
      </c>
      <c r="Y64" s="22">
        <f t="shared" si="10"/>
        <v>30.5</v>
      </c>
      <c r="Z64" s="23">
        <f t="shared" si="13"/>
        <v>24.399999999999011</v>
      </c>
      <c r="AA64" s="23">
        <f t="shared" si="12"/>
        <v>27.111111111110574</v>
      </c>
      <c r="AB64" s="23">
        <f t="shared" si="12"/>
        <v>28.8055555555542</v>
      </c>
      <c r="AC64" s="24">
        <f t="shared" si="12"/>
        <v>22.7055555555559</v>
      </c>
      <c r="AD64" s="24">
        <f t="shared" si="12"/>
        <v>25.416666666666593</v>
      </c>
      <c r="AE64" s="24">
        <f t="shared" si="12"/>
        <v>27.111111111110574</v>
      </c>
      <c r="AF64" s="25">
        <f t="shared" si="12"/>
        <v>21.011111111110658</v>
      </c>
      <c r="AG64" s="25">
        <f t="shared" si="12"/>
        <v>23.722222222223088</v>
      </c>
      <c r="AH64" s="25">
        <f t="shared" si="7"/>
        <v>25.416666666666593</v>
      </c>
      <c r="AI64" s="26">
        <f t="shared" si="7"/>
        <v>19.316666666666936</v>
      </c>
      <c r="AJ64" s="26">
        <f t="shared" si="7"/>
        <v>22.027777777776933</v>
      </c>
      <c r="AK64" s="26">
        <f t="shared" si="7"/>
        <v>23.722222222223088</v>
      </c>
    </row>
    <row r="65" spans="4:37" ht="20.100000000000001" customHeight="1">
      <c r="D65" s="27">
        <f t="shared" si="3"/>
        <v>0.17222222222222211</v>
      </c>
      <c r="E65" s="16">
        <f t="shared" si="11"/>
        <v>47.533333333331612</v>
      </c>
      <c r="F65" s="16">
        <f t="shared" si="11"/>
        <v>50.288888888888842</v>
      </c>
      <c r="G65" s="16">
        <f t="shared" si="11"/>
        <v>52.011111111108264</v>
      </c>
      <c r="H65" s="17">
        <f t="shared" si="11"/>
        <v>44.088888888889642</v>
      </c>
      <c r="I65" s="17">
        <f t="shared" si="11"/>
        <v>46.844444444443887</v>
      </c>
      <c r="J65" s="17">
        <f t="shared" si="10"/>
        <v>48.566666666666293</v>
      </c>
      <c r="K65" s="18">
        <f t="shared" si="10"/>
        <v>40.644444444443081</v>
      </c>
      <c r="L65" s="18">
        <f t="shared" si="10"/>
        <v>43.400000000001668</v>
      </c>
      <c r="M65" s="18">
        <f t="shared" si="10"/>
        <v>45.12222222222087</v>
      </c>
      <c r="N65" s="19">
        <f t="shared" si="10"/>
        <v>31.688888888888485</v>
      </c>
      <c r="O65" s="19">
        <f t="shared" si="10"/>
        <v>34.444444444445807</v>
      </c>
      <c r="P65" s="19">
        <f t="shared" si="10"/>
        <v>36.166666666665748</v>
      </c>
      <c r="Q65" s="20">
        <f t="shared" si="10"/>
        <v>29.966666666667734</v>
      </c>
      <c r="R65" s="20">
        <f t="shared" si="10"/>
        <v>32.722222222223678</v>
      </c>
      <c r="S65" s="20">
        <f t="shared" si="10"/>
        <v>34.444444444445807</v>
      </c>
      <c r="T65" s="21">
        <f t="shared" si="10"/>
        <v>28.244444444445953</v>
      </c>
      <c r="U65" s="21">
        <f t="shared" si="10"/>
        <v>31</v>
      </c>
      <c r="V65" s="21">
        <f t="shared" si="10"/>
        <v>32.722222222223678</v>
      </c>
      <c r="W65" s="22">
        <f t="shared" si="10"/>
        <v>26.52222222222241</v>
      </c>
      <c r="X65" s="22">
        <f t="shared" si="10"/>
        <v>29.277777777776421</v>
      </c>
      <c r="Y65" s="22">
        <f t="shared" si="10"/>
        <v>31</v>
      </c>
      <c r="Z65" s="23">
        <f t="shared" si="13"/>
        <v>24.79999999999901</v>
      </c>
      <c r="AA65" s="23">
        <f t="shared" si="12"/>
        <v>27.555555555555017</v>
      </c>
      <c r="AB65" s="23">
        <f t="shared" si="12"/>
        <v>29.277777777776421</v>
      </c>
      <c r="AC65" s="24">
        <f t="shared" si="12"/>
        <v>23.077777777778124</v>
      </c>
      <c r="AD65" s="24">
        <f t="shared" si="12"/>
        <v>25.833333333333261</v>
      </c>
      <c r="AE65" s="24">
        <f t="shared" si="12"/>
        <v>27.555555555555017</v>
      </c>
      <c r="AF65" s="25">
        <f t="shared" si="12"/>
        <v>21.355555555555103</v>
      </c>
      <c r="AG65" s="25">
        <f t="shared" si="12"/>
        <v>24.111111111111978</v>
      </c>
      <c r="AH65" s="25">
        <f t="shared" si="7"/>
        <v>25.833333333333261</v>
      </c>
      <c r="AI65" s="26">
        <f t="shared" si="7"/>
        <v>19.633333333333603</v>
      </c>
      <c r="AJ65" s="26">
        <f t="shared" si="7"/>
        <v>22.388888888888044</v>
      </c>
      <c r="AK65" s="26">
        <f t="shared" si="7"/>
        <v>24.111111111111978</v>
      </c>
    </row>
    <row r="66" spans="4:37" ht="20.100000000000001" customHeight="1">
      <c r="D66" s="27">
        <f t="shared" si="3"/>
        <v>0.17499999999999988</v>
      </c>
      <c r="E66" s="16">
        <f t="shared" si="11"/>
        <v>48.299999999998278</v>
      </c>
      <c r="F66" s="16">
        <f t="shared" si="11"/>
        <v>51.099999999999952</v>
      </c>
      <c r="G66" s="16">
        <f t="shared" si="11"/>
        <v>52.849999999997152</v>
      </c>
      <c r="H66" s="17">
        <f t="shared" si="11"/>
        <v>44.80000000000075</v>
      </c>
      <c r="I66" s="17">
        <f t="shared" si="11"/>
        <v>47.59999999999944</v>
      </c>
      <c r="J66" s="17">
        <f t="shared" si="10"/>
        <v>49.349999999999625</v>
      </c>
      <c r="K66" s="18">
        <f t="shared" si="10"/>
        <v>41.29999999999864</v>
      </c>
      <c r="L66" s="18">
        <f t="shared" si="10"/>
        <v>44.100000000001671</v>
      </c>
      <c r="M66" s="18">
        <f t="shared" si="10"/>
        <v>45.849999999998644</v>
      </c>
      <c r="N66" s="19">
        <f t="shared" si="10"/>
        <v>32.199999999999598</v>
      </c>
      <c r="O66" s="19">
        <f t="shared" si="10"/>
        <v>35.000000000001364</v>
      </c>
      <c r="P66" s="19">
        <f t="shared" si="10"/>
        <v>36.749999999999083</v>
      </c>
      <c r="Q66" s="20">
        <f t="shared" si="10"/>
        <v>30.450000000001069</v>
      </c>
      <c r="R66" s="20">
        <f t="shared" si="10"/>
        <v>33.250000000001457</v>
      </c>
      <c r="S66" s="20">
        <f t="shared" si="10"/>
        <v>35.000000000001364</v>
      </c>
      <c r="T66" s="21">
        <f t="shared" si="10"/>
        <v>28.700000000001509</v>
      </c>
      <c r="U66" s="21">
        <f t="shared" si="10"/>
        <v>31.5</v>
      </c>
      <c r="V66" s="21">
        <f t="shared" si="10"/>
        <v>33.250000000001457</v>
      </c>
      <c r="W66" s="22">
        <f t="shared" si="10"/>
        <v>26.950000000000188</v>
      </c>
      <c r="X66" s="22">
        <f t="shared" si="10"/>
        <v>29.749999999998643</v>
      </c>
      <c r="Y66" s="22">
        <f t="shared" si="10"/>
        <v>31.5</v>
      </c>
      <c r="Z66" s="23">
        <f t="shared" si="13"/>
        <v>25.199999999999008</v>
      </c>
      <c r="AA66" s="23">
        <f t="shared" si="12"/>
        <v>27.99999999999946</v>
      </c>
      <c r="AB66" s="23">
        <f t="shared" si="12"/>
        <v>29.749999999998643</v>
      </c>
      <c r="AC66" s="24">
        <f t="shared" si="12"/>
        <v>23.450000000000347</v>
      </c>
      <c r="AD66" s="24">
        <f t="shared" si="12"/>
        <v>26.249999999999929</v>
      </c>
      <c r="AE66" s="24">
        <f t="shared" si="12"/>
        <v>27.99999999999946</v>
      </c>
      <c r="AF66" s="25">
        <f t="shared" si="12"/>
        <v>21.699999999999548</v>
      </c>
      <c r="AG66" s="25">
        <f t="shared" si="12"/>
        <v>24.500000000000867</v>
      </c>
      <c r="AH66" s="25">
        <f t="shared" si="7"/>
        <v>26.249999999999929</v>
      </c>
      <c r="AI66" s="26">
        <f t="shared" si="7"/>
        <v>19.950000000000269</v>
      </c>
      <c r="AJ66" s="26">
        <f t="shared" si="7"/>
        <v>22.749999999999154</v>
      </c>
      <c r="AK66" s="26">
        <f t="shared" si="7"/>
        <v>24.500000000000867</v>
      </c>
    </row>
    <row r="67" spans="4:37" ht="20.100000000000001" customHeight="1">
      <c r="D67" s="27">
        <f t="shared" si="3"/>
        <v>0.17777777777777765</v>
      </c>
      <c r="E67" s="16">
        <f t="shared" si="11"/>
        <v>49.066666666664943</v>
      </c>
      <c r="F67" s="16">
        <f t="shared" si="11"/>
        <v>51.911111111111062</v>
      </c>
      <c r="G67" s="16">
        <f t="shared" si="11"/>
        <v>53.688888888886041</v>
      </c>
      <c r="H67" s="17">
        <f t="shared" si="11"/>
        <v>45.511111111111859</v>
      </c>
      <c r="I67" s="17">
        <f t="shared" si="11"/>
        <v>48.355555555554993</v>
      </c>
      <c r="J67" s="17">
        <f t="shared" si="10"/>
        <v>50.133333333332956</v>
      </c>
      <c r="K67" s="18">
        <f t="shared" si="10"/>
        <v>41.955555555554199</v>
      </c>
      <c r="L67" s="18">
        <f t="shared" si="10"/>
        <v>44.800000000001674</v>
      </c>
      <c r="M67" s="18">
        <f t="shared" si="10"/>
        <v>46.577777777776419</v>
      </c>
      <c r="N67" s="19">
        <f t="shared" si="10"/>
        <v>32.711111111110711</v>
      </c>
      <c r="O67" s="19">
        <f t="shared" si="10"/>
        <v>35.555555555556921</v>
      </c>
      <c r="P67" s="19">
        <f t="shared" si="10"/>
        <v>37.333333333332419</v>
      </c>
      <c r="Q67" s="20">
        <f t="shared" si="10"/>
        <v>30.933333333334403</v>
      </c>
      <c r="R67" s="20">
        <f t="shared" si="10"/>
        <v>33.777777777779235</v>
      </c>
      <c r="S67" s="20">
        <f t="shared" si="10"/>
        <v>35.555555555556921</v>
      </c>
      <c r="T67" s="21">
        <f t="shared" si="10"/>
        <v>29.155555555557065</v>
      </c>
      <c r="U67" s="21">
        <f t="shared" si="10"/>
        <v>32</v>
      </c>
      <c r="V67" s="21">
        <f t="shared" si="10"/>
        <v>33.777777777779235</v>
      </c>
      <c r="W67" s="22">
        <f t="shared" si="10"/>
        <v>27.377777777777965</v>
      </c>
      <c r="X67" s="22">
        <f t="shared" si="10"/>
        <v>30.222222222220864</v>
      </c>
      <c r="Y67" s="22">
        <f t="shared" si="10"/>
        <v>32</v>
      </c>
      <c r="Z67" s="23">
        <f t="shared" si="13"/>
        <v>25.599999999999007</v>
      </c>
      <c r="AA67" s="23">
        <f t="shared" si="12"/>
        <v>28.444444444443903</v>
      </c>
      <c r="AB67" s="23">
        <f t="shared" si="12"/>
        <v>30.222222222220864</v>
      </c>
      <c r="AC67" s="24">
        <f t="shared" si="12"/>
        <v>23.822222222222571</v>
      </c>
      <c r="AD67" s="24">
        <f t="shared" si="12"/>
        <v>26.666666666666597</v>
      </c>
      <c r="AE67" s="24">
        <f t="shared" si="12"/>
        <v>28.444444444443903</v>
      </c>
      <c r="AF67" s="25">
        <f t="shared" si="12"/>
        <v>22.044444444443993</v>
      </c>
      <c r="AG67" s="25">
        <f t="shared" si="12"/>
        <v>24.888888888889756</v>
      </c>
      <c r="AH67" s="25">
        <f t="shared" si="7"/>
        <v>26.666666666666597</v>
      </c>
      <c r="AI67" s="26">
        <f t="shared" si="7"/>
        <v>20.266666666666936</v>
      </c>
      <c r="AJ67" s="26">
        <f t="shared" si="7"/>
        <v>23.111111111110265</v>
      </c>
      <c r="AK67" s="26">
        <f t="shared" si="7"/>
        <v>24.888888888889756</v>
      </c>
    </row>
    <row r="68" spans="4:37" ht="20.100000000000001" customHeight="1">
      <c r="D68" s="27">
        <f t="shared" si="3"/>
        <v>0.18055555555555541</v>
      </c>
      <c r="E68" s="16">
        <f t="shared" si="11"/>
        <v>49.833333333331609</v>
      </c>
      <c r="F68" s="16">
        <f t="shared" si="11"/>
        <v>52.722222222222172</v>
      </c>
      <c r="G68" s="16">
        <f t="shared" si="11"/>
        <v>54.527777777774929</v>
      </c>
      <c r="H68" s="17">
        <f t="shared" si="11"/>
        <v>46.222222222222968</v>
      </c>
      <c r="I68" s="17">
        <f t="shared" si="11"/>
        <v>49.111111111110546</v>
      </c>
      <c r="J68" s="17">
        <f t="shared" si="10"/>
        <v>50.916666666666288</v>
      </c>
      <c r="K68" s="18">
        <f t="shared" si="10"/>
        <v>42.611111111109757</v>
      </c>
      <c r="L68" s="18">
        <f t="shared" si="10"/>
        <v>45.500000000001677</v>
      </c>
      <c r="M68" s="18">
        <f t="shared" si="10"/>
        <v>47.305555555554193</v>
      </c>
      <c r="N68" s="19">
        <f t="shared" si="10"/>
        <v>33.222222222221824</v>
      </c>
      <c r="O68" s="19">
        <f t="shared" si="10"/>
        <v>36.111111111112479</v>
      </c>
      <c r="P68" s="19">
        <f t="shared" si="10"/>
        <v>37.916666666665755</v>
      </c>
      <c r="Q68" s="20">
        <f t="shared" si="10"/>
        <v>31.416666666667737</v>
      </c>
      <c r="R68" s="20">
        <f t="shared" si="10"/>
        <v>34.305555555557014</v>
      </c>
      <c r="S68" s="20">
        <f t="shared" si="10"/>
        <v>36.111111111112479</v>
      </c>
      <c r="T68" s="21">
        <f t="shared" si="10"/>
        <v>29.611111111112621</v>
      </c>
      <c r="U68" s="21">
        <f t="shared" si="10"/>
        <v>32.5</v>
      </c>
      <c r="V68" s="21">
        <f t="shared" si="10"/>
        <v>34.305555555557014</v>
      </c>
      <c r="W68" s="22">
        <f t="shared" si="10"/>
        <v>27.805555555555742</v>
      </c>
      <c r="X68" s="22">
        <f t="shared" si="10"/>
        <v>30.694444444443086</v>
      </c>
      <c r="Y68" s="22">
        <f t="shared" si="10"/>
        <v>32.5</v>
      </c>
      <c r="Z68" s="23">
        <f t="shared" si="13"/>
        <v>25.999999999999005</v>
      </c>
      <c r="AA68" s="23">
        <f t="shared" si="12"/>
        <v>28.888888888888346</v>
      </c>
      <c r="AB68" s="23">
        <f t="shared" si="12"/>
        <v>30.694444444443086</v>
      </c>
      <c r="AC68" s="24">
        <f t="shared" si="12"/>
        <v>24.194444444444795</v>
      </c>
      <c r="AD68" s="24">
        <f t="shared" si="12"/>
        <v>27.083333333333265</v>
      </c>
      <c r="AE68" s="24">
        <f t="shared" si="12"/>
        <v>28.888888888888346</v>
      </c>
      <c r="AF68" s="25">
        <f t="shared" si="12"/>
        <v>22.388888888888438</v>
      </c>
      <c r="AG68" s="25">
        <f t="shared" si="12"/>
        <v>25.277777777778645</v>
      </c>
      <c r="AH68" s="25">
        <f t="shared" si="7"/>
        <v>27.083333333333265</v>
      </c>
      <c r="AI68" s="26">
        <f t="shared" si="7"/>
        <v>20.583333333333602</v>
      </c>
      <c r="AJ68" s="26">
        <f t="shared" si="7"/>
        <v>23.472222222221376</v>
      </c>
      <c r="AK68" s="26">
        <f t="shared" si="7"/>
        <v>25.277777777778645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50.599999999998275</v>
      </c>
      <c r="F69" s="16">
        <f t="shared" si="11"/>
        <v>53.533333333333282</v>
      </c>
      <c r="G69" s="16">
        <f t="shared" si="11"/>
        <v>55.366666666663818</v>
      </c>
      <c r="H69" s="17">
        <f t="shared" si="11"/>
        <v>46.933333333334076</v>
      </c>
      <c r="I69" s="17">
        <f t="shared" si="11"/>
        <v>49.866666666666099</v>
      </c>
      <c r="J69" s="17">
        <f t="shared" si="10"/>
        <v>51.699999999999619</v>
      </c>
      <c r="K69" s="18">
        <f t="shared" si="10"/>
        <v>43.266666666665316</v>
      </c>
      <c r="L69" s="18">
        <f t="shared" si="10"/>
        <v>46.20000000000168</v>
      </c>
      <c r="M69" s="18">
        <f t="shared" ref="M69:Z69" si="15">M70-(M$363/360)</f>
        <v>48.033333333331967</v>
      </c>
      <c r="N69" s="19">
        <f t="shared" si="15"/>
        <v>33.733333333332936</v>
      </c>
      <c r="O69" s="19">
        <f t="shared" si="15"/>
        <v>36.666666666668036</v>
      </c>
      <c r="P69" s="19">
        <f t="shared" si="15"/>
        <v>38.499999999999091</v>
      </c>
      <c r="Q69" s="20">
        <f t="shared" si="15"/>
        <v>31.900000000001071</v>
      </c>
      <c r="R69" s="20">
        <f t="shared" si="15"/>
        <v>34.833333333334792</v>
      </c>
      <c r="S69" s="20">
        <f t="shared" si="15"/>
        <v>36.666666666668036</v>
      </c>
      <c r="T69" s="21">
        <f t="shared" si="15"/>
        <v>30.066666666668176</v>
      </c>
      <c r="U69" s="21">
        <f t="shared" si="15"/>
        <v>33</v>
      </c>
      <c r="V69" s="21">
        <f t="shared" si="15"/>
        <v>34.833333333334792</v>
      </c>
      <c r="W69" s="22">
        <f t="shared" si="15"/>
        <v>28.233333333333519</v>
      </c>
      <c r="X69" s="22">
        <f t="shared" si="15"/>
        <v>31.166666666665307</v>
      </c>
      <c r="Y69" s="22">
        <f t="shared" si="15"/>
        <v>33</v>
      </c>
      <c r="Z69" s="23">
        <f t="shared" si="15"/>
        <v>26.399999999999004</v>
      </c>
      <c r="AA69" s="23">
        <f t="shared" si="12"/>
        <v>29.333333333332789</v>
      </c>
      <c r="AB69" s="23">
        <f t="shared" si="12"/>
        <v>31.166666666665307</v>
      </c>
      <c r="AC69" s="24">
        <f t="shared" si="12"/>
        <v>24.566666666667018</v>
      </c>
      <c r="AD69" s="24">
        <f t="shared" si="12"/>
        <v>27.499999999999932</v>
      </c>
      <c r="AE69" s="24">
        <f t="shared" si="12"/>
        <v>29.333333333332789</v>
      </c>
      <c r="AF69" s="25">
        <f t="shared" si="12"/>
        <v>22.733333333332883</v>
      </c>
      <c r="AG69" s="25">
        <f t="shared" si="12"/>
        <v>25.666666666667535</v>
      </c>
      <c r="AH69" s="25">
        <f t="shared" si="7"/>
        <v>27.499999999999932</v>
      </c>
      <c r="AI69" s="26">
        <f t="shared" si="7"/>
        <v>20.900000000000269</v>
      </c>
      <c r="AJ69" s="26">
        <f t="shared" si="7"/>
        <v>23.833333333332487</v>
      </c>
      <c r="AK69" s="26">
        <f t="shared" si="7"/>
        <v>25.666666666667535</v>
      </c>
    </row>
    <row r="70" spans="4:37" ht="20.100000000000001" customHeight="1">
      <c r="D70" s="27">
        <f t="shared" si="14"/>
        <v>0.18611111111111095</v>
      </c>
      <c r="E70" s="16">
        <f t="shared" si="11"/>
        <v>51.366666666664941</v>
      </c>
      <c r="F70" s="16">
        <f t="shared" si="11"/>
        <v>54.344444444444392</v>
      </c>
      <c r="G70" s="16">
        <f t="shared" si="11"/>
        <v>56.205555555552706</v>
      </c>
      <c r="H70" s="17">
        <f t="shared" si="11"/>
        <v>47.644444444445185</v>
      </c>
      <c r="I70" s="17">
        <f t="shared" si="11"/>
        <v>50.622222222221652</v>
      </c>
      <c r="J70" s="17">
        <f t="shared" si="11"/>
        <v>52.483333333332951</v>
      </c>
      <c r="K70" s="18">
        <f t="shared" si="11"/>
        <v>43.922222222220874</v>
      </c>
      <c r="L70" s="18">
        <f t="shared" si="11"/>
        <v>46.900000000001683</v>
      </c>
      <c r="M70" s="18">
        <f t="shared" si="11"/>
        <v>48.761111111109742</v>
      </c>
      <c r="N70" s="19">
        <f t="shared" si="11"/>
        <v>34.244444444444049</v>
      </c>
      <c r="O70" s="19">
        <f t="shared" si="11"/>
        <v>37.222222222223593</v>
      </c>
      <c r="P70" s="19">
        <f t="shared" si="11"/>
        <v>39.083333333332426</v>
      </c>
      <c r="Q70" s="20">
        <f t="shared" si="11"/>
        <v>32.383333333334406</v>
      </c>
      <c r="R70" s="20">
        <f t="shared" si="11"/>
        <v>35.361111111112571</v>
      </c>
      <c r="S70" s="20">
        <f t="shared" si="11"/>
        <v>37.222222222223593</v>
      </c>
      <c r="T70" s="21">
        <f t="shared" si="11"/>
        <v>30.522222222223732</v>
      </c>
      <c r="U70" s="21">
        <f t="shared" ref="U70:U91" si="16">U71-(U$363/360)</f>
        <v>33.5</v>
      </c>
      <c r="V70" s="21">
        <f t="shared" ref="V70:V91" si="17">V71-(V$363/360)</f>
        <v>35.361111111112571</v>
      </c>
      <c r="W70" s="22">
        <f t="shared" ref="W70:W91" si="18">W71-(W$363/360)</f>
        <v>28.661111111111296</v>
      </c>
      <c r="X70" s="22">
        <f t="shared" ref="X70:X91" si="19">X71-(X$363/360)</f>
        <v>31.638888888887529</v>
      </c>
      <c r="Y70" s="22">
        <f t="shared" ref="Y70:Y91" si="20">Y71-(Y$363/360)</f>
        <v>33.5</v>
      </c>
      <c r="Z70" s="23">
        <f t="shared" ref="Z70:Z91" si="21">Z71-(Z$363/360)</f>
        <v>26.799999999999002</v>
      </c>
      <c r="AA70" s="23">
        <f t="shared" si="12"/>
        <v>29.777777777777231</v>
      </c>
      <c r="AB70" s="23">
        <f t="shared" si="12"/>
        <v>31.638888888887529</v>
      </c>
      <c r="AC70" s="24">
        <f t="shared" si="12"/>
        <v>24.938888888889242</v>
      </c>
      <c r="AD70" s="24">
        <f t="shared" si="12"/>
        <v>27.9166666666666</v>
      </c>
      <c r="AE70" s="24">
        <f t="shared" si="12"/>
        <v>29.777777777777231</v>
      </c>
      <c r="AF70" s="25">
        <f t="shared" si="12"/>
        <v>23.077777777777328</v>
      </c>
      <c r="AG70" s="25">
        <f t="shared" si="12"/>
        <v>26.055555555556424</v>
      </c>
      <c r="AH70" s="25">
        <f t="shared" si="7"/>
        <v>27.9166666666666</v>
      </c>
      <c r="AI70" s="26">
        <f t="shared" si="7"/>
        <v>21.216666666666935</v>
      </c>
      <c r="AJ70" s="26">
        <f t="shared" si="7"/>
        <v>24.194444444443597</v>
      </c>
      <c r="AK70" s="26">
        <f t="shared" si="7"/>
        <v>26.055555555556424</v>
      </c>
    </row>
    <row r="71" spans="4:37" ht="20.100000000000001" customHeight="1">
      <c r="D71" s="27">
        <f t="shared" si="14"/>
        <v>0.18888888888888872</v>
      </c>
      <c r="E71" s="16">
        <f t="shared" si="11"/>
        <v>52.133333333331606</v>
      </c>
      <c r="F71" s="16">
        <f t="shared" si="11"/>
        <v>55.155555555555502</v>
      </c>
      <c r="G71" s="16">
        <f t="shared" si="11"/>
        <v>57.044444444441595</v>
      </c>
      <c r="H71" s="17">
        <f t="shared" si="11"/>
        <v>48.355555555556293</v>
      </c>
      <c r="I71" s="17">
        <f t="shared" si="11"/>
        <v>51.377777777777204</v>
      </c>
      <c r="J71" s="17">
        <f t="shared" si="11"/>
        <v>53.266666666666282</v>
      </c>
      <c r="K71" s="18">
        <f t="shared" si="11"/>
        <v>44.577777777776433</v>
      </c>
      <c r="L71" s="18">
        <f t="shared" si="11"/>
        <v>47.600000000001685</v>
      </c>
      <c r="M71" s="18">
        <f t="shared" si="11"/>
        <v>49.488888888887516</v>
      </c>
      <c r="N71" s="19">
        <f t="shared" si="11"/>
        <v>34.755555555555162</v>
      </c>
      <c r="O71" s="19">
        <f t="shared" si="11"/>
        <v>37.77777777777915</v>
      </c>
      <c r="P71" s="19">
        <f t="shared" si="11"/>
        <v>39.666666666665762</v>
      </c>
      <c r="Q71" s="20">
        <f t="shared" si="11"/>
        <v>32.86666666666774</v>
      </c>
      <c r="R71" s="20">
        <f t="shared" si="11"/>
        <v>35.888888888890349</v>
      </c>
      <c r="S71" s="20">
        <f t="shared" si="11"/>
        <v>37.77777777777915</v>
      </c>
      <c r="T71" s="21">
        <f t="shared" si="11"/>
        <v>30.977777777779288</v>
      </c>
      <c r="U71" s="21">
        <f t="shared" si="16"/>
        <v>34</v>
      </c>
      <c r="V71" s="21">
        <f t="shared" si="17"/>
        <v>35.888888888890349</v>
      </c>
      <c r="W71" s="22">
        <f t="shared" si="18"/>
        <v>29.088888888889073</v>
      </c>
      <c r="X71" s="22">
        <f t="shared" si="19"/>
        <v>32.11111111110975</v>
      </c>
      <c r="Y71" s="22">
        <f t="shared" si="20"/>
        <v>34</v>
      </c>
      <c r="Z71" s="23">
        <f t="shared" si="21"/>
        <v>27.199999999999001</v>
      </c>
      <c r="AA71" s="23">
        <f t="shared" si="12"/>
        <v>30.222222222221674</v>
      </c>
      <c r="AB71" s="23">
        <f t="shared" si="12"/>
        <v>32.11111111110975</v>
      </c>
      <c r="AC71" s="24">
        <f t="shared" si="12"/>
        <v>25.311111111111465</v>
      </c>
      <c r="AD71" s="24">
        <f t="shared" si="12"/>
        <v>28.333333333333268</v>
      </c>
      <c r="AE71" s="24">
        <f t="shared" si="12"/>
        <v>30.222222222221674</v>
      </c>
      <c r="AF71" s="25">
        <f t="shared" si="12"/>
        <v>23.422222222221773</v>
      </c>
      <c r="AG71" s="25">
        <f t="shared" si="12"/>
        <v>26.444444444445313</v>
      </c>
      <c r="AH71" s="25">
        <f t="shared" si="12"/>
        <v>28.333333333333268</v>
      </c>
      <c r="AI71" s="26">
        <f t="shared" si="12"/>
        <v>21.533333333333601</v>
      </c>
      <c r="AJ71" s="26">
        <f t="shared" si="12"/>
        <v>24.555555555554708</v>
      </c>
      <c r="AK71" s="26">
        <f t="shared" si="12"/>
        <v>26.444444444445313</v>
      </c>
    </row>
    <row r="72" spans="4:37" ht="20.100000000000001" customHeight="1">
      <c r="D72" s="27">
        <f t="shared" si="14"/>
        <v>0.19166666666666649</v>
      </c>
      <c r="E72" s="16">
        <f t="shared" si="11"/>
        <v>52.899999999998272</v>
      </c>
      <c r="F72" s="16">
        <f t="shared" si="11"/>
        <v>55.966666666666612</v>
      </c>
      <c r="G72" s="16">
        <f t="shared" si="11"/>
        <v>57.883333333330484</v>
      </c>
      <c r="H72" s="17">
        <f t="shared" si="11"/>
        <v>49.066666666667402</v>
      </c>
      <c r="I72" s="17">
        <f t="shared" si="11"/>
        <v>52.133333333332757</v>
      </c>
      <c r="J72" s="17">
        <f t="shared" si="11"/>
        <v>54.049999999999613</v>
      </c>
      <c r="K72" s="18">
        <f t="shared" si="11"/>
        <v>45.233333333331991</v>
      </c>
      <c r="L72" s="18">
        <f t="shared" si="11"/>
        <v>48.300000000001688</v>
      </c>
      <c r="M72" s="18">
        <f t="shared" si="11"/>
        <v>50.21666666666529</v>
      </c>
      <c r="N72" s="19">
        <f t="shared" si="11"/>
        <v>35.266666666666275</v>
      </c>
      <c r="O72" s="19">
        <f t="shared" si="11"/>
        <v>38.333333333334707</v>
      </c>
      <c r="P72" s="19">
        <f t="shared" si="11"/>
        <v>40.249999999999098</v>
      </c>
      <c r="Q72" s="20">
        <f t="shared" si="11"/>
        <v>33.350000000001074</v>
      </c>
      <c r="R72" s="20">
        <f t="shared" si="11"/>
        <v>36.416666666668128</v>
      </c>
      <c r="S72" s="20">
        <f t="shared" si="11"/>
        <v>38.333333333334707</v>
      </c>
      <c r="T72" s="21">
        <f t="shared" si="11"/>
        <v>31.433333333334843</v>
      </c>
      <c r="U72" s="21">
        <f t="shared" si="16"/>
        <v>34.5</v>
      </c>
      <c r="V72" s="21">
        <f t="shared" si="17"/>
        <v>36.416666666668128</v>
      </c>
      <c r="W72" s="22">
        <f t="shared" si="18"/>
        <v>29.51666666666685</v>
      </c>
      <c r="X72" s="22">
        <f t="shared" si="19"/>
        <v>32.583333333331971</v>
      </c>
      <c r="Y72" s="22">
        <f t="shared" si="20"/>
        <v>34.5</v>
      </c>
      <c r="Z72" s="23">
        <f t="shared" si="21"/>
        <v>27.599999999999</v>
      </c>
      <c r="AA72" s="23">
        <f t="shared" si="12"/>
        <v>30.666666666666117</v>
      </c>
      <c r="AB72" s="23">
        <f t="shared" si="12"/>
        <v>32.583333333331971</v>
      </c>
      <c r="AC72" s="24">
        <f t="shared" si="12"/>
        <v>25.683333333333689</v>
      </c>
      <c r="AD72" s="24">
        <f t="shared" si="12"/>
        <v>28.749999999999936</v>
      </c>
      <c r="AE72" s="24">
        <f t="shared" si="12"/>
        <v>30.666666666666117</v>
      </c>
      <c r="AF72" s="25">
        <f t="shared" si="12"/>
        <v>23.766666666666218</v>
      </c>
      <c r="AG72" s="25">
        <f t="shared" si="12"/>
        <v>26.833333333334203</v>
      </c>
      <c r="AH72" s="25">
        <f t="shared" si="12"/>
        <v>28.749999999999936</v>
      </c>
      <c r="AI72" s="26">
        <f t="shared" si="12"/>
        <v>21.850000000000268</v>
      </c>
      <c r="AJ72" s="26">
        <f t="shared" si="12"/>
        <v>24.916666666665819</v>
      </c>
      <c r="AK72" s="26">
        <f t="shared" si="12"/>
        <v>26.833333333334203</v>
      </c>
    </row>
    <row r="73" spans="4:37" ht="20.100000000000001" customHeight="1">
      <c r="D73" s="27">
        <f t="shared" si="14"/>
        <v>0.19444444444444425</v>
      </c>
      <c r="E73" s="16">
        <f t="shared" si="11"/>
        <v>53.666666666664938</v>
      </c>
      <c r="F73" s="16">
        <f t="shared" si="11"/>
        <v>56.777777777777722</v>
      </c>
      <c r="G73" s="16">
        <f t="shared" si="11"/>
        <v>58.722222222219372</v>
      </c>
      <c r="H73" s="17">
        <f t="shared" si="11"/>
        <v>49.77777777777851</v>
      </c>
      <c r="I73" s="17">
        <f t="shared" si="11"/>
        <v>52.88888888888831</v>
      </c>
      <c r="J73" s="17">
        <f t="shared" si="11"/>
        <v>54.833333333332945</v>
      </c>
      <c r="K73" s="18">
        <f t="shared" si="11"/>
        <v>45.88888888888755</v>
      </c>
      <c r="L73" s="18">
        <f t="shared" si="11"/>
        <v>49.000000000001691</v>
      </c>
      <c r="M73" s="18">
        <f t="shared" si="11"/>
        <v>50.944444444443064</v>
      </c>
      <c r="N73" s="19">
        <f t="shared" si="11"/>
        <v>35.777777777777388</v>
      </c>
      <c r="O73" s="19">
        <f t="shared" si="11"/>
        <v>38.888888888890264</v>
      </c>
      <c r="P73" s="19">
        <f t="shared" si="11"/>
        <v>40.833333333332433</v>
      </c>
      <c r="Q73" s="20">
        <f t="shared" si="11"/>
        <v>33.833333333334409</v>
      </c>
      <c r="R73" s="20">
        <f t="shared" si="11"/>
        <v>36.944444444445907</v>
      </c>
      <c r="S73" s="20">
        <f t="shared" si="11"/>
        <v>38.888888888890264</v>
      </c>
      <c r="T73" s="21">
        <f t="shared" si="11"/>
        <v>31.888888888890399</v>
      </c>
      <c r="U73" s="21">
        <f t="shared" si="16"/>
        <v>35</v>
      </c>
      <c r="V73" s="21">
        <f t="shared" si="17"/>
        <v>36.944444444445907</v>
      </c>
      <c r="W73" s="22">
        <f t="shared" si="18"/>
        <v>29.944444444444628</v>
      </c>
      <c r="X73" s="22">
        <f t="shared" si="19"/>
        <v>33.055555555554193</v>
      </c>
      <c r="Y73" s="22">
        <f t="shared" si="20"/>
        <v>35</v>
      </c>
      <c r="Z73" s="23">
        <f t="shared" si="21"/>
        <v>27.999999999998998</v>
      </c>
      <c r="AA73" s="23">
        <f t="shared" si="12"/>
        <v>31.11111111111056</v>
      </c>
      <c r="AB73" s="23">
        <f t="shared" si="12"/>
        <v>33.055555555554193</v>
      </c>
      <c r="AC73" s="24">
        <f t="shared" si="12"/>
        <v>26.055555555555912</v>
      </c>
      <c r="AD73" s="24">
        <f t="shared" si="12"/>
        <v>29.166666666666604</v>
      </c>
      <c r="AE73" s="24">
        <f t="shared" si="12"/>
        <v>31.11111111111056</v>
      </c>
      <c r="AF73" s="25">
        <f t="shared" si="12"/>
        <v>24.111111111110663</v>
      </c>
      <c r="AG73" s="25">
        <f t="shared" si="12"/>
        <v>27.222222222223092</v>
      </c>
      <c r="AH73" s="25">
        <f t="shared" si="12"/>
        <v>29.166666666666604</v>
      </c>
      <c r="AI73" s="26">
        <f t="shared" si="12"/>
        <v>22.166666666666934</v>
      </c>
      <c r="AJ73" s="26">
        <f t="shared" si="12"/>
        <v>25.277777777776929</v>
      </c>
      <c r="AK73" s="26">
        <f t="shared" si="12"/>
        <v>27.222222222223092</v>
      </c>
    </row>
    <row r="74" spans="4:37" ht="20.100000000000001" customHeight="1">
      <c r="D74" s="27">
        <f t="shared" si="14"/>
        <v>0.19722222222222202</v>
      </c>
      <c r="E74" s="16">
        <f t="shared" si="11"/>
        <v>54.433333333331603</v>
      </c>
      <c r="F74" s="16">
        <f t="shared" si="11"/>
        <v>57.588888888888832</v>
      </c>
      <c r="G74" s="16">
        <f t="shared" si="11"/>
        <v>59.561111111108261</v>
      </c>
      <c r="H74" s="17">
        <f t="shared" si="11"/>
        <v>50.488888888889619</v>
      </c>
      <c r="I74" s="17">
        <f t="shared" si="11"/>
        <v>53.644444444443863</v>
      </c>
      <c r="J74" s="17">
        <f t="shared" si="11"/>
        <v>55.616666666666276</v>
      </c>
      <c r="K74" s="18">
        <f t="shared" si="11"/>
        <v>46.544444444443108</v>
      </c>
      <c r="L74" s="18">
        <f t="shared" si="11"/>
        <v>49.700000000001694</v>
      </c>
      <c r="M74" s="18">
        <f t="shared" si="11"/>
        <v>51.672222222220839</v>
      </c>
      <c r="N74" s="19">
        <f t="shared" si="11"/>
        <v>36.288888888888501</v>
      </c>
      <c r="O74" s="19">
        <f t="shared" si="11"/>
        <v>39.444444444445821</v>
      </c>
      <c r="P74" s="19">
        <f t="shared" si="11"/>
        <v>41.416666666665769</v>
      </c>
      <c r="Q74" s="20">
        <f t="shared" si="11"/>
        <v>34.316666666667743</v>
      </c>
      <c r="R74" s="20">
        <f t="shared" si="11"/>
        <v>37.472222222223685</v>
      </c>
      <c r="S74" s="20">
        <f t="shared" si="11"/>
        <v>39.444444444445821</v>
      </c>
      <c r="T74" s="21">
        <f t="shared" si="11"/>
        <v>32.344444444445955</v>
      </c>
      <c r="U74" s="21">
        <f t="shared" si="16"/>
        <v>35.5</v>
      </c>
      <c r="V74" s="21">
        <f t="shared" si="17"/>
        <v>37.472222222223685</v>
      </c>
      <c r="W74" s="22">
        <f t="shared" si="18"/>
        <v>30.372222222222405</v>
      </c>
      <c r="X74" s="22">
        <f t="shared" si="19"/>
        <v>33.527777777776414</v>
      </c>
      <c r="Y74" s="22">
        <f t="shared" si="20"/>
        <v>35.5</v>
      </c>
      <c r="Z74" s="23">
        <f t="shared" si="21"/>
        <v>28.399999999998997</v>
      </c>
      <c r="AA74" s="23">
        <f t="shared" si="12"/>
        <v>31.555555555555003</v>
      </c>
      <c r="AB74" s="23">
        <f t="shared" si="12"/>
        <v>33.527777777776414</v>
      </c>
      <c r="AC74" s="24">
        <f t="shared" si="12"/>
        <v>26.427777777778136</v>
      </c>
      <c r="AD74" s="24">
        <f t="shared" si="12"/>
        <v>29.583333333333272</v>
      </c>
      <c r="AE74" s="24">
        <f t="shared" si="12"/>
        <v>31.555555555555003</v>
      </c>
      <c r="AF74" s="25">
        <f t="shared" si="12"/>
        <v>24.455555555555108</v>
      </c>
      <c r="AG74" s="25">
        <f t="shared" si="12"/>
        <v>27.611111111111981</v>
      </c>
      <c r="AH74" s="25">
        <f t="shared" si="12"/>
        <v>29.583333333333272</v>
      </c>
      <c r="AI74" s="26">
        <f t="shared" si="12"/>
        <v>22.483333333333601</v>
      </c>
      <c r="AJ74" s="26">
        <f t="shared" si="12"/>
        <v>25.63888888888804</v>
      </c>
      <c r="AK74" s="26">
        <f t="shared" si="12"/>
        <v>27.611111111111981</v>
      </c>
    </row>
    <row r="75" spans="4:37" ht="20.100000000000001" customHeight="1">
      <c r="D75" s="27">
        <f t="shared" si="14"/>
        <v>0.19999999999999979</v>
      </c>
      <c r="E75" s="16">
        <f t="shared" si="11"/>
        <v>55.199999999998269</v>
      </c>
      <c r="F75" s="16">
        <f t="shared" si="11"/>
        <v>58.399999999999942</v>
      </c>
      <c r="G75" s="16">
        <f t="shared" si="11"/>
        <v>60.399999999997149</v>
      </c>
      <c r="H75" s="17">
        <f t="shared" si="11"/>
        <v>51.200000000000728</v>
      </c>
      <c r="I75" s="17">
        <f t="shared" si="11"/>
        <v>54.399999999999416</v>
      </c>
      <c r="J75" s="17">
        <f t="shared" si="11"/>
        <v>56.399999999999608</v>
      </c>
      <c r="K75" s="18">
        <f t="shared" si="11"/>
        <v>47.199999999998667</v>
      </c>
      <c r="L75" s="18">
        <f t="shared" si="11"/>
        <v>50.400000000001697</v>
      </c>
      <c r="M75" s="18">
        <f t="shared" si="11"/>
        <v>52.399999999998613</v>
      </c>
      <c r="N75" s="19">
        <f t="shared" si="11"/>
        <v>36.799999999999613</v>
      </c>
      <c r="O75" s="19">
        <f t="shared" si="11"/>
        <v>40.000000000001378</v>
      </c>
      <c r="P75" s="19">
        <f t="shared" si="11"/>
        <v>41.999999999999105</v>
      </c>
      <c r="Q75" s="20">
        <f t="shared" si="11"/>
        <v>34.800000000001077</v>
      </c>
      <c r="R75" s="20">
        <f t="shared" si="11"/>
        <v>38.000000000001464</v>
      </c>
      <c r="S75" s="20">
        <f t="shared" si="11"/>
        <v>40.000000000001378</v>
      </c>
      <c r="T75" s="21">
        <f t="shared" si="11"/>
        <v>32.800000000001511</v>
      </c>
      <c r="U75" s="21">
        <f t="shared" si="16"/>
        <v>36</v>
      </c>
      <c r="V75" s="21">
        <f t="shared" si="17"/>
        <v>38.000000000001464</v>
      </c>
      <c r="W75" s="22">
        <f t="shared" si="18"/>
        <v>30.800000000000182</v>
      </c>
      <c r="X75" s="22">
        <f t="shared" si="19"/>
        <v>33.999999999998636</v>
      </c>
      <c r="Y75" s="22">
        <f t="shared" si="20"/>
        <v>36</v>
      </c>
      <c r="Z75" s="23">
        <f t="shared" si="21"/>
        <v>28.799999999998995</v>
      </c>
      <c r="AA75" s="23">
        <f t="shared" si="12"/>
        <v>31.999999999999446</v>
      </c>
      <c r="AB75" s="23">
        <f t="shared" si="12"/>
        <v>33.999999999998636</v>
      </c>
      <c r="AC75" s="24">
        <f t="shared" si="12"/>
        <v>26.80000000000036</v>
      </c>
      <c r="AD75" s="24">
        <f t="shared" si="12"/>
        <v>29.99999999999994</v>
      </c>
      <c r="AE75" s="24">
        <f t="shared" si="12"/>
        <v>31.999999999999446</v>
      </c>
      <c r="AF75" s="25">
        <f t="shared" si="12"/>
        <v>24.799999999999553</v>
      </c>
      <c r="AG75" s="25">
        <f t="shared" si="12"/>
        <v>28.00000000000087</v>
      </c>
      <c r="AH75" s="25">
        <f t="shared" si="12"/>
        <v>29.99999999999994</v>
      </c>
      <c r="AI75" s="26">
        <f t="shared" si="12"/>
        <v>22.800000000000267</v>
      </c>
      <c r="AJ75" s="26">
        <f t="shared" si="12"/>
        <v>25.999999999999151</v>
      </c>
      <c r="AK75" s="26">
        <f t="shared" si="12"/>
        <v>28.00000000000087</v>
      </c>
    </row>
    <row r="76" spans="4:37" ht="20.100000000000001" customHeight="1">
      <c r="D76" s="27">
        <f t="shared" si="14"/>
        <v>0.20277777777777756</v>
      </c>
      <c r="E76" s="16">
        <f t="shared" si="11"/>
        <v>55.966666666664935</v>
      </c>
      <c r="F76" s="16">
        <f t="shared" si="11"/>
        <v>59.211111111111052</v>
      </c>
      <c r="G76" s="16">
        <f t="shared" si="11"/>
        <v>61.238888888886038</v>
      </c>
      <c r="H76" s="17">
        <f t="shared" si="11"/>
        <v>51.911111111111836</v>
      </c>
      <c r="I76" s="17">
        <f t="shared" si="11"/>
        <v>55.155555555554969</v>
      </c>
      <c r="J76" s="17">
        <f t="shared" si="11"/>
        <v>57.183333333332939</v>
      </c>
      <c r="K76" s="18">
        <f t="shared" si="11"/>
        <v>47.855555555554226</v>
      </c>
      <c r="L76" s="18">
        <f t="shared" si="11"/>
        <v>51.1000000000017</v>
      </c>
      <c r="M76" s="18">
        <f t="shared" si="11"/>
        <v>53.127777777776387</v>
      </c>
      <c r="N76" s="19">
        <f t="shared" si="11"/>
        <v>37.311111111110726</v>
      </c>
      <c r="O76" s="19">
        <f t="shared" si="11"/>
        <v>40.555555555556936</v>
      </c>
      <c r="P76" s="19">
        <f t="shared" si="11"/>
        <v>42.58333333333244</v>
      </c>
      <c r="Q76" s="20">
        <f t="shared" si="11"/>
        <v>35.283333333334411</v>
      </c>
      <c r="R76" s="20">
        <f t="shared" si="11"/>
        <v>38.527777777779242</v>
      </c>
      <c r="S76" s="20">
        <f t="shared" si="11"/>
        <v>40.555555555556936</v>
      </c>
      <c r="T76" s="21">
        <f t="shared" si="11"/>
        <v>33.255555555557066</v>
      </c>
      <c r="U76" s="21">
        <f t="shared" si="16"/>
        <v>36.5</v>
      </c>
      <c r="V76" s="21">
        <f t="shared" si="17"/>
        <v>38.527777777779242</v>
      </c>
      <c r="W76" s="22">
        <f t="shared" si="18"/>
        <v>31.227777777777959</v>
      </c>
      <c r="X76" s="22">
        <f t="shared" si="19"/>
        <v>34.472222222220857</v>
      </c>
      <c r="Y76" s="22">
        <f t="shared" si="20"/>
        <v>36.5</v>
      </c>
      <c r="Z76" s="23">
        <f t="shared" si="21"/>
        <v>29.199999999998994</v>
      </c>
      <c r="AA76" s="23">
        <f t="shared" si="12"/>
        <v>32.444444444443889</v>
      </c>
      <c r="AB76" s="23">
        <f t="shared" si="12"/>
        <v>34.472222222220857</v>
      </c>
      <c r="AC76" s="24">
        <f t="shared" si="12"/>
        <v>27.172222222222583</v>
      </c>
      <c r="AD76" s="24">
        <f t="shared" si="12"/>
        <v>30.416666666666607</v>
      </c>
      <c r="AE76" s="24">
        <f t="shared" si="12"/>
        <v>32.444444444443889</v>
      </c>
      <c r="AF76" s="25">
        <f t="shared" si="12"/>
        <v>25.144444444443998</v>
      </c>
      <c r="AG76" s="25">
        <f t="shared" si="12"/>
        <v>28.38888888888976</v>
      </c>
      <c r="AH76" s="25">
        <f t="shared" si="12"/>
        <v>30.416666666666607</v>
      </c>
      <c r="AI76" s="26">
        <f t="shared" si="12"/>
        <v>23.116666666666934</v>
      </c>
      <c r="AJ76" s="26">
        <f t="shared" si="12"/>
        <v>26.361111111110262</v>
      </c>
      <c r="AK76" s="26">
        <f t="shared" si="12"/>
        <v>28.38888888888976</v>
      </c>
    </row>
    <row r="77" spans="4:37" ht="20.100000000000001" customHeight="1">
      <c r="D77" s="27">
        <f t="shared" si="14"/>
        <v>0.20555555555555532</v>
      </c>
      <c r="E77" s="16">
        <f t="shared" si="11"/>
        <v>56.733333333331601</v>
      </c>
      <c r="F77" s="16">
        <f t="shared" si="11"/>
        <v>60.022222222222162</v>
      </c>
      <c r="G77" s="16">
        <f t="shared" si="11"/>
        <v>62.077777777774926</v>
      </c>
      <c r="H77" s="17">
        <f t="shared" si="11"/>
        <v>52.622222222222945</v>
      </c>
      <c r="I77" s="17">
        <f t="shared" si="11"/>
        <v>55.911111111110522</v>
      </c>
      <c r="J77" s="17">
        <f t="shared" si="11"/>
        <v>57.966666666666271</v>
      </c>
      <c r="K77" s="18">
        <f t="shared" si="11"/>
        <v>48.511111111109784</v>
      </c>
      <c r="L77" s="18">
        <f t="shared" si="11"/>
        <v>51.800000000001702</v>
      </c>
      <c r="M77" s="18">
        <f t="shared" si="11"/>
        <v>53.855555555554162</v>
      </c>
      <c r="N77" s="19">
        <f t="shared" si="11"/>
        <v>37.822222222221839</v>
      </c>
      <c r="O77" s="19">
        <f t="shared" si="11"/>
        <v>41.111111111112493</v>
      </c>
      <c r="P77" s="19">
        <f t="shared" si="11"/>
        <v>43.166666666665776</v>
      </c>
      <c r="Q77" s="20">
        <f t="shared" si="11"/>
        <v>35.766666666667746</v>
      </c>
      <c r="R77" s="20">
        <f t="shared" si="11"/>
        <v>39.055555555557021</v>
      </c>
      <c r="S77" s="20">
        <f t="shared" si="11"/>
        <v>41.111111111112493</v>
      </c>
      <c r="T77" s="21">
        <f t="shared" si="11"/>
        <v>33.711111111112622</v>
      </c>
      <c r="U77" s="21">
        <f t="shared" si="16"/>
        <v>37</v>
      </c>
      <c r="V77" s="21">
        <f t="shared" si="17"/>
        <v>39.055555555557021</v>
      </c>
      <c r="W77" s="22">
        <f t="shared" si="18"/>
        <v>31.655555555555736</v>
      </c>
      <c r="X77" s="22">
        <f t="shared" si="19"/>
        <v>34.944444444443079</v>
      </c>
      <c r="Y77" s="22">
        <f t="shared" si="20"/>
        <v>37</v>
      </c>
      <c r="Z77" s="23">
        <f t="shared" si="21"/>
        <v>29.599999999998992</v>
      </c>
      <c r="AA77" s="23">
        <f t="shared" si="12"/>
        <v>32.888888888888332</v>
      </c>
      <c r="AB77" s="23">
        <f t="shared" si="12"/>
        <v>34.944444444443079</v>
      </c>
      <c r="AC77" s="24">
        <f t="shared" si="12"/>
        <v>27.544444444444807</v>
      </c>
      <c r="AD77" s="24">
        <f t="shared" si="12"/>
        <v>30.833333333333275</v>
      </c>
      <c r="AE77" s="24">
        <f t="shared" si="12"/>
        <v>32.888888888888332</v>
      </c>
      <c r="AF77" s="25">
        <f t="shared" si="12"/>
        <v>25.488888888888443</v>
      </c>
      <c r="AG77" s="25">
        <f t="shared" si="12"/>
        <v>28.777777777778649</v>
      </c>
      <c r="AH77" s="25">
        <f t="shared" si="12"/>
        <v>30.833333333333275</v>
      </c>
      <c r="AI77" s="26">
        <f t="shared" si="12"/>
        <v>23.4333333333336</v>
      </c>
      <c r="AJ77" s="26">
        <f t="shared" si="12"/>
        <v>26.722222222221372</v>
      </c>
      <c r="AK77" s="26">
        <f t="shared" si="12"/>
        <v>28.777777777778649</v>
      </c>
    </row>
    <row r="78" spans="4:37" ht="20.100000000000001" customHeight="1">
      <c r="D78" s="27">
        <f t="shared" si="14"/>
        <v>0.20833333333333309</v>
      </c>
      <c r="E78" s="16">
        <f t="shared" si="11"/>
        <v>57.499999999998266</v>
      </c>
      <c r="F78" s="16">
        <f t="shared" si="11"/>
        <v>60.833333333333272</v>
      </c>
      <c r="G78" s="16">
        <f t="shared" si="11"/>
        <v>62.916666666663815</v>
      </c>
      <c r="H78" s="17">
        <f t="shared" si="11"/>
        <v>53.333333333334053</v>
      </c>
      <c r="I78" s="17">
        <f t="shared" si="11"/>
        <v>56.666666666666075</v>
      </c>
      <c r="J78" s="17">
        <f t="shared" si="11"/>
        <v>58.749999999999602</v>
      </c>
      <c r="K78" s="18">
        <f t="shared" si="11"/>
        <v>49.166666666665343</v>
      </c>
      <c r="L78" s="18">
        <f t="shared" si="11"/>
        <v>52.500000000001705</v>
      </c>
      <c r="M78" s="18">
        <f t="shared" si="11"/>
        <v>54.583333333331936</v>
      </c>
      <c r="N78" s="19">
        <f t="shared" si="11"/>
        <v>38.333333333332952</v>
      </c>
      <c r="O78" s="19">
        <f t="shared" si="11"/>
        <v>41.66666666666805</v>
      </c>
      <c r="P78" s="19">
        <f t="shared" si="11"/>
        <v>43.749999999999112</v>
      </c>
      <c r="Q78" s="20">
        <f t="shared" si="11"/>
        <v>36.25000000000108</v>
      </c>
      <c r="R78" s="20">
        <f t="shared" si="11"/>
        <v>39.583333333334799</v>
      </c>
      <c r="S78" s="20">
        <f t="shared" si="11"/>
        <v>41.66666666666805</v>
      </c>
      <c r="T78" s="21">
        <f t="shared" si="11"/>
        <v>34.166666666668178</v>
      </c>
      <c r="U78" s="21">
        <f t="shared" si="16"/>
        <v>37.5</v>
      </c>
      <c r="V78" s="21">
        <f t="shared" si="17"/>
        <v>39.583333333334799</v>
      </c>
      <c r="W78" s="22">
        <f t="shared" si="18"/>
        <v>32.083333333333513</v>
      </c>
      <c r="X78" s="22">
        <f t="shared" si="19"/>
        <v>35.4166666666653</v>
      </c>
      <c r="Y78" s="22">
        <f t="shared" si="20"/>
        <v>37.5</v>
      </c>
      <c r="Z78" s="23">
        <f t="shared" si="21"/>
        <v>29.999999999998991</v>
      </c>
      <c r="AA78" s="23">
        <f t="shared" ref="AA78:AA91" si="22">AA79-(AA$363/360)</f>
        <v>33.333333333332774</v>
      </c>
      <c r="AB78" s="23">
        <f t="shared" ref="AB78:AB91" si="23">AB79-(AB$363/360)</f>
        <v>35.4166666666653</v>
      </c>
      <c r="AC78" s="24">
        <f t="shared" si="12"/>
        <v>27.91666666666703</v>
      </c>
      <c r="AD78" s="24">
        <f t="shared" si="12"/>
        <v>31.249999999999943</v>
      </c>
      <c r="AE78" s="24">
        <f t="shared" si="12"/>
        <v>33.333333333332774</v>
      </c>
      <c r="AF78" s="25">
        <f t="shared" si="12"/>
        <v>25.833333333332888</v>
      </c>
      <c r="AG78" s="25">
        <f t="shared" si="12"/>
        <v>29.166666666667538</v>
      </c>
      <c r="AH78" s="25">
        <f t="shared" si="12"/>
        <v>31.249999999999943</v>
      </c>
      <c r="AI78" s="26">
        <f t="shared" si="12"/>
        <v>23.750000000000266</v>
      </c>
      <c r="AJ78" s="26">
        <f t="shared" si="12"/>
        <v>27.083333333332483</v>
      </c>
      <c r="AK78" s="26">
        <f t="shared" si="12"/>
        <v>29.166666666667538</v>
      </c>
    </row>
    <row r="79" spans="4:37" ht="20.100000000000001" customHeight="1">
      <c r="D79" s="27">
        <f t="shared" si="14"/>
        <v>0.21111111111111086</v>
      </c>
      <c r="E79" s="16">
        <f t="shared" si="11"/>
        <v>58.266666666664932</v>
      </c>
      <c r="F79" s="16">
        <f t="shared" si="11"/>
        <v>61.644444444444382</v>
      </c>
      <c r="G79" s="16">
        <f t="shared" si="11"/>
        <v>63.755555555552704</v>
      </c>
      <c r="H79" s="17">
        <f t="shared" si="11"/>
        <v>54.044444444445162</v>
      </c>
      <c r="I79" s="17">
        <f t="shared" si="11"/>
        <v>57.422222222221627</v>
      </c>
      <c r="J79" s="17">
        <f t="shared" si="11"/>
        <v>59.533333333332934</v>
      </c>
      <c r="K79" s="18">
        <f t="shared" si="11"/>
        <v>49.822222222220901</v>
      </c>
      <c r="L79" s="18">
        <f t="shared" si="11"/>
        <v>53.200000000001708</v>
      </c>
      <c r="M79" s="18">
        <f t="shared" si="11"/>
        <v>55.31111111110971</v>
      </c>
      <c r="N79" s="19">
        <f t="shared" si="11"/>
        <v>38.844444444444065</v>
      </c>
      <c r="O79" s="19">
        <f t="shared" si="11"/>
        <v>42.222222222223607</v>
      </c>
      <c r="P79" s="19">
        <f t="shared" si="11"/>
        <v>44.333333333332448</v>
      </c>
      <c r="Q79" s="20">
        <f t="shared" si="11"/>
        <v>36.733333333334414</v>
      </c>
      <c r="R79" s="20">
        <f t="shared" si="11"/>
        <v>40.111111111112578</v>
      </c>
      <c r="S79" s="20">
        <f t="shared" si="11"/>
        <v>42.222222222223607</v>
      </c>
      <c r="T79" s="21">
        <f t="shared" si="11"/>
        <v>34.622222222223733</v>
      </c>
      <c r="U79" s="21">
        <f t="shared" si="16"/>
        <v>38</v>
      </c>
      <c r="V79" s="21">
        <f t="shared" si="17"/>
        <v>40.111111111112578</v>
      </c>
      <c r="W79" s="22">
        <f t="shared" si="18"/>
        <v>32.51111111111129</v>
      </c>
      <c r="X79" s="22">
        <f t="shared" si="19"/>
        <v>35.888888888887521</v>
      </c>
      <c r="Y79" s="22">
        <f t="shared" si="20"/>
        <v>38</v>
      </c>
      <c r="Z79" s="23">
        <f t="shared" si="21"/>
        <v>30.39999999999899</v>
      </c>
      <c r="AA79" s="23">
        <f t="shared" si="22"/>
        <v>33.777777777777217</v>
      </c>
      <c r="AB79" s="23">
        <f t="shared" si="23"/>
        <v>35.888888888887521</v>
      </c>
      <c r="AC79" s="24">
        <f t="shared" si="12"/>
        <v>28.288888888889254</v>
      </c>
      <c r="AD79" s="24">
        <f t="shared" si="12"/>
        <v>31.666666666666611</v>
      </c>
      <c r="AE79" s="24">
        <f t="shared" si="12"/>
        <v>33.777777777777217</v>
      </c>
      <c r="AF79" s="25">
        <f t="shared" si="12"/>
        <v>26.177777777777333</v>
      </c>
      <c r="AG79" s="25">
        <f t="shared" si="12"/>
        <v>29.555555555556428</v>
      </c>
      <c r="AH79" s="25">
        <f t="shared" si="12"/>
        <v>31.666666666666611</v>
      </c>
      <c r="AI79" s="26">
        <f t="shared" si="12"/>
        <v>24.066666666666933</v>
      </c>
      <c r="AJ79" s="26">
        <f t="shared" si="12"/>
        <v>27.444444444443594</v>
      </c>
      <c r="AK79" s="26">
        <f t="shared" si="12"/>
        <v>29.555555555556428</v>
      </c>
    </row>
    <row r="80" spans="4:37" ht="20.100000000000001" customHeight="1">
      <c r="D80" s="27">
        <f t="shared" si="14"/>
        <v>0.21388888888888863</v>
      </c>
      <c r="E80" s="16">
        <f t="shared" si="11"/>
        <v>59.033333333331598</v>
      </c>
      <c r="F80" s="16">
        <f t="shared" si="11"/>
        <v>62.455555555555492</v>
      </c>
      <c r="G80" s="16">
        <f t="shared" si="11"/>
        <v>64.594444444441592</v>
      </c>
      <c r="H80" s="17">
        <f t="shared" si="11"/>
        <v>54.755555555556271</v>
      </c>
      <c r="I80" s="17">
        <f t="shared" si="11"/>
        <v>58.17777777777718</v>
      </c>
      <c r="J80" s="17">
        <f t="shared" si="11"/>
        <v>60.316666666666265</v>
      </c>
      <c r="K80" s="18">
        <f t="shared" si="11"/>
        <v>50.47777777777646</v>
      </c>
      <c r="L80" s="18">
        <f t="shared" si="11"/>
        <v>53.900000000001711</v>
      </c>
      <c r="M80" s="18">
        <f t="shared" si="11"/>
        <v>56.038888888887485</v>
      </c>
      <c r="N80" s="19">
        <f t="shared" si="11"/>
        <v>39.355555555555178</v>
      </c>
      <c r="O80" s="19">
        <f t="shared" ref="O80:T80" si="24">O81-(O$363/360)</f>
        <v>42.777777777779164</v>
      </c>
      <c r="P80" s="19">
        <f t="shared" si="24"/>
        <v>44.916666666665783</v>
      </c>
      <c r="Q80" s="20">
        <f t="shared" si="24"/>
        <v>37.216666666667749</v>
      </c>
      <c r="R80" s="20">
        <f t="shared" si="24"/>
        <v>40.638888888890357</v>
      </c>
      <c r="S80" s="20">
        <f t="shared" si="24"/>
        <v>42.777777777779164</v>
      </c>
      <c r="T80" s="21">
        <f t="shared" si="24"/>
        <v>35.077777777779289</v>
      </c>
      <c r="U80" s="21">
        <f t="shared" si="16"/>
        <v>38.5</v>
      </c>
      <c r="V80" s="21">
        <f t="shared" si="17"/>
        <v>40.638888888890357</v>
      </c>
      <c r="W80" s="22">
        <f t="shared" si="18"/>
        <v>32.938888888889068</v>
      </c>
      <c r="X80" s="22">
        <f t="shared" si="19"/>
        <v>36.361111111109743</v>
      </c>
      <c r="Y80" s="22">
        <f t="shared" si="20"/>
        <v>38.5</v>
      </c>
      <c r="Z80" s="23">
        <f t="shared" si="21"/>
        <v>30.799999999998988</v>
      </c>
      <c r="AA80" s="23">
        <f t="shared" si="22"/>
        <v>34.22222222222166</v>
      </c>
      <c r="AB80" s="23">
        <f t="shared" si="23"/>
        <v>36.361111111109743</v>
      </c>
      <c r="AC80" s="24">
        <f t="shared" si="12"/>
        <v>28.661111111111477</v>
      </c>
      <c r="AD80" s="24">
        <f t="shared" si="12"/>
        <v>32.083333333333279</v>
      </c>
      <c r="AE80" s="24">
        <f t="shared" si="12"/>
        <v>34.22222222222166</v>
      </c>
      <c r="AF80" s="25">
        <f t="shared" si="12"/>
        <v>26.522222222221778</v>
      </c>
      <c r="AG80" s="25">
        <f t="shared" si="12"/>
        <v>29.944444444445317</v>
      </c>
      <c r="AH80" s="25">
        <f t="shared" si="12"/>
        <v>32.083333333333279</v>
      </c>
      <c r="AI80" s="26">
        <f t="shared" si="12"/>
        <v>24.383333333333599</v>
      </c>
      <c r="AJ80" s="26">
        <f t="shared" si="12"/>
        <v>27.805555555554704</v>
      </c>
      <c r="AK80" s="26">
        <f t="shared" si="12"/>
        <v>29.944444444445317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59.799999999998263</v>
      </c>
      <c r="F81" s="16">
        <f t="shared" si="25"/>
        <v>63.266666666666602</v>
      </c>
      <c r="G81" s="16">
        <f t="shared" si="25"/>
        <v>65.433333333330481</v>
      </c>
      <c r="H81" s="17">
        <f t="shared" si="25"/>
        <v>55.466666666667379</v>
      </c>
      <c r="I81" s="17">
        <f t="shared" si="25"/>
        <v>58.933333333332733</v>
      </c>
      <c r="J81" s="17">
        <f t="shared" si="25"/>
        <v>61.099999999999596</v>
      </c>
      <c r="K81" s="18">
        <f t="shared" si="25"/>
        <v>51.133333333332018</v>
      </c>
      <c r="L81" s="18">
        <f t="shared" si="25"/>
        <v>54.600000000001714</v>
      </c>
      <c r="M81" s="18">
        <f t="shared" si="25"/>
        <v>56.766666666665259</v>
      </c>
      <c r="N81" s="19">
        <f t="shared" si="25"/>
        <v>39.866666666666291</v>
      </c>
      <c r="O81" s="19">
        <f t="shared" si="25"/>
        <v>43.333333333334721</v>
      </c>
      <c r="P81" s="19">
        <f t="shared" si="25"/>
        <v>45.499999999999119</v>
      </c>
      <c r="Q81" s="20">
        <f t="shared" si="25"/>
        <v>37.700000000001083</v>
      </c>
      <c r="R81" s="20">
        <f t="shared" si="25"/>
        <v>41.166666666668135</v>
      </c>
      <c r="S81" s="20">
        <f t="shared" si="25"/>
        <v>43.333333333334721</v>
      </c>
      <c r="T81" s="21">
        <f t="shared" si="25"/>
        <v>35.533333333334845</v>
      </c>
      <c r="U81" s="21">
        <f t="shared" si="16"/>
        <v>39</v>
      </c>
      <c r="V81" s="21">
        <f t="shared" si="17"/>
        <v>41.166666666668135</v>
      </c>
      <c r="W81" s="22">
        <f t="shared" si="18"/>
        <v>33.366666666666845</v>
      </c>
      <c r="X81" s="22">
        <f t="shared" si="19"/>
        <v>36.833333333331964</v>
      </c>
      <c r="Y81" s="22">
        <f t="shared" si="20"/>
        <v>39</v>
      </c>
      <c r="Z81" s="23">
        <f t="shared" si="21"/>
        <v>31.199999999998987</v>
      </c>
      <c r="AA81" s="23">
        <f t="shared" si="22"/>
        <v>34.666666666666103</v>
      </c>
      <c r="AB81" s="23">
        <f t="shared" si="23"/>
        <v>36.833333333331964</v>
      </c>
      <c r="AC81" s="24">
        <f t="shared" si="12"/>
        <v>29.033333333333701</v>
      </c>
      <c r="AD81" s="24">
        <f t="shared" si="12"/>
        <v>32.499999999999943</v>
      </c>
      <c r="AE81" s="24">
        <f t="shared" si="12"/>
        <v>34.666666666666103</v>
      </c>
      <c r="AF81" s="25">
        <f t="shared" si="12"/>
        <v>26.866666666666223</v>
      </c>
      <c r="AG81" s="25">
        <f t="shared" si="12"/>
        <v>30.333333333334206</v>
      </c>
      <c r="AH81" s="25">
        <f t="shared" si="12"/>
        <v>32.499999999999943</v>
      </c>
      <c r="AI81" s="26">
        <f t="shared" si="12"/>
        <v>24.700000000000266</v>
      </c>
      <c r="AJ81" s="26">
        <f t="shared" si="12"/>
        <v>28.166666666665815</v>
      </c>
      <c r="AK81" s="26">
        <f t="shared" si="12"/>
        <v>30.333333333334206</v>
      </c>
    </row>
    <row r="82" spans="4:37" ht="20.100000000000001" customHeight="1">
      <c r="D82" s="27">
        <f t="shared" si="14"/>
        <v>0.21944444444444416</v>
      </c>
      <c r="E82" s="16">
        <f t="shared" si="25"/>
        <v>60.566666666664929</v>
      </c>
      <c r="F82" s="16">
        <f t="shared" si="25"/>
        <v>64.077777777777712</v>
      </c>
      <c r="G82" s="16">
        <f t="shared" si="25"/>
        <v>66.272222222219369</v>
      </c>
      <c r="H82" s="17">
        <f t="shared" si="25"/>
        <v>56.177777777778488</v>
      </c>
      <c r="I82" s="17">
        <f t="shared" si="25"/>
        <v>59.688888888888286</v>
      </c>
      <c r="J82" s="17">
        <f t="shared" si="25"/>
        <v>61.883333333332928</v>
      </c>
      <c r="K82" s="18">
        <f t="shared" si="25"/>
        <v>51.788888888887577</v>
      </c>
      <c r="L82" s="18">
        <f t="shared" si="25"/>
        <v>55.300000000001717</v>
      </c>
      <c r="M82" s="18">
        <f t="shared" si="25"/>
        <v>57.494444444443033</v>
      </c>
      <c r="N82" s="19">
        <f t="shared" si="25"/>
        <v>40.377777777777403</v>
      </c>
      <c r="O82" s="19">
        <f t="shared" si="25"/>
        <v>43.888888888890278</v>
      </c>
      <c r="P82" s="19">
        <f t="shared" si="25"/>
        <v>46.083333333332455</v>
      </c>
      <c r="Q82" s="20">
        <f t="shared" si="25"/>
        <v>38.183333333334417</v>
      </c>
      <c r="R82" s="20">
        <f t="shared" si="25"/>
        <v>41.694444444445914</v>
      </c>
      <c r="S82" s="20">
        <f t="shared" si="25"/>
        <v>43.888888888890278</v>
      </c>
      <c r="T82" s="21">
        <f t="shared" si="25"/>
        <v>35.988888888890401</v>
      </c>
      <c r="U82" s="21">
        <f t="shared" si="16"/>
        <v>39.5</v>
      </c>
      <c r="V82" s="21">
        <f t="shared" si="17"/>
        <v>41.694444444445914</v>
      </c>
      <c r="W82" s="22">
        <f t="shared" si="18"/>
        <v>33.794444444444622</v>
      </c>
      <c r="X82" s="22">
        <f t="shared" si="19"/>
        <v>37.305555555554186</v>
      </c>
      <c r="Y82" s="22">
        <f t="shared" si="20"/>
        <v>39.5</v>
      </c>
      <c r="Z82" s="23">
        <f t="shared" si="21"/>
        <v>31.599999999998985</v>
      </c>
      <c r="AA82" s="23">
        <f t="shared" si="22"/>
        <v>35.111111111110546</v>
      </c>
      <c r="AB82" s="23">
        <f t="shared" si="23"/>
        <v>37.305555555554186</v>
      </c>
      <c r="AC82" s="24">
        <f t="shared" si="12"/>
        <v>29.405555555555924</v>
      </c>
      <c r="AD82" s="24">
        <f t="shared" si="12"/>
        <v>32.916666666666607</v>
      </c>
      <c r="AE82" s="24">
        <f t="shared" si="12"/>
        <v>35.111111111110546</v>
      </c>
      <c r="AF82" s="25">
        <f t="shared" si="12"/>
        <v>27.211111111110668</v>
      </c>
      <c r="AG82" s="25">
        <f t="shared" si="12"/>
        <v>30.722222222223095</v>
      </c>
      <c r="AH82" s="25">
        <f t="shared" si="12"/>
        <v>32.916666666666607</v>
      </c>
      <c r="AI82" s="26">
        <f t="shared" si="12"/>
        <v>25.016666666666932</v>
      </c>
      <c r="AJ82" s="26">
        <f t="shared" si="12"/>
        <v>28.527777777776926</v>
      </c>
      <c r="AK82" s="26">
        <f t="shared" si="12"/>
        <v>30.722222222223095</v>
      </c>
    </row>
    <row r="83" spans="4:37" ht="20.100000000000001" customHeight="1">
      <c r="D83" s="27">
        <f t="shared" si="14"/>
        <v>0.22222222222222193</v>
      </c>
      <c r="E83" s="16">
        <f t="shared" si="25"/>
        <v>61.333333333331595</v>
      </c>
      <c r="F83" s="16">
        <f t="shared" si="25"/>
        <v>64.888888888888829</v>
      </c>
      <c r="G83" s="16">
        <f t="shared" si="25"/>
        <v>67.111111111108258</v>
      </c>
      <c r="H83" s="17">
        <f t="shared" si="25"/>
        <v>56.888888888889596</v>
      </c>
      <c r="I83" s="17">
        <f t="shared" si="25"/>
        <v>60.444444444443839</v>
      </c>
      <c r="J83" s="17">
        <f t="shared" si="25"/>
        <v>62.666666666666259</v>
      </c>
      <c r="K83" s="18">
        <f t="shared" si="25"/>
        <v>52.444444444443135</v>
      </c>
      <c r="L83" s="18">
        <f t="shared" si="25"/>
        <v>56.00000000000172</v>
      </c>
      <c r="M83" s="18">
        <f t="shared" si="25"/>
        <v>58.222222222220807</v>
      </c>
      <c r="N83" s="19">
        <f t="shared" si="25"/>
        <v>40.888888888888516</v>
      </c>
      <c r="O83" s="19">
        <f t="shared" si="25"/>
        <v>44.444444444445836</v>
      </c>
      <c r="P83" s="19">
        <f t="shared" si="25"/>
        <v>46.66666666666579</v>
      </c>
      <c r="Q83" s="20">
        <f t="shared" si="25"/>
        <v>38.666666666667751</v>
      </c>
      <c r="R83" s="20">
        <f t="shared" si="25"/>
        <v>42.222222222223692</v>
      </c>
      <c r="S83" s="20">
        <f t="shared" si="25"/>
        <v>44.444444444445836</v>
      </c>
      <c r="T83" s="21">
        <f t="shared" si="25"/>
        <v>36.444444444445956</v>
      </c>
      <c r="U83" s="21">
        <f t="shared" si="16"/>
        <v>40</v>
      </c>
      <c r="V83" s="21">
        <f t="shared" si="17"/>
        <v>42.222222222223692</v>
      </c>
      <c r="W83" s="22">
        <f t="shared" si="18"/>
        <v>34.222222222222399</v>
      </c>
      <c r="X83" s="22">
        <f t="shared" si="19"/>
        <v>37.777777777776407</v>
      </c>
      <c r="Y83" s="22">
        <f t="shared" si="20"/>
        <v>40</v>
      </c>
      <c r="Z83" s="23">
        <f t="shared" si="21"/>
        <v>31.999999999998984</v>
      </c>
      <c r="AA83" s="23">
        <f t="shared" si="22"/>
        <v>35.555555555554989</v>
      </c>
      <c r="AB83" s="23">
        <f t="shared" si="23"/>
        <v>37.777777777776407</v>
      </c>
      <c r="AC83" s="24">
        <f t="shared" si="12"/>
        <v>29.777777777778148</v>
      </c>
      <c r="AD83" s="24">
        <f t="shared" si="12"/>
        <v>33.333333333333272</v>
      </c>
      <c r="AE83" s="24">
        <f t="shared" si="12"/>
        <v>35.555555555554989</v>
      </c>
      <c r="AF83" s="25">
        <f t="shared" si="12"/>
        <v>27.555555555555113</v>
      </c>
      <c r="AG83" s="25">
        <f t="shared" si="12"/>
        <v>31.111111111111985</v>
      </c>
      <c r="AH83" s="25">
        <f t="shared" si="12"/>
        <v>33.333333333333272</v>
      </c>
      <c r="AI83" s="26">
        <f t="shared" si="12"/>
        <v>25.333333333333599</v>
      </c>
      <c r="AJ83" s="26">
        <f t="shared" si="12"/>
        <v>28.888888888888037</v>
      </c>
      <c r="AK83" s="26">
        <f t="shared" si="12"/>
        <v>31.111111111111985</v>
      </c>
    </row>
    <row r="84" spans="4:37" ht="20.100000000000001" customHeight="1">
      <c r="D84" s="27">
        <f t="shared" si="14"/>
        <v>0.2249999999999997</v>
      </c>
      <c r="E84" s="16">
        <f t="shared" si="25"/>
        <v>62.099999999998261</v>
      </c>
      <c r="F84" s="16">
        <f t="shared" si="25"/>
        <v>65.699999999999946</v>
      </c>
      <c r="G84" s="16">
        <f t="shared" si="25"/>
        <v>67.949999999997146</v>
      </c>
      <c r="H84" s="17">
        <f t="shared" si="25"/>
        <v>57.600000000000705</v>
      </c>
      <c r="I84" s="17">
        <f t="shared" si="25"/>
        <v>61.199999999999392</v>
      </c>
      <c r="J84" s="17">
        <f t="shared" si="25"/>
        <v>63.449999999999591</v>
      </c>
      <c r="K84" s="18">
        <f t="shared" si="25"/>
        <v>53.099999999998694</v>
      </c>
      <c r="L84" s="18">
        <f t="shared" si="25"/>
        <v>56.700000000001722</v>
      </c>
      <c r="M84" s="18">
        <f t="shared" si="25"/>
        <v>58.949999999998582</v>
      </c>
      <c r="N84" s="19">
        <f t="shared" si="25"/>
        <v>41.399999999999629</v>
      </c>
      <c r="O84" s="19">
        <f t="shared" si="25"/>
        <v>45.000000000001393</v>
      </c>
      <c r="P84" s="19">
        <f t="shared" si="25"/>
        <v>47.249999999999126</v>
      </c>
      <c r="Q84" s="20">
        <f t="shared" si="25"/>
        <v>39.150000000001086</v>
      </c>
      <c r="R84" s="20">
        <f t="shared" si="25"/>
        <v>42.750000000001471</v>
      </c>
      <c r="S84" s="20">
        <f t="shared" si="25"/>
        <v>45.000000000001393</v>
      </c>
      <c r="T84" s="21">
        <f t="shared" si="25"/>
        <v>36.900000000001512</v>
      </c>
      <c r="U84" s="21">
        <f t="shared" si="16"/>
        <v>40.5</v>
      </c>
      <c r="V84" s="21">
        <f t="shared" si="17"/>
        <v>42.750000000001471</v>
      </c>
      <c r="W84" s="22">
        <f t="shared" si="18"/>
        <v>34.650000000000176</v>
      </c>
      <c r="X84" s="22">
        <f t="shared" si="19"/>
        <v>38.249999999998629</v>
      </c>
      <c r="Y84" s="22">
        <f t="shared" si="20"/>
        <v>40.5</v>
      </c>
      <c r="Z84" s="23">
        <f t="shared" si="21"/>
        <v>32.399999999998983</v>
      </c>
      <c r="AA84" s="23">
        <f t="shared" si="22"/>
        <v>35.999999999999432</v>
      </c>
      <c r="AB84" s="23">
        <f t="shared" si="23"/>
        <v>38.249999999998629</v>
      </c>
      <c r="AC84" s="24">
        <f t="shared" si="12"/>
        <v>30.150000000000372</v>
      </c>
      <c r="AD84" s="24">
        <f t="shared" si="12"/>
        <v>33.749999999999936</v>
      </c>
      <c r="AE84" s="24">
        <f t="shared" si="12"/>
        <v>35.999999999999432</v>
      </c>
      <c r="AF84" s="25">
        <f t="shared" si="12"/>
        <v>27.899999999999558</v>
      </c>
      <c r="AG84" s="25">
        <f t="shared" si="12"/>
        <v>31.500000000000874</v>
      </c>
      <c r="AH84" s="25">
        <f t="shared" si="12"/>
        <v>33.749999999999936</v>
      </c>
      <c r="AI84" s="26">
        <f t="shared" si="12"/>
        <v>25.650000000000265</v>
      </c>
      <c r="AJ84" s="26">
        <f t="shared" si="12"/>
        <v>29.249999999999147</v>
      </c>
      <c r="AK84" s="26">
        <f t="shared" si="12"/>
        <v>31.500000000000874</v>
      </c>
    </row>
    <row r="85" spans="4:37" ht="20.100000000000001" customHeight="1">
      <c r="D85" s="27">
        <f t="shared" si="14"/>
        <v>0.22777777777777747</v>
      </c>
      <c r="E85" s="16">
        <f t="shared" si="25"/>
        <v>62.866666666664926</v>
      </c>
      <c r="F85" s="16">
        <f t="shared" si="25"/>
        <v>66.511111111111063</v>
      </c>
      <c r="G85" s="16">
        <f t="shared" si="25"/>
        <v>68.788888888886035</v>
      </c>
      <c r="H85" s="17">
        <f t="shared" si="25"/>
        <v>58.311111111111813</v>
      </c>
      <c r="I85" s="17">
        <f t="shared" si="25"/>
        <v>61.955555555554945</v>
      </c>
      <c r="J85" s="17">
        <f t="shared" si="25"/>
        <v>64.233333333332922</v>
      </c>
      <c r="K85" s="18">
        <f t="shared" si="25"/>
        <v>53.755555555554253</v>
      </c>
      <c r="L85" s="18">
        <f t="shared" si="25"/>
        <v>57.400000000001725</v>
      </c>
      <c r="M85" s="18">
        <f t="shared" si="25"/>
        <v>59.677777777776356</v>
      </c>
      <c r="N85" s="19">
        <f t="shared" si="25"/>
        <v>41.911111111110742</v>
      </c>
      <c r="O85" s="19">
        <f t="shared" si="25"/>
        <v>45.55555555555695</v>
      </c>
      <c r="P85" s="19">
        <f t="shared" si="25"/>
        <v>47.833333333332462</v>
      </c>
      <c r="Q85" s="20">
        <f t="shared" si="25"/>
        <v>39.63333333333442</v>
      </c>
      <c r="R85" s="20">
        <f t="shared" si="25"/>
        <v>43.277777777779249</v>
      </c>
      <c r="S85" s="20">
        <f t="shared" si="25"/>
        <v>45.55555555555695</v>
      </c>
      <c r="T85" s="21">
        <f t="shared" si="25"/>
        <v>37.355555555557068</v>
      </c>
      <c r="U85" s="21">
        <f t="shared" si="16"/>
        <v>41</v>
      </c>
      <c r="V85" s="21">
        <f t="shared" si="17"/>
        <v>43.277777777779249</v>
      </c>
      <c r="W85" s="22">
        <f t="shared" si="18"/>
        <v>35.077777777777953</v>
      </c>
      <c r="X85" s="22">
        <f t="shared" si="19"/>
        <v>38.72222222222085</v>
      </c>
      <c r="Y85" s="22">
        <f t="shared" si="20"/>
        <v>41</v>
      </c>
      <c r="Z85" s="23">
        <f t="shared" si="21"/>
        <v>32.799999999998981</v>
      </c>
      <c r="AA85" s="23">
        <f t="shared" si="22"/>
        <v>36.444444444443874</v>
      </c>
      <c r="AB85" s="23">
        <f t="shared" si="23"/>
        <v>38.72222222222085</v>
      </c>
      <c r="AC85" s="24">
        <f t="shared" si="12"/>
        <v>30.522222222222595</v>
      </c>
      <c r="AD85" s="24">
        <f t="shared" si="12"/>
        <v>34.1666666666666</v>
      </c>
      <c r="AE85" s="24">
        <f t="shared" si="12"/>
        <v>36.444444444443874</v>
      </c>
      <c r="AF85" s="25">
        <f t="shared" ref="AF85:AK85" si="26">AF86-(AF$363/360)</f>
        <v>28.244444444444003</v>
      </c>
      <c r="AG85" s="25">
        <f t="shared" si="26"/>
        <v>31.888888888889763</v>
      </c>
      <c r="AH85" s="25">
        <f t="shared" si="26"/>
        <v>34.1666666666666</v>
      </c>
      <c r="AI85" s="26">
        <f t="shared" si="26"/>
        <v>25.966666666666931</v>
      </c>
      <c r="AJ85" s="26">
        <f t="shared" si="26"/>
        <v>29.611111111110258</v>
      </c>
      <c r="AK85" s="26">
        <f t="shared" si="26"/>
        <v>31.888888888889763</v>
      </c>
    </row>
    <row r="86" spans="4:37" ht="20.100000000000001" customHeight="1">
      <c r="D86" s="27">
        <f t="shared" si="14"/>
        <v>0.23055555555555524</v>
      </c>
      <c r="E86" s="16">
        <f t="shared" si="25"/>
        <v>63.633333333331592</v>
      </c>
      <c r="F86" s="16">
        <f t="shared" si="25"/>
        <v>67.32222222222218</v>
      </c>
      <c r="G86" s="16">
        <f t="shared" si="25"/>
        <v>69.627777777774924</v>
      </c>
      <c r="H86" s="17">
        <f t="shared" si="25"/>
        <v>59.022222222222922</v>
      </c>
      <c r="I86" s="17">
        <f t="shared" si="25"/>
        <v>62.711111111110498</v>
      </c>
      <c r="J86" s="17">
        <f t="shared" si="25"/>
        <v>65.016666666666254</v>
      </c>
      <c r="K86" s="18">
        <f t="shared" si="25"/>
        <v>54.411111111109811</v>
      </c>
      <c r="L86" s="18">
        <f t="shared" si="25"/>
        <v>58.100000000001728</v>
      </c>
      <c r="M86" s="18">
        <f t="shared" si="25"/>
        <v>60.40555555555413</v>
      </c>
      <c r="N86" s="19">
        <f t="shared" si="25"/>
        <v>42.422222222221855</v>
      </c>
      <c r="O86" s="19">
        <f t="shared" si="25"/>
        <v>46.111111111112507</v>
      </c>
      <c r="P86" s="19">
        <f t="shared" si="25"/>
        <v>48.416666666665797</v>
      </c>
      <c r="Q86" s="20">
        <f t="shared" si="25"/>
        <v>40.116666666667754</v>
      </c>
      <c r="R86" s="20">
        <f t="shared" si="25"/>
        <v>43.805555555557028</v>
      </c>
      <c r="S86" s="20">
        <f t="shared" si="25"/>
        <v>46.111111111112507</v>
      </c>
      <c r="T86" s="21">
        <f t="shared" si="25"/>
        <v>37.811111111112623</v>
      </c>
      <c r="U86" s="21">
        <f t="shared" si="16"/>
        <v>41.5</v>
      </c>
      <c r="V86" s="21">
        <f t="shared" si="17"/>
        <v>43.805555555557028</v>
      </c>
      <c r="W86" s="22">
        <f t="shared" si="18"/>
        <v>35.505555555555731</v>
      </c>
      <c r="X86" s="22">
        <f t="shared" si="19"/>
        <v>39.194444444443072</v>
      </c>
      <c r="Y86" s="22">
        <f t="shared" si="20"/>
        <v>41.5</v>
      </c>
      <c r="Z86" s="23">
        <f t="shared" si="21"/>
        <v>33.19999999999898</v>
      </c>
      <c r="AA86" s="23">
        <f t="shared" si="22"/>
        <v>36.888888888888317</v>
      </c>
      <c r="AB86" s="23">
        <f t="shared" si="23"/>
        <v>39.194444444443072</v>
      </c>
      <c r="AC86" s="24">
        <f t="shared" ref="AC86:AK117" si="27">AC87-(AC$363/360)</f>
        <v>30.894444444444819</v>
      </c>
      <c r="AD86" s="24">
        <f t="shared" si="27"/>
        <v>34.583333333333265</v>
      </c>
      <c r="AE86" s="24">
        <f t="shared" si="27"/>
        <v>36.888888888888317</v>
      </c>
      <c r="AF86" s="25">
        <f t="shared" si="27"/>
        <v>28.588888888888448</v>
      </c>
      <c r="AG86" s="25">
        <f t="shared" si="27"/>
        <v>32.277777777778653</v>
      </c>
      <c r="AH86" s="25">
        <f t="shared" si="27"/>
        <v>34.583333333333265</v>
      </c>
      <c r="AI86" s="26">
        <f t="shared" si="27"/>
        <v>26.283333333333598</v>
      </c>
      <c r="AJ86" s="26">
        <f t="shared" si="27"/>
        <v>29.972222222221369</v>
      </c>
      <c r="AK86" s="26">
        <f t="shared" si="27"/>
        <v>32.277777777778653</v>
      </c>
    </row>
    <row r="87" spans="4:37" ht="20.100000000000001" customHeight="1">
      <c r="D87" s="27">
        <f t="shared" si="14"/>
        <v>0.233333333333333</v>
      </c>
      <c r="E87" s="16">
        <f t="shared" si="25"/>
        <v>64.399999999998258</v>
      </c>
      <c r="F87" s="16">
        <f t="shared" si="25"/>
        <v>68.133333333333297</v>
      </c>
      <c r="G87" s="16">
        <f t="shared" si="25"/>
        <v>70.466666666663812</v>
      </c>
      <c r="H87" s="17">
        <f t="shared" si="25"/>
        <v>59.733333333334031</v>
      </c>
      <c r="I87" s="17">
        <f t="shared" si="25"/>
        <v>63.46666666666605</v>
      </c>
      <c r="J87" s="17">
        <f t="shared" si="25"/>
        <v>65.799999999999585</v>
      </c>
      <c r="K87" s="18">
        <f t="shared" si="25"/>
        <v>55.06666666666537</v>
      </c>
      <c r="L87" s="18">
        <f t="shared" si="25"/>
        <v>58.800000000001731</v>
      </c>
      <c r="M87" s="18">
        <f t="shared" si="25"/>
        <v>61.133333333331905</v>
      </c>
      <c r="N87" s="19">
        <f t="shared" si="25"/>
        <v>42.933333333332968</v>
      </c>
      <c r="O87" s="19">
        <f t="shared" si="25"/>
        <v>46.666666666668064</v>
      </c>
      <c r="P87" s="19">
        <f t="shared" si="25"/>
        <v>48.999999999999133</v>
      </c>
      <c r="Q87" s="20">
        <f t="shared" si="25"/>
        <v>40.600000000001089</v>
      </c>
      <c r="R87" s="20">
        <f t="shared" si="25"/>
        <v>44.333333333334807</v>
      </c>
      <c r="S87" s="20">
        <f t="shared" si="25"/>
        <v>46.666666666668064</v>
      </c>
      <c r="T87" s="21">
        <f t="shared" si="25"/>
        <v>38.266666666668179</v>
      </c>
      <c r="U87" s="21">
        <f t="shared" si="16"/>
        <v>42</v>
      </c>
      <c r="V87" s="21">
        <f t="shared" si="17"/>
        <v>44.333333333334807</v>
      </c>
      <c r="W87" s="22">
        <f t="shared" si="18"/>
        <v>35.933333333333508</v>
      </c>
      <c r="X87" s="22">
        <f t="shared" si="19"/>
        <v>39.666666666665293</v>
      </c>
      <c r="Y87" s="22">
        <f t="shared" si="20"/>
        <v>42</v>
      </c>
      <c r="Z87" s="23">
        <f t="shared" si="21"/>
        <v>33.599999999998978</v>
      </c>
      <c r="AA87" s="23">
        <f t="shared" si="22"/>
        <v>37.33333333333276</v>
      </c>
      <c r="AB87" s="23">
        <f t="shared" si="23"/>
        <v>39.666666666665293</v>
      </c>
      <c r="AC87" s="24">
        <f t="shared" si="27"/>
        <v>31.266666666667042</v>
      </c>
      <c r="AD87" s="24">
        <f t="shared" si="27"/>
        <v>34.999999999999929</v>
      </c>
      <c r="AE87" s="24">
        <f t="shared" si="27"/>
        <v>37.33333333333276</v>
      </c>
      <c r="AF87" s="25">
        <f t="shared" si="27"/>
        <v>28.933333333332893</v>
      </c>
      <c r="AG87" s="25">
        <f t="shared" si="27"/>
        <v>32.666666666667538</v>
      </c>
      <c r="AH87" s="25">
        <f t="shared" si="27"/>
        <v>34.999999999999929</v>
      </c>
      <c r="AI87" s="26">
        <f t="shared" si="27"/>
        <v>26.600000000000264</v>
      </c>
      <c r="AJ87" s="26">
        <f t="shared" si="27"/>
        <v>30.333333333332479</v>
      </c>
      <c r="AK87" s="26">
        <f t="shared" si="27"/>
        <v>32.666666666667538</v>
      </c>
    </row>
    <row r="88" spans="4:37" ht="20.100000000000001" customHeight="1">
      <c r="D88" s="27">
        <f t="shared" si="14"/>
        <v>0.23611111111111077</v>
      </c>
      <c r="E88" s="16">
        <f t="shared" si="25"/>
        <v>65.166666666664923</v>
      </c>
      <c r="F88" s="16">
        <f t="shared" si="25"/>
        <v>68.944444444444414</v>
      </c>
      <c r="G88" s="16">
        <f t="shared" si="25"/>
        <v>71.305555555552701</v>
      </c>
      <c r="H88" s="17">
        <f t="shared" si="25"/>
        <v>60.444444444445139</v>
      </c>
      <c r="I88" s="17">
        <f t="shared" si="25"/>
        <v>64.222222222221603</v>
      </c>
      <c r="J88" s="17">
        <f t="shared" si="25"/>
        <v>66.583333333332916</v>
      </c>
      <c r="K88" s="18">
        <f t="shared" si="25"/>
        <v>55.722222222220928</v>
      </c>
      <c r="L88" s="18">
        <f t="shared" si="25"/>
        <v>59.500000000001734</v>
      </c>
      <c r="M88" s="18">
        <f t="shared" si="25"/>
        <v>61.861111111109679</v>
      </c>
      <c r="N88" s="19">
        <f t="shared" si="25"/>
        <v>43.44444444444408</v>
      </c>
      <c r="O88" s="19">
        <f t="shared" si="25"/>
        <v>47.222222222223621</v>
      </c>
      <c r="P88" s="19">
        <f t="shared" si="25"/>
        <v>49.583333333332469</v>
      </c>
      <c r="Q88" s="20">
        <f t="shared" si="25"/>
        <v>41.083333333334423</v>
      </c>
      <c r="R88" s="20">
        <f t="shared" si="25"/>
        <v>44.861111111112585</v>
      </c>
      <c r="S88" s="20">
        <f t="shared" si="25"/>
        <v>47.222222222223621</v>
      </c>
      <c r="T88" s="21">
        <f t="shared" si="25"/>
        <v>38.722222222223735</v>
      </c>
      <c r="U88" s="21">
        <f t="shared" si="16"/>
        <v>42.5</v>
      </c>
      <c r="V88" s="21">
        <f t="shared" si="17"/>
        <v>44.861111111112585</v>
      </c>
      <c r="W88" s="22">
        <f t="shared" si="18"/>
        <v>36.361111111111285</v>
      </c>
      <c r="X88" s="22">
        <f t="shared" si="19"/>
        <v>40.138888888887514</v>
      </c>
      <c r="Y88" s="22">
        <f t="shared" si="20"/>
        <v>42.5</v>
      </c>
      <c r="Z88" s="23">
        <f t="shared" si="21"/>
        <v>33.999999999998977</v>
      </c>
      <c r="AA88" s="23">
        <f t="shared" si="22"/>
        <v>37.777777777777203</v>
      </c>
      <c r="AB88" s="23">
        <f t="shared" si="23"/>
        <v>40.138888888887514</v>
      </c>
      <c r="AC88" s="24">
        <f t="shared" si="27"/>
        <v>31.638888888889266</v>
      </c>
      <c r="AD88" s="24">
        <f t="shared" si="27"/>
        <v>35.416666666666593</v>
      </c>
      <c r="AE88" s="24">
        <f t="shared" si="27"/>
        <v>37.777777777777203</v>
      </c>
      <c r="AF88" s="25">
        <f t="shared" si="27"/>
        <v>29.277777777777338</v>
      </c>
      <c r="AG88" s="25">
        <f t="shared" si="27"/>
        <v>33.055555555556424</v>
      </c>
      <c r="AH88" s="25">
        <f t="shared" si="27"/>
        <v>35.416666666666593</v>
      </c>
      <c r="AI88" s="26">
        <f t="shared" si="27"/>
        <v>26.916666666666931</v>
      </c>
      <c r="AJ88" s="26">
        <f t="shared" si="27"/>
        <v>30.69444444444359</v>
      </c>
      <c r="AK88" s="26">
        <f t="shared" si="27"/>
        <v>33.055555555556424</v>
      </c>
    </row>
    <row r="89" spans="4:37" ht="20.100000000000001" customHeight="1">
      <c r="D89" s="27">
        <f t="shared" si="14"/>
        <v>0.23888888888888854</v>
      </c>
      <c r="E89" s="16">
        <f t="shared" si="25"/>
        <v>65.933333333331589</v>
      </c>
      <c r="F89" s="16">
        <f t="shared" si="25"/>
        <v>69.755555555555532</v>
      </c>
      <c r="G89" s="16">
        <f t="shared" si="25"/>
        <v>72.144444444441589</v>
      </c>
      <c r="H89" s="17">
        <f t="shared" si="25"/>
        <v>61.155555555556248</v>
      </c>
      <c r="I89" s="17">
        <f t="shared" si="25"/>
        <v>64.977777777777163</v>
      </c>
      <c r="J89" s="17">
        <f t="shared" si="25"/>
        <v>67.366666666666248</v>
      </c>
      <c r="K89" s="18">
        <f t="shared" si="25"/>
        <v>56.377777777776487</v>
      </c>
      <c r="L89" s="18">
        <f t="shared" si="25"/>
        <v>60.200000000001737</v>
      </c>
      <c r="M89" s="18">
        <f t="shared" si="25"/>
        <v>62.588888888887453</v>
      </c>
      <c r="N89" s="19">
        <f t="shared" si="25"/>
        <v>43.955555555555193</v>
      </c>
      <c r="O89" s="19">
        <f t="shared" si="25"/>
        <v>47.777777777779178</v>
      </c>
      <c r="P89" s="19">
        <f t="shared" si="25"/>
        <v>50.166666666665805</v>
      </c>
      <c r="Q89" s="20">
        <f t="shared" si="25"/>
        <v>41.566666666667757</v>
      </c>
      <c r="R89" s="20">
        <f t="shared" si="25"/>
        <v>45.388888888890364</v>
      </c>
      <c r="S89" s="20">
        <f t="shared" si="25"/>
        <v>47.777777777779178</v>
      </c>
      <c r="T89" s="21">
        <f t="shared" si="25"/>
        <v>39.177777777779291</v>
      </c>
      <c r="U89" s="21">
        <f t="shared" si="16"/>
        <v>43</v>
      </c>
      <c r="V89" s="21">
        <f t="shared" si="17"/>
        <v>45.388888888890364</v>
      </c>
      <c r="W89" s="22">
        <f t="shared" si="18"/>
        <v>36.788888888889062</v>
      </c>
      <c r="X89" s="22">
        <f t="shared" si="19"/>
        <v>40.611111111109736</v>
      </c>
      <c r="Y89" s="22">
        <f t="shared" si="20"/>
        <v>43</v>
      </c>
      <c r="Z89" s="23">
        <f t="shared" si="21"/>
        <v>34.399999999998975</v>
      </c>
      <c r="AA89" s="23">
        <f t="shared" si="22"/>
        <v>38.222222222221646</v>
      </c>
      <c r="AB89" s="23">
        <f t="shared" si="23"/>
        <v>40.611111111109736</v>
      </c>
      <c r="AC89" s="24">
        <f t="shared" si="27"/>
        <v>32.011111111111489</v>
      </c>
      <c r="AD89" s="24">
        <f t="shared" si="27"/>
        <v>35.833333333333258</v>
      </c>
      <c r="AE89" s="24">
        <f t="shared" si="27"/>
        <v>38.222222222221646</v>
      </c>
      <c r="AF89" s="25">
        <f t="shared" si="27"/>
        <v>29.622222222221783</v>
      </c>
      <c r="AG89" s="25">
        <f t="shared" si="27"/>
        <v>33.44444444444531</v>
      </c>
      <c r="AH89" s="25">
        <f t="shared" si="27"/>
        <v>35.833333333333258</v>
      </c>
      <c r="AI89" s="26">
        <f t="shared" si="27"/>
        <v>27.233333333333597</v>
      </c>
      <c r="AJ89" s="26">
        <f t="shared" si="27"/>
        <v>31.055555555554701</v>
      </c>
      <c r="AK89" s="26">
        <f t="shared" si="27"/>
        <v>33.44444444444531</v>
      </c>
    </row>
    <row r="90" spans="4:37" ht="20.100000000000001" customHeight="1">
      <c r="D90" s="27">
        <f t="shared" si="14"/>
        <v>0.24166666666666631</v>
      </c>
      <c r="E90" s="16">
        <f t="shared" si="25"/>
        <v>66.699999999998255</v>
      </c>
      <c r="F90" s="16">
        <f t="shared" si="25"/>
        <v>70.566666666666649</v>
      </c>
      <c r="G90" s="16">
        <f t="shared" si="25"/>
        <v>72.983333333330478</v>
      </c>
      <c r="H90" s="17">
        <f t="shared" si="25"/>
        <v>61.866666666667356</v>
      </c>
      <c r="I90" s="17">
        <f t="shared" si="25"/>
        <v>65.733333333332723</v>
      </c>
      <c r="J90" s="17">
        <f t="shared" si="25"/>
        <v>68.149999999999579</v>
      </c>
      <c r="K90" s="18">
        <f t="shared" si="25"/>
        <v>57.033333333332045</v>
      </c>
      <c r="L90" s="18">
        <f t="shared" si="25"/>
        <v>60.900000000001739</v>
      </c>
      <c r="M90" s="18">
        <f t="shared" si="25"/>
        <v>63.316666666665228</v>
      </c>
      <c r="N90" s="19">
        <f t="shared" si="25"/>
        <v>44.466666666666306</v>
      </c>
      <c r="O90" s="19">
        <f t="shared" si="25"/>
        <v>48.333333333334735</v>
      </c>
      <c r="P90" s="19">
        <f t="shared" si="25"/>
        <v>50.74999999999914</v>
      </c>
      <c r="Q90" s="20">
        <f t="shared" si="25"/>
        <v>42.050000000001091</v>
      </c>
      <c r="R90" s="20">
        <f t="shared" si="25"/>
        <v>45.916666666668142</v>
      </c>
      <c r="S90" s="20">
        <f t="shared" si="25"/>
        <v>48.333333333334735</v>
      </c>
      <c r="T90" s="21">
        <f t="shared" si="25"/>
        <v>39.633333333334846</v>
      </c>
      <c r="U90" s="21">
        <f t="shared" si="16"/>
        <v>43.5</v>
      </c>
      <c r="V90" s="21">
        <f t="shared" si="17"/>
        <v>45.916666666668142</v>
      </c>
      <c r="W90" s="22">
        <f t="shared" si="18"/>
        <v>37.216666666666839</v>
      </c>
      <c r="X90" s="22">
        <f t="shared" si="19"/>
        <v>41.083333333331957</v>
      </c>
      <c r="Y90" s="22">
        <f t="shared" si="20"/>
        <v>43.5</v>
      </c>
      <c r="Z90" s="23">
        <f t="shared" si="21"/>
        <v>34.799999999998974</v>
      </c>
      <c r="AA90" s="23">
        <f t="shared" si="22"/>
        <v>38.666666666666089</v>
      </c>
      <c r="AB90" s="23">
        <f t="shared" si="23"/>
        <v>41.083333333331957</v>
      </c>
      <c r="AC90" s="24">
        <f t="shared" si="27"/>
        <v>32.383333333333709</v>
      </c>
      <c r="AD90" s="24">
        <f t="shared" si="27"/>
        <v>36.249999999999922</v>
      </c>
      <c r="AE90" s="24">
        <f t="shared" si="27"/>
        <v>38.666666666666089</v>
      </c>
      <c r="AF90" s="25">
        <f t="shared" si="27"/>
        <v>29.966666666666228</v>
      </c>
      <c r="AG90" s="25">
        <f t="shared" si="27"/>
        <v>33.833333333334195</v>
      </c>
      <c r="AH90" s="25">
        <f t="shared" si="27"/>
        <v>36.249999999999922</v>
      </c>
      <c r="AI90" s="26">
        <f t="shared" si="27"/>
        <v>27.550000000000264</v>
      </c>
      <c r="AJ90" s="26">
        <f t="shared" si="27"/>
        <v>31.416666666665812</v>
      </c>
      <c r="AK90" s="26">
        <f t="shared" si="27"/>
        <v>33.833333333334195</v>
      </c>
    </row>
    <row r="91" spans="4:37" ht="20.100000000000001" customHeight="1">
      <c r="D91" s="27">
        <f t="shared" si="14"/>
        <v>0.24444444444444408</v>
      </c>
      <c r="E91" s="16">
        <f t="shared" si="25"/>
        <v>67.466666666664921</v>
      </c>
      <c r="F91" s="16">
        <f t="shared" si="25"/>
        <v>71.377777777777766</v>
      </c>
      <c r="G91" s="16">
        <f t="shared" si="25"/>
        <v>73.822222222219366</v>
      </c>
      <c r="H91" s="17">
        <f t="shared" si="25"/>
        <v>62.577777777778465</v>
      </c>
      <c r="I91" s="17">
        <f t="shared" si="25"/>
        <v>66.488888888888283</v>
      </c>
      <c r="J91" s="17">
        <f t="shared" si="25"/>
        <v>68.933333333332911</v>
      </c>
      <c r="K91" s="18">
        <f t="shared" si="25"/>
        <v>57.688888888887604</v>
      </c>
      <c r="L91" s="18">
        <f t="shared" si="25"/>
        <v>61.600000000001742</v>
      </c>
      <c r="M91" s="18">
        <f t="shared" si="25"/>
        <v>64.044444444443002</v>
      </c>
      <c r="N91" s="19">
        <f t="shared" si="25"/>
        <v>44.977777777777419</v>
      </c>
      <c r="O91" s="19">
        <f t="shared" si="25"/>
        <v>48.888888888890293</v>
      </c>
      <c r="P91" s="19">
        <f t="shared" si="25"/>
        <v>51.333333333332476</v>
      </c>
      <c r="Q91" s="20">
        <f t="shared" si="25"/>
        <v>42.533333333334426</v>
      </c>
      <c r="R91" s="20">
        <f t="shared" si="25"/>
        <v>46.444444444445921</v>
      </c>
      <c r="S91" s="20">
        <f t="shared" si="25"/>
        <v>48.888888888890293</v>
      </c>
      <c r="T91" s="21">
        <f t="shared" si="25"/>
        <v>40.088888888890402</v>
      </c>
      <c r="U91" s="21">
        <f t="shared" si="16"/>
        <v>44</v>
      </c>
      <c r="V91" s="21">
        <f t="shared" si="17"/>
        <v>46.444444444445921</v>
      </c>
      <c r="W91" s="22">
        <f t="shared" si="18"/>
        <v>37.644444444444616</v>
      </c>
      <c r="X91" s="22">
        <f t="shared" si="19"/>
        <v>41.555555555554179</v>
      </c>
      <c r="Y91" s="22">
        <f t="shared" si="20"/>
        <v>44</v>
      </c>
      <c r="Z91" s="23">
        <f t="shared" si="21"/>
        <v>35.199999999998973</v>
      </c>
      <c r="AA91" s="23">
        <f t="shared" si="22"/>
        <v>39.111111111110532</v>
      </c>
      <c r="AB91" s="23">
        <f t="shared" si="23"/>
        <v>41.555555555554179</v>
      </c>
      <c r="AC91" s="24">
        <f t="shared" si="27"/>
        <v>32.755555555555929</v>
      </c>
      <c r="AD91" s="24">
        <f t="shared" si="27"/>
        <v>36.666666666666586</v>
      </c>
      <c r="AE91" s="24">
        <f t="shared" si="27"/>
        <v>39.111111111110532</v>
      </c>
      <c r="AF91" s="25">
        <f t="shared" si="27"/>
        <v>30.311111111110673</v>
      </c>
      <c r="AG91" s="25">
        <f t="shared" si="27"/>
        <v>34.222222222223081</v>
      </c>
      <c r="AH91" s="25">
        <f t="shared" si="27"/>
        <v>36.666666666666586</v>
      </c>
      <c r="AI91" s="26">
        <f t="shared" si="27"/>
        <v>27.86666666666693</v>
      </c>
      <c r="AJ91" s="26">
        <f t="shared" si="27"/>
        <v>31.777777777776922</v>
      </c>
      <c r="AK91" s="26">
        <f t="shared" si="27"/>
        <v>34.222222222223081</v>
      </c>
    </row>
    <row r="92" spans="4:37" ht="20.100000000000001" customHeight="1">
      <c r="D92" s="27">
        <f t="shared" si="14"/>
        <v>0.24722222222222184</v>
      </c>
      <c r="E92" s="16">
        <f t="shared" si="25"/>
        <v>68.233333333331586</v>
      </c>
      <c r="F92" s="16">
        <f t="shared" si="25"/>
        <v>72.188888888888883</v>
      </c>
      <c r="G92" s="16">
        <f t="shared" si="25"/>
        <v>74.661111111108255</v>
      </c>
      <c r="H92" s="17">
        <f t="shared" si="25"/>
        <v>63.288888888889574</v>
      </c>
      <c r="I92" s="17">
        <f t="shared" si="25"/>
        <v>67.244444444443843</v>
      </c>
      <c r="J92" s="17">
        <f t="shared" si="25"/>
        <v>69.716666666666242</v>
      </c>
      <c r="K92" s="18">
        <f t="shared" si="25"/>
        <v>58.344444444443162</v>
      </c>
      <c r="L92" s="18">
        <f t="shared" si="25"/>
        <v>62.300000000001745</v>
      </c>
      <c r="M92" s="18">
        <f t="shared" si="25"/>
        <v>64.772222222220776</v>
      </c>
      <c r="N92" s="19">
        <f t="shared" si="25"/>
        <v>45.488888888888532</v>
      </c>
      <c r="O92" s="19">
        <f t="shared" si="25"/>
        <v>49.44444444444585</v>
      </c>
      <c r="P92" s="19">
        <f t="shared" si="25"/>
        <v>51.916666666665812</v>
      </c>
      <c r="Q92" s="20">
        <f t="shared" si="25"/>
        <v>43.01666666666776</v>
      </c>
      <c r="R92" s="20">
        <f t="shared" si="25"/>
        <v>46.972222222223699</v>
      </c>
      <c r="S92" s="20">
        <f t="shared" si="25"/>
        <v>49.44444444444585</v>
      </c>
      <c r="T92" s="21">
        <f t="shared" si="25"/>
        <v>40.544444444445958</v>
      </c>
      <c r="U92" s="21">
        <f t="shared" ref="U92:AJ106" si="28">U93-(U$363/360)</f>
        <v>44.5</v>
      </c>
      <c r="V92" s="21">
        <f t="shared" si="28"/>
        <v>46.972222222223699</v>
      </c>
      <c r="W92" s="22">
        <f t="shared" si="28"/>
        <v>38.072222222222393</v>
      </c>
      <c r="X92" s="22">
        <f t="shared" si="28"/>
        <v>42.0277777777764</v>
      </c>
      <c r="Y92" s="22">
        <f t="shared" si="28"/>
        <v>44.5</v>
      </c>
      <c r="Z92" s="23">
        <f t="shared" si="28"/>
        <v>35.599999999998971</v>
      </c>
      <c r="AA92" s="23">
        <f t="shared" si="28"/>
        <v>39.555555555554974</v>
      </c>
      <c r="AB92" s="23">
        <f t="shared" si="28"/>
        <v>42.0277777777764</v>
      </c>
      <c r="AC92" s="24">
        <f t="shared" si="28"/>
        <v>33.127777777778149</v>
      </c>
      <c r="AD92" s="24">
        <f t="shared" si="28"/>
        <v>37.08333333333325</v>
      </c>
      <c r="AE92" s="24">
        <f t="shared" si="28"/>
        <v>39.555555555554974</v>
      </c>
      <c r="AF92" s="25">
        <f t="shared" si="28"/>
        <v>30.655555555555118</v>
      </c>
      <c r="AG92" s="25">
        <f t="shared" si="28"/>
        <v>34.611111111111967</v>
      </c>
      <c r="AH92" s="25">
        <f t="shared" si="27"/>
        <v>37.08333333333325</v>
      </c>
      <c r="AI92" s="26">
        <f t="shared" si="27"/>
        <v>28.183333333333596</v>
      </c>
      <c r="AJ92" s="26">
        <f t="shared" si="27"/>
        <v>32.138888888888033</v>
      </c>
      <c r="AK92" s="26">
        <f t="shared" si="27"/>
        <v>34.611111111111967</v>
      </c>
    </row>
    <row r="93" spans="4:37" ht="20.100000000000001" customHeight="1">
      <c r="D93" s="27">
        <f t="shared" si="14"/>
        <v>0.24999999999999961</v>
      </c>
      <c r="E93" s="16">
        <f t="shared" si="25"/>
        <v>68.999999999998252</v>
      </c>
      <c r="F93" s="16">
        <f t="shared" si="25"/>
        <v>73</v>
      </c>
      <c r="G93" s="16">
        <f t="shared" si="25"/>
        <v>75.499999999997144</v>
      </c>
      <c r="H93" s="17">
        <f t="shared" si="25"/>
        <v>64.000000000000682</v>
      </c>
      <c r="I93" s="17">
        <f t="shared" si="25"/>
        <v>67.999999999999403</v>
      </c>
      <c r="J93" s="17">
        <f t="shared" si="25"/>
        <v>70.499999999999574</v>
      </c>
      <c r="K93" s="18">
        <f t="shared" si="25"/>
        <v>58.999999999998721</v>
      </c>
      <c r="L93" s="18">
        <f t="shared" si="25"/>
        <v>63.000000000001748</v>
      </c>
      <c r="M93" s="18">
        <f t="shared" si="25"/>
        <v>65.49999999999855</v>
      </c>
      <c r="N93" s="19">
        <f t="shared" si="25"/>
        <v>45.999999999999645</v>
      </c>
      <c r="O93" s="19">
        <f t="shared" si="25"/>
        <v>50.000000000001407</v>
      </c>
      <c r="P93" s="19">
        <f t="shared" si="25"/>
        <v>52.499999999999147</v>
      </c>
      <c r="Q93" s="20">
        <f t="shared" si="25"/>
        <v>43.500000000001094</v>
      </c>
      <c r="R93" s="20">
        <f t="shared" si="25"/>
        <v>47.500000000001478</v>
      </c>
      <c r="S93" s="20">
        <f t="shared" si="25"/>
        <v>50.000000000001407</v>
      </c>
      <c r="T93" s="21">
        <f t="shared" si="25"/>
        <v>41.000000000001513</v>
      </c>
      <c r="U93" s="21">
        <f t="shared" si="28"/>
        <v>45</v>
      </c>
      <c r="V93" s="21">
        <f t="shared" si="28"/>
        <v>47.500000000001478</v>
      </c>
      <c r="W93" s="22">
        <f t="shared" si="28"/>
        <v>38.500000000000171</v>
      </c>
      <c r="X93" s="22">
        <f t="shared" si="28"/>
        <v>42.499999999998622</v>
      </c>
      <c r="Y93" s="22">
        <f t="shared" si="28"/>
        <v>45</v>
      </c>
      <c r="Z93" s="23">
        <f t="shared" si="28"/>
        <v>35.99999999999897</v>
      </c>
      <c r="AA93" s="23">
        <f t="shared" si="28"/>
        <v>39.999999999999417</v>
      </c>
      <c r="AB93" s="23">
        <f t="shared" si="28"/>
        <v>42.499999999998622</v>
      </c>
      <c r="AC93" s="24">
        <f t="shared" si="28"/>
        <v>33.500000000000369</v>
      </c>
      <c r="AD93" s="24">
        <f t="shared" si="28"/>
        <v>37.499999999999915</v>
      </c>
      <c r="AE93" s="24">
        <f t="shared" si="28"/>
        <v>39.999999999999417</v>
      </c>
      <c r="AF93" s="25">
        <f t="shared" si="28"/>
        <v>30.999999999999563</v>
      </c>
      <c r="AG93" s="25">
        <f t="shared" si="28"/>
        <v>35.000000000000853</v>
      </c>
      <c r="AH93" s="25">
        <f t="shared" si="27"/>
        <v>37.499999999999915</v>
      </c>
      <c r="AI93" s="26">
        <f t="shared" si="27"/>
        <v>28.500000000000263</v>
      </c>
      <c r="AJ93" s="26">
        <f t="shared" si="27"/>
        <v>32.499999999999147</v>
      </c>
      <c r="AK93" s="26">
        <f t="shared" si="27"/>
        <v>35.000000000000853</v>
      </c>
    </row>
    <row r="94" spans="4:37" ht="20.100000000000001" customHeight="1">
      <c r="D94" s="27">
        <f t="shared" si="14"/>
        <v>0.25277777777777738</v>
      </c>
      <c r="E94" s="16">
        <f t="shared" si="25"/>
        <v>69.766666666664918</v>
      </c>
      <c r="F94" s="16">
        <f t="shared" si="25"/>
        <v>73.811111111111117</v>
      </c>
      <c r="G94" s="16">
        <f t="shared" si="25"/>
        <v>76.338888888886032</v>
      </c>
      <c r="H94" s="17">
        <f t="shared" si="25"/>
        <v>64.711111111111791</v>
      </c>
      <c r="I94" s="17">
        <f t="shared" si="25"/>
        <v>68.755555555554963</v>
      </c>
      <c r="J94" s="17">
        <f t="shared" si="25"/>
        <v>71.283333333332905</v>
      </c>
      <c r="K94" s="18">
        <f t="shared" si="25"/>
        <v>59.65555555555428</v>
      </c>
      <c r="L94" s="18">
        <f t="shared" si="25"/>
        <v>63.700000000001751</v>
      </c>
      <c r="M94" s="18">
        <f t="shared" si="25"/>
        <v>66.227777777776325</v>
      </c>
      <c r="N94" s="19">
        <f t="shared" si="25"/>
        <v>46.511111111110758</v>
      </c>
      <c r="O94" s="19">
        <f t="shared" si="25"/>
        <v>50.555555555556964</v>
      </c>
      <c r="P94" s="19">
        <f t="shared" si="25"/>
        <v>53.083333333332483</v>
      </c>
      <c r="Q94" s="20">
        <f t="shared" si="25"/>
        <v>43.983333333334429</v>
      </c>
      <c r="R94" s="20">
        <f t="shared" si="25"/>
        <v>48.027777777779256</v>
      </c>
      <c r="S94" s="20">
        <f t="shared" si="25"/>
        <v>50.555555555556964</v>
      </c>
      <c r="T94" s="21">
        <f t="shared" si="25"/>
        <v>41.455555555557069</v>
      </c>
      <c r="U94" s="21">
        <f t="shared" si="28"/>
        <v>45.5</v>
      </c>
      <c r="V94" s="21">
        <f t="shared" si="28"/>
        <v>48.027777777779256</v>
      </c>
      <c r="W94" s="22">
        <f t="shared" si="28"/>
        <v>38.927777777777948</v>
      </c>
      <c r="X94" s="22">
        <f t="shared" si="28"/>
        <v>42.972222222220843</v>
      </c>
      <c r="Y94" s="22">
        <f t="shared" si="28"/>
        <v>45.5</v>
      </c>
      <c r="Z94" s="23">
        <f t="shared" si="28"/>
        <v>36.399999999998968</v>
      </c>
      <c r="AA94" s="23">
        <f t="shared" si="28"/>
        <v>40.44444444444386</v>
      </c>
      <c r="AB94" s="23">
        <f t="shared" si="28"/>
        <v>42.972222222220843</v>
      </c>
      <c r="AC94" s="24">
        <f t="shared" si="28"/>
        <v>33.872222222222589</v>
      </c>
      <c r="AD94" s="24">
        <f t="shared" si="28"/>
        <v>37.916666666666579</v>
      </c>
      <c r="AE94" s="24">
        <f t="shared" si="28"/>
        <v>40.44444444444386</v>
      </c>
      <c r="AF94" s="25">
        <f t="shared" si="28"/>
        <v>31.344444444444008</v>
      </c>
      <c r="AG94" s="25">
        <f t="shared" si="28"/>
        <v>35.388888888889738</v>
      </c>
      <c r="AH94" s="25">
        <f t="shared" si="27"/>
        <v>37.916666666666579</v>
      </c>
      <c r="AI94" s="26">
        <f t="shared" si="27"/>
        <v>28.816666666666929</v>
      </c>
      <c r="AJ94" s="26">
        <f t="shared" si="27"/>
        <v>32.861111111110262</v>
      </c>
      <c r="AK94" s="26">
        <f t="shared" si="27"/>
        <v>35.388888888889738</v>
      </c>
    </row>
    <row r="95" spans="4:37" ht="20.100000000000001" customHeight="1">
      <c r="D95" s="27">
        <f t="shared" si="14"/>
        <v>0.25555555555555515</v>
      </c>
      <c r="E95" s="16">
        <f t="shared" si="25"/>
        <v>70.533333333331584</v>
      </c>
      <c r="F95" s="16">
        <f t="shared" si="25"/>
        <v>74.622222222222234</v>
      </c>
      <c r="G95" s="16">
        <f t="shared" si="25"/>
        <v>77.177777777774921</v>
      </c>
      <c r="H95" s="17">
        <f t="shared" si="25"/>
        <v>65.422222222222899</v>
      </c>
      <c r="I95" s="17">
        <f t="shared" si="25"/>
        <v>69.511111111110523</v>
      </c>
      <c r="J95" s="17">
        <f t="shared" si="25"/>
        <v>72.066666666666237</v>
      </c>
      <c r="K95" s="18">
        <f t="shared" si="25"/>
        <v>60.311111111109838</v>
      </c>
      <c r="L95" s="18">
        <f t="shared" si="25"/>
        <v>64.400000000001754</v>
      </c>
      <c r="M95" s="18">
        <f t="shared" si="25"/>
        <v>66.955555555554099</v>
      </c>
      <c r="N95" s="19">
        <f t="shared" si="25"/>
        <v>47.02222222222187</v>
      </c>
      <c r="O95" s="19">
        <f t="shared" si="25"/>
        <v>51.111111111112521</v>
      </c>
      <c r="P95" s="19">
        <f t="shared" si="25"/>
        <v>53.666666666665819</v>
      </c>
      <c r="Q95" s="20">
        <f t="shared" si="25"/>
        <v>44.466666666667763</v>
      </c>
      <c r="R95" s="20">
        <f t="shared" si="25"/>
        <v>48.555555555557035</v>
      </c>
      <c r="S95" s="20">
        <f t="shared" si="25"/>
        <v>51.111111111112521</v>
      </c>
      <c r="T95" s="21">
        <f t="shared" si="25"/>
        <v>41.911111111112625</v>
      </c>
      <c r="U95" s="21">
        <f t="shared" si="28"/>
        <v>46</v>
      </c>
      <c r="V95" s="21">
        <f t="shared" si="28"/>
        <v>48.555555555557035</v>
      </c>
      <c r="W95" s="22">
        <f t="shared" si="28"/>
        <v>39.355555555555725</v>
      </c>
      <c r="X95" s="22">
        <f t="shared" si="28"/>
        <v>43.444444444443064</v>
      </c>
      <c r="Y95" s="22">
        <f t="shared" si="28"/>
        <v>46</v>
      </c>
      <c r="Z95" s="23">
        <f t="shared" si="28"/>
        <v>36.799999999998967</v>
      </c>
      <c r="AA95" s="23">
        <f t="shared" si="28"/>
        <v>40.888888888888303</v>
      </c>
      <c r="AB95" s="23">
        <f t="shared" si="28"/>
        <v>43.444444444443064</v>
      </c>
      <c r="AC95" s="24">
        <f t="shared" si="28"/>
        <v>34.24444444444481</v>
      </c>
      <c r="AD95" s="24">
        <f t="shared" si="28"/>
        <v>38.333333333333243</v>
      </c>
      <c r="AE95" s="24">
        <f t="shared" si="28"/>
        <v>40.888888888888303</v>
      </c>
      <c r="AF95" s="25">
        <f t="shared" si="28"/>
        <v>31.688888888888453</v>
      </c>
      <c r="AG95" s="25">
        <f t="shared" si="28"/>
        <v>35.777777777778624</v>
      </c>
      <c r="AH95" s="25">
        <f t="shared" si="27"/>
        <v>38.333333333333243</v>
      </c>
      <c r="AI95" s="26">
        <f t="shared" si="27"/>
        <v>29.133333333333596</v>
      </c>
      <c r="AJ95" s="26">
        <f t="shared" si="27"/>
        <v>33.222222222221376</v>
      </c>
      <c r="AK95" s="26">
        <f t="shared" si="27"/>
        <v>35.777777777778624</v>
      </c>
    </row>
    <row r="96" spans="4:37" ht="20.100000000000001" customHeight="1">
      <c r="D96" s="27">
        <f t="shared" si="14"/>
        <v>0.25833333333333292</v>
      </c>
      <c r="E96" s="16">
        <f t="shared" si="25"/>
        <v>71.299999999998249</v>
      </c>
      <c r="F96" s="16">
        <f t="shared" si="25"/>
        <v>75.433333333333351</v>
      </c>
      <c r="G96" s="16">
        <f t="shared" si="25"/>
        <v>78.016666666663809</v>
      </c>
      <c r="H96" s="17">
        <f t="shared" si="25"/>
        <v>66.133333333334008</v>
      </c>
      <c r="I96" s="17">
        <f t="shared" si="25"/>
        <v>70.266666666666083</v>
      </c>
      <c r="J96" s="17">
        <f t="shared" si="25"/>
        <v>72.849999999999568</v>
      </c>
      <c r="K96" s="18">
        <f t="shared" si="25"/>
        <v>60.966666666665397</v>
      </c>
      <c r="L96" s="18">
        <f t="shared" si="25"/>
        <v>65.100000000001756</v>
      </c>
      <c r="M96" s="18">
        <f t="shared" si="25"/>
        <v>67.683333333331873</v>
      </c>
      <c r="N96" s="19">
        <f t="shared" si="25"/>
        <v>47.533333333332983</v>
      </c>
      <c r="O96" s="19">
        <f t="shared" si="25"/>
        <v>51.666666666668078</v>
      </c>
      <c r="P96" s="19">
        <f t="shared" si="25"/>
        <v>54.249999999999154</v>
      </c>
      <c r="Q96" s="20">
        <f t="shared" si="25"/>
        <v>44.950000000001097</v>
      </c>
      <c r="R96" s="20">
        <f t="shared" si="25"/>
        <v>49.083333333334814</v>
      </c>
      <c r="S96" s="20">
        <f t="shared" si="25"/>
        <v>51.666666666668078</v>
      </c>
      <c r="T96" s="21">
        <f>T97-(T$363/360)</f>
        <v>42.366666666668181</v>
      </c>
      <c r="U96" s="21">
        <f>U97-(U$363/360)</f>
        <v>46.5</v>
      </c>
      <c r="V96" s="21">
        <f t="shared" si="28"/>
        <v>49.083333333334814</v>
      </c>
      <c r="W96" s="22">
        <f t="shared" si="28"/>
        <v>39.783333333333502</v>
      </c>
      <c r="X96" s="22">
        <f t="shared" si="28"/>
        <v>43.916666666665286</v>
      </c>
      <c r="Y96" s="22">
        <f t="shared" si="28"/>
        <v>46.5</v>
      </c>
      <c r="Z96" s="23">
        <f t="shared" si="28"/>
        <v>37.199999999998965</v>
      </c>
      <c r="AA96" s="23">
        <f t="shared" si="28"/>
        <v>41.333333333332746</v>
      </c>
      <c r="AB96" s="23">
        <f t="shared" si="28"/>
        <v>43.916666666665286</v>
      </c>
      <c r="AC96" s="24">
        <f t="shared" si="28"/>
        <v>34.61666666666703</v>
      </c>
      <c r="AD96" s="24">
        <f t="shared" si="28"/>
        <v>38.749999999999908</v>
      </c>
      <c r="AE96" s="24">
        <f t="shared" si="28"/>
        <v>41.333333333332746</v>
      </c>
      <c r="AF96" s="25">
        <f t="shared" si="28"/>
        <v>32.033333333332898</v>
      </c>
      <c r="AG96" s="25">
        <f t="shared" si="28"/>
        <v>36.16666666666751</v>
      </c>
      <c r="AH96" s="25">
        <f t="shared" si="27"/>
        <v>38.749999999999908</v>
      </c>
      <c r="AI96" s="26">
        <f t="shared" si="27"/>
        <v>29.450000000000262</v>
      </c>
      <c r="AJ96" s="26">
        <f t="shared" si="27"/>
        <v>33.58333333333249</v>
      </c>
      <c r="AK96" s="26">
        <f t="shared" si="27"/>
        <v>36.16666666666751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72.066666666664915</v>
      </c>
      <c r="F97" s="16">
        <f t="shared" si="29"/>
        <v>76.244444444444468</v>
      </c>
      <c r="G97" s="16">
        <f t="shared" si="29"/>
        <v>78.855555555552698</v>
      </c>
      <c r="H97" s="17">
        <f t="shared" si="29"/>
        <v>66.844444444445116</v>
      </c>
      <c r="I97" s="17">
        <f t="shared" si="29"/>
        <v>71.022222222221643</v>
      </c>
      <c r="J97" s="17">
        <f t="shared" si="29"/>
        <v>73.633333333332899</v>
      </c>
      <c r="K97" s="18">
        <f t="shared" si="29"/>
        <v>61.622222222220955</v>
      </c>
      <c r="L97" s="18">
        <f t="shared" si="29"/>
        <v>65.800000000001759</v>
      </c>
      <c r="M97" s="18">
        <f t="shared" si="29"/>
        <v>68.411111111109648</v>
      </c>
      <c r="N97" s="19">
        <f t="shared" si="29"/>
        <v>48.044444444444096</v>
      </c>
      <c r="O97" s="19">
        <f t="shared" si="29"/>
        <v>52.222222222223635</v>
      </c>
      <c r="P97" s="19">
        <f t="shared" si="29"/>
        <v>54.83333333333249</v>
      </c>
      <c r="Q97" s="20">
        <f t="shared" si="29"/>
        <v>45.433333333334431</v>
      </c>
      <c r="R97" s="20">
        <f t="shared" si="29"/>
        <v>49.611111111112592</v>
      </c>
      <c r="S97" s="20">
        <f t="shared" si="29"/>
        <v>52.222222222223635</v>
      </c>
      <c r="T97" s="21">
        <f t="shared" si="29"/>
        <v>42.822222222223736</v>
      </c>
      <c r="U97" s="21">
        <f t="shared" ref="U97:U111" si="30">U98-(U$363/360)</f>
        <v>47</v>
      </c>
      <c r="V97" s="21">
        <f t="shared" si="28"/>
        <v>49.611111111112592</v>
      </c>
      <c r="W97" s="22">
        <f t="shared" si="28"/>
        <v>40.211111111111279</v>
      </c>
      <c r="X97" s="22">
        <f t="shared" si="28"/>
        <v>44.388888888887507</v>
      </c>
      <c r="Y97" s="22">
        <f t="shared" si="28"/>
        <v>47</v>
      </c>
      <c r="Z97" s="23">
        <f t="shared" si="28"/>
        <v>37.599999999998964</v>
      </c>
      <c r="AA97" s="23">
        <f t="shared" si="28"/>
        <v>41.777777777777189</v>
      </c>
      <c r="AB97" s="23">
        <f t="shared" si="28"/>
        <v>44.388888888887507</v>
      </c>
      <c r="AC97" s="24">
        <f t="shared" si="28"/>
        <v>34.98888888888925</v>
      </c>
      <c r="AD97" s="24">
        <f t="shared" si="28"/>
        <v>39.166666666666572</v>
      </c>
      <c r="AE97" s="24">
        <f t="shared" si="28"/>
        <v>41.777777777777189</v>
      </c>
      <c r="AF97" s="25">
        <f t="shared" si="28"/>
        <v>32.377777777777339</v>
      </c>
      <c r="AG97" s="25">
        <f t="shared" si="28"/>
        <v>36.555555555556396</v>
      </c>
      <c r="AH97" s="25">
        <f t="shared" si="27"/>
        <v>39.166666666666572</v>
      </c>
      <c r="AI97" s="26">
        <f t="shared" si="27"/>
        <v>29.766666666666929</v>
      </c>
      <c r="AJ97" s="26">
        <f t="shared" si="27"/>
        <v>33.944444444443604</v>
      </c>
      <c r="AK97" s="26">
        <f t="shared" si="27"/>
        <v>36.555555555556396</v>
      </c>
    </row>
    <row r="98" spans="4:37" ht="20.100000000000001" customHeight="1">
      <c r="D98" s="27">
        <f t="shared" si="14"/>
        <v>0.26388888888888845</v>
      </c>
      <c r="E98" s="16">
        <f t="shared" si="29"/>
        <v>72.833333333331581</v>
      </c>
      <c r="F98" s="16">
        <f t="shared" si="29"/>
        <v>77.055555555555586</v>
      </c>
      <c r="G98" s="16">
        <f t="shared" si="29"/>
        <v>79.694444444441586</v>
      </c>
      <c r="H98" s="17">
        <f t="shared" si="29"/>
        <v>67.555555555556225</v>
      </c>
      <c r="I98" s="17">
        <f t="shared" si="29"/>
        <v>71.777777777777203</v>
      </c>
      <c r="J98" s="17">
        <f t="shared" si="29"/>
        <v>74.416666666666231</v>
      </c>
      <c r="K98" s="18">
        <f t="shared" si="29"/>
        <v>62.277777777776514</v>
      </c>
      <c r="L98" s="18">
        <f t="shared" si="29"/>
        <v>66.500000000001762</v>
      </c>
      <c r="M98" s="18">
        <f t="shared" si="29"/>
        <v>69.138888888887422</v>
      </c>
      <c r="N98" s="19">
        <f t="shared" si="29"/>
        <v>48.555555555555209</v>
      </c>
      <c r="O98" s="19">
        <f t="shared" si="29"/>
        <v>52.777777777779193</v>
      </c>
      <c r="P98" s="19">
        <f t="shared" si="29"/>
        <v>55.416666666665826</v>
      </c>
      <c r="Q98" s="20">
        <f t="shared" si="29"/>
        <v>45.916666666667766</v>
      </c>
      <c r="R98" s="20">
        <f t="shared" si="29"/>
        <v>50.138888888890371</v>
      </c>
      <c r="S98" s="20">
        <f t="shared" si="29"/>
        <v>52.777777777779193</v>
      </c>
      <c r="T98" s="21">
        <f t="shared" si="29"/>
        <v>43.277777777779292</v>
      </c>
      <c r="U98" s="21">
        <f t="shared" si="30"/>
        <v>47.5</v>
      </c>
      <c r="V98" s="21">
        <f t="shared" si="28"/>
        <v>50.138888888890371</v>
      </c>
      <c r="W98" s="22">
        <f t="shared" si="28"/>
        <v>40.638888888889056</v>
      </c>
      <c r="X98" s="22">
        <f t="shared" si="28"/>
        <v>44.861111111109729</v>
      </c>
      <c r="Y98" s="22">
        <f t="shared" si="28"/>
        <v>47.5</v>
      </c>
      <c r="Z98" s="23">
        <f t="shared" si="28"/>
        <v>37.999999999998963</v>
      </c>
      <c r="AA98" s="23">
        <f t="shared" si="28"/>
        <v>42.222222222221632</v>
      </c>
      <c r="AB98" s="23">
        <f t="shared" si="28"/>
        <v>44.861111111109729</v>
      </c>
      <c r="AC98" s="24">
        <f t="shared" si="28"/>
        <v>35.36111111111147</v>
      </c>
      <c r="AD98" s="24">
        <f t="shared" si="28"/>
        <v>39.583333333333236</v>
      </c>
      <c r="AE98" s="24">
        <f t="shared" si="28"/>
        <v>42.222222222221632</v>
      </c>
      <c r="AF98" s="25">
        <f t="shared" si="28"/>
        <v>32.722222222221781</v>
      </c>
      <c r="AG98" s="25">
        <f t="shared" si="28"/>
        <v>36.944444444445281</v>
      </c>
      <c r="AH98" s="25">
        <f t="shared" si="27"/>
        <v>39.583333333333236</v>
      </c>
      <c r="AI98" s="26">
        <f t="shared" si="27"/>
        <v>30.083333333333595</v>
      </c>
      <c r="AJ98" s="26">
        <f t="shared" si="27"/>
        <v>34.305555555554719</v>
      </c>
      <c r="AK98" s="26">
        <f t="shared" si="27"/>
        <v>36.944444444445281</v>
      </c>
    </row>
    <row r="99" spans="4:37" ht="20.100000000000001" customHeight="1">
      <c r="D99" s="27">
        <f t="shared" si="14"/>
        <v>0.26666666666666622</v>
      </c>
      <c r="E99" s="16">
        <f t="shared" si="29"/>
        <v>73.599999999998246</v>
      </c>
      <c r="F99" s="16">
        <f t="shared" si="29"/>
        <v>77.866666666666703</v>
      </c>
      <c r="G99" s="16">
        <f t="shared" si="29"/>
        <v>80.533333333330475</v>
      </c>
      <c r="H99" s="17">
        <f t="shared" si="29"/>
        <v>68.266666666667334</v>
      </c>
      <c r="I99" s="17">
        <f t="shared" si="29"/>
        <v>72.533333333332763</v>
      </c>
      <c r="J99" s="17">
        <f t="shared" si="29"/>
        <v>75.199999999999562</v>
      </c>
      <c r="K99" s="18">
        <f t="shared" si="29"/>
        <v>62.933333333332072</v>
      </c>
      <c r="L99" s="18">
        <f t="shared" si="29"/>
        <v>67.200000000001765</v>
      </c>
      <c r="M99" s="18">
        <f t="shared" si="29"/>
        <v>69.866666666665196</v>
      </c>
      <c r="N99" s="19">
        <f t="shared" si="29"/>
        <v>49.066666666666322</v>
      </c>
      <c r="O99" s="19">
        <f t="shared" si="29"/>
        <v>53.33333333333475</v>
      </c>
      <c r="P99" s="19">
        <f t="shared" si="29"/>
        <v>55.999999999999162</v>
      </c>
      <c r="Q99" s="20">
        <f t="shared" si="29"/>
        <v>46.4000000000011</v>
      </c>
      <c r="R99" s="20">
        <f t="shared" si="29"/>
        <v>50.666666666668149</v>
      </c>
      <c r="S99" s="20">
        <f t="shared" si="29"/>
        <v>53.33333333333475</v>
      </c>
      <c r="T99" s="21">
        <f t="shared" si="29"/>
        <v>43.733333333334848</v>
      </c>
      <c r="U99" s="21">
        <f t="shared" si="30"/>
        <v>48</v>
      </c>
      <c r="V99" s="21">
        <f t="shared" si="28"/>
        <v>50.666666666668149</v>
      </c>
      <c r="W99" s="22">
        <f t="shared" si="28"/>
        <v>41.066666666666833</v>
      </c>
      <c r="X99" s="22">
        <f t="shared" si="28"/>
        <v>45.33333333333195</v>
      </c>
      <c r="Y99" s="22">
        <f t="shared" si="28"/>
        <v>48</v>
      </c>
      <c r="Z99" s="23">
        <f t="shared" si="28"/>
        <v>38.399999999998961</v>
      </c>
      <c r="AA99" s="23">
        <f t="shared" si="28"/>
        <v>42.666666666666075</v>
      </c>
      <c r="AB99" s="23">
        <f t="shared" si="28"/>
        <v>45.33333333333195</v>
      </c>
      <c r="AC99" s="24">
        <f t="shared" si="28"/>
        <v>35.73333333333369</v>
      </c>
      <c r="AD99" s="24">
        <f t="shared" si="28"/>
        <v>39.999999999999901</v>
      </c>
      <c r="AE99" s="24">
        <f t="shared" si="28"/>
        <v>42.666666666666075</v>
      </c>
      <c r="AF99" s="25">
        <f t="shared" si="28"/>
        <v>33.066666666666222</v>
      </c>
      <c r="AG99" s="25">
        <f t="shared" si="28"/>
        <v>37.333333333334167</v>
      </c>
      <c r="AH99" s="25">
        <f t="shared" si="27"/>
        <v>39.999999999999901</v>
      </c>
      <c r="AI99" s="26">
        <f t="shared" si="27"/>
        <v>30.400000000000261</v>
      </c>
      <c r="AJ99" s="26">
        <f t="shared" si="27"/>
        <v>34.666666666665833</v>
      </c>
      <c r="AK99" s="26">
        <f t="shared" si="27"/>
        <v>37.333333333334167</v>
      </c>
    </row>
    <row r="100" spans="4:37" ht="20.100000000000001" customHeight="1">
      <c r="D100" s="27">
        <f t="shared" si="14"/>
        <v>0.26944444444444399</v>
      </c>
      <c r="E100" s="16">
        <f t="shared" si="29"/>
        <v>74.366666666664912</v>
      </c>
      <c r="F100" s="16">
        <f t="shared" si="29"/>
        <v>78.67777777777782</v>
      </c>
      <c r="G100" s="16">
        <f t="shared" si="29"/>
        <v>81.372222222219364</v>
      </c>
      <c r="H100" s="17">
        <f t="shared" si="29"/>
        <v>68.977777777778442</v>
      </c>
      <c r="I100" s="17">
        <f t="shared" si="29"/>
        <v>73.288888888888323</v>
      </c>
      <c r="J100" s="17">
        <f t="shared" si="29"/>
        <v>75.983333333332894</v>
      </c>
      <c r="K100" s="18">
        <f t="shared" si="29"/>
        <v>63.588888888887631</v>
      </c>
      <c r="L100" s="18">
        <f t="shared" si="29"/>
        <v>67.900000000001768</v>
      </c>
      <c r="M100" s="18">
        <f t="shared" si="29"/>
        <v>70.594444444442971</v>
      </c>
      <c r="N100" s="19">
        <f t="shared" si="29"/>
        <v>49.577777777777435</v>
      </c>
      <c r="O100" s="19">
        <f t="shared" si="29"/>
        <v>53.888888888890307</v>
      </c>
      <c r="P100" s="19">
        <f t="shared" si="29"/>
        <v>56.583333333332497</v>
      </c>
      <c r="Q100" s="20">
        <f t="shared" si="29"/>
        <v>46.883333333334434</v>
      </c>
      <c r="R100" s="20">
        <f t="shared" si="29"/>
        <v>51.194444444445928</v>
      </c>
      <c r="S100" s="20">
        <f t="shared" si="29"/>
        <v>53.888888888890307</v>
      </c>
      <c r="T100" s="21">
        <f t="shared" si="29"/>
        <v>44.188888888890403</v>
      </c>
      <c r="U100" s="21">
        <f t="shared" si="30"/>
        <v>48.5</v>
      </c>
      <c r="V100" s="21">
        <f t="shared" si="28"/>
        <v>51.194444444445928</v>
      </c>
      <c r="W100" s="22">
        <f t="shared" si="28"/>
        <v>41.494444444444611</v>
      </c>
      <c r="X100" s="22">
        <f t="shared" si="28"/>
        <v>45.805555555554172</v>
      </c>
      <c r="Y100" s="22">
        <f t="shared" si="28"/>
        <v>48.5</v>
      </c>
      <c r="Z100" s="23">
        <f t="shared" si="28"/>
        <v>38.79999999999896</v>
      </c>
      <c r="AA100" s="23">
        <f t="shared" si="28"/>
        <v>43.111111111110517</v>
      </c>
      <c r="AB100" s="23">
        <f t="shared" si="28"/>
        <v>45.805555555554172</v>
      </c>
      <c r="AC100" s="24">
        <f t="shared" si="28"/>
        <v>36.10555555555591</v>
      </c>
      <c r="AD100" s="24">
        <f t="shared" si="28"/>
        <v>40.416666666666565</v>
      </c>
      <c r="AE100" s="24">
        <f t="shared" si="28"/>
        <v>43.111111111110517</v>
      </c>
      <c r="AF100" s="25">
        <f t="shared" si="28"/>
        <v>33.411111111110664</v>
      </c>
      <c r="AG100" s="25">
        <f t="shared" si="28"/>
        <v>37.722222222223053</v>
      </c>
      <c r="AH100" s="25">
        <f t="shared" si="27"/>
        <v>40.416666666666565</v>
      </c>
      <c r="AI100" s="26">
        <f t="shared" si="27"/>
        <v>30.716666666666928</v>
      </c>
      <c r="AJ100" s="26">
        <f t="shared" si="27"/>
        <v>35.027777777776947</v>
      </c>
      <c r="AK100" s="26">
        <f t="shared" si="27"/>
        <v>37.722222222223053</v>
      </c>
    </row>
    <row r="101" spans="4:37" ht="20.100000000000001" customHeight="1">
      <c r="D101" s="27">
        <f t="shared" si="14"/>
        <v>0.27222222222222175</v>
      </c>
      <c r="E101" s="16">
        <f t="shared" si="29"/>
        <v>75.133333333331578</v>
      </c>
      <c r="F101" s="16">
        <f t="shared" si="29"/>
        <v>79.488888888888937</v>
      </c>
      <c r="G101" s="16">
        <f t="shared" si="29"/>
        <v>82.211111111108252</v>
      </c>
      <c r="H101" s="17">
        <f t="shared" si="29"/>
        <v>69.688888888889551</v>
      </c>
      <c r="I101" s="17">
        <f t="shared" si="29"/>
        <v>74.044444444443883</v>
      </c>
      <c r="J101" s="17">
        <f t="shared" si="29"/>
        <v>76.766666666666225</v>
      </c>
      <c r="K101" s="18">
        <f t="shared" si="29"/>
        <v>64.244444444443189</v>
      </c>
      <c r="L101" s="18">
        <f t="shared" si="29"/>
        <v>68.600000000001771</v>
      </c>
      <c r="M101" s="18">
        <f t="shared" si="29"/>
        <v>71.322222222220745</v>
      </c>
      <c r="N101" s="19">
        <f t="shared" si="29"/>
        <v>50.088888888888548</v>
      </c>
      <c r="O101" s="19">
        <f t="shared" si="29"/>
        <v>54.444444444445864</v>
      </c>
      <c r="P101" s="19">
        <f t="shared" si="29"/>
        <v>57.166666666665833</v>
      </c>
      <c r="Q101" s="20">
        <f t="shared" si="29"/>
        <v>47.366666666667768</v>
      </c>
      <c r="R101" s="20">
        <f t="shared" si="29"/>
        <v>51.722222222223706</v>
      </c>
      <c r="S101" s="20">
        <f t="shared" si="29"/>
        <v>54.444444444445864</v>
      </c>
      <c r="T101" s="21">
        <f t="shared" si="29"/>
        <v>44.644444444445959</v>
      </c>
      <c r="U101" s="21">
        <f t="shared" si="30"/>
        <v>49</v>
      </c>
      <c r="V101" s="21">
        <f t="shared" si="28"/>
        <v>51.722222222223706</v>
      </c>
      <c r="W101" s="22">
        <f t="shared" si="28"/>
        <v>41.922222222222388</v>
      </c>
      <c r="X101" s="22">
        <f t="shared" si="28"/>
        <v>46.277777777776393</v>
      </c>
      <c r="Y101" s="22">
        <f t="shared" si="28"/>
        <v>49</v>
      </c>
      <c r="Z101" s="23">
        <f t="shared" si="28"/>
        <v>39.199999999998958</v>
      </c>
      <c r="AA101" s="23">
        <f t="shared" si="28"/>
        <v>43.55555555555496</v>
      </c>
      <c r="AB101" s="23">
        <f t="shared" si="28"/>
        <v>46.277777777776393</v>
      </c>
      <c r="AC101" s="24">
        <f t="shared" si="28"/>
        <v>36.47777777777813</v>
      </c>
      <c r="AD101" s="24">
        <f t="shared" si="28"/>
        <v>40.833333333333229</v>
      </c>
      <c r="AE101" s="24">
        <f t="shared" si="28"/>
        <v>43.55555555555496</v>
      </c>
      <c r="AF101" s="25">
        <f t="shared" si="28"/>
        <v>33.755555555555105</v>
      </c>
      <c r="AG101" s="25">
        <f t="shared" si="28"/>
        <v>38.111111111111938</v>
      </c>
      <c r="AH101" s="25">
        <f t="shared" si="27"/>
        <v>40.833333333333229</v>
      </c>
      <c r="AI101" s="26">
        <f t="shared" si="27"/>
        <v>31.033333333333594</v>
      </c>
      <c r="AJ101" s="26">
        <f t="shared" si="27"/>
        <v>35.388888888888062</v>
      </c>
      <c r="AK101" s="26">
        <f t="shared" si="27"/>
        <v>38.111111111111938</v>
      </c>
    </row>
    <row r="102" spans="4:37" ht="20.100000000000001" customHeight="1">
      <c r="D102" s="27">
        <f t="shared" si="14"/>
        <v>0.27499999999999952</v>
      </c>
      <c r="E102" s="16">
        <f t="shared" si="29"/>
        <v>75.899999999998244</v>
      </c>
      <c r="F102" s="16">
        <f t="shared" si="29"/>
        <v>80.300000000000054</v>
      </c>
      <c r="G102" s="16">
        <f t="shared" si="29"/>
        <v>83.049999999997141</v>
      </c>
      <c r="H102" s="17">
        <f t="shared" si="29"/>
        <v>70.400000000000659</v>
      </c>
      <c r="I102" s="17">
        <f t="shared" si="29"/>
        <v>74.799999999999443</v>
      </c>
      <c r="J102" s="17">
        <f t="shared" si="29"/>
        <v>77.549999999999557</v>
      </c>
      <c r="K102" s="18">
        <f t="shared" si="29"/>
        <v>64.899999999998741</v>
      </c>
      <c r="L102" s="18">
        <f t="shared" si="29"/>
        <v>69.300000000001774</v>
      </c>
      <c r="M102" s="18">
        <f t="shared" si="29"/>
        <v>72.049999999998519</v>
      </c>
      <c r="N102" s="19">
        <f t="shared" si="29"/>
        <v>50.59999999999966</v>
      </c>
      <c r="O102" s="19">
        <f t="shared" si="29"/>
        <v>55.000000000001421</v>
      </c>
      <c r="P102" s="19">
        <f t="shared" si="29"/>
        <v>57.749999999999169</v>
      </c>
      <c r="Q102" s="20">
        <f t="shared" si="29"/>
        <v>47.850000000001103</v>
      </c>
      <c r="R102" s="20">
        <f t="shared" si="29"/>
        <v>52.250000000001485</v>
      </c>
      <c r="S102" s="20">
        <f t="shared" si="29"/>
        <v>55.000000000001421</v>
      </c>
      <c r="T102" s="21">
        <f t="shared" si="29"/>
        <v>45.100000000001515</v>
      </c>
      <c r="U102" s="21">
        <f t="shared" si="30"/>
        <v>49.5</v>
      </c>
      <c r="V102" s="21">
        <f t="shared" si="28"/>
        <v>52.250000000001485</v>
      </c>
      <c r="W102" s="22">
        <f t="shared" si="28"/>
        <v>42.350000000000165</v>
      </c>
      <c r="X102" s="22">
        <f t="shared" si="28"/>
        <v>46.749999999998614</v>
      </c>
      <c r="Y102" s="22">
        <f t="shared" si="28"/>
        <v>49.5</v>
      </c>
      <c r="Z102" s="23">
        <f t="shared" si="28"/>
        <v>39.599999999998957</v>
      </c>
      <c r="AA102" s="23">
        <f t="shared" si="28"/>
        <v>43.999999999999403</v>
      </c>
      <c r="AB102" s="23">
        <f t="shared" si="28"/>
        <v>46.749999999998614</v>
      </c>
      <c r="AC102" s="24">
        <f t="shared" si="28"/>
        <v>36.85000000000035</v>
      </c>
      <c r="AD102" s="24">
        <f t="shared" si="28"/>
        <v>41.249999999999893</v>
      </c>
      <c r="AE102" s="24">
        <f t="shared" si="28"/>
        <v>43.999999999999403</v>
      </c>
      <c r="AF102" s="25">
        <f t="shared" si="28"/>
        <v>34.099999999999547</v>
      </c>
      <c r="AG102" s="25">
        <f t="shared" si="28"/>
        <v>38.500000000000824</v>
      </c>
      <c r="AH102" s="25">
        <f t="shared" si="27"/>
        <v>41.249999999999893</v>
      </c>
      <c r="AI102" s="26">
        <f t="shared" si="27"/>
        <v>31.350000000000261</v>
      </c>
      <c r="AJ102" s="26">
        <f t="shared" si="27"/>
        <v>35.749999999999176</v>
      </c>
      <c r="AK102" s="26">
        <f t="shared" si="27"/>
        <v>38.500000000000824</v>
      </c>
    </row>
    <row r="103" spans="4:37" ht="20.100000000000001" customHeight="1">
      <c r="D103" s="27">
        <f t="shared" si="14"/>
        <v>0.27777777777777729</v>
      </c>
      <c r="E103" s="16">
        <f t="shared" si="29"/>
        <v>76.666666666664909</v>
      </c>
      <c r="F103" s="16">
        <f t="shared" si="29"/>
        <v>81.111111111111171</v>
      </c>
      <c r="G103" s="16">
        <f t="shared" si="29"/>
        <v>83.888888888886029</v>
      </c>
      <c r="H103" s="17">
        <f t="shared" si="29"/>
        <v>71.111111111111768</v>
      </c>
      <c r="I103" s="17">
        <f t="shared" si="29"/>
        <v>75.555555555555003</v>
      </c>
      <c r="J103" s="17">
        <f t="shared" si="29"/>
        <v>78.333333333332888</v>
      </c>
      <c r="K103" s="18">
        <f t="shared" si="29"/>
        <v>65.555555555554292</v>
      </c>
      <c r="L103" s="18">
        <f t="shared" si="29"/>
        <v>70.000000000001776</v>
      </c>
      <c r="M103" s="18">
        <f t="shared" si="29"/>
        <v>72.777777777776294</v>
      </c>
      <c r="N103" s="19">
        <f t="shared" si="29"/>
        <v>51.111111111110773</v>
      </c>
      <c r="O103" s="19">
        <f t="shared" si="29"/>
        <v>55.555555555556978</v>
      </c>
      <c r="P103" s="19">
        <f t="shared" si="29"/>
        <v>58.333333333332504</v>
      </c>
      <c r="Q103" s="20">
        <f t="shared" si="29"/>
        <v>48.333333333334437</v>
      </c>
      <c r="R103" s="20">
        <f t="shared" si="29"/>
        <v>52.777777777779264</v>
      </c>
      <c r="S103" s="20">
        <f t="shared" si="29"/>
        <v>55.555555555556978</v>
      </c>
      <c r="T103" s="21">
        <f t="shared" si="29"/>
        <v>45.555555555557071</v>
      </c>
      <c r="U103" s="21">
        <f t="shared" si="30"/>
        <v>50</v>
      </c>
      <c r="V103" s="21">
        <f t="shared" si="28"/>
        <v>52.777777777779264</v>
      </c>
      <c r="W103" s="22">
        <f t="shared" si="28"/>
        <v>42.777777777777942</v>
      </c>
      <c r="X103" s="22">
        <f t="shared" si="28"/>
        <v>47.222222222220836</v>
      </c>
      <c r="Y103" s="22">
        <f t="shared" si="28"/>
        <v>50</v>
      </c>
      <c r="Z103" s="23">
        <f t="shared" si="28"/>
        <v>39.999999999998956</v>
      </c>
      <c r="AA103" s="23">
        <f t="shared" si="28"/>
        <v>44.444444444443846</v>
      </c>
      <c r="AB103" s="23">
        <f t="shared" si="28"/>
        <v>47.222222222220836</v>
      </c>
      <c r="AC103" s="24">
        <f t="shared" si="28"/>
        <v>37.22222222222257</v>
      </c>
      <c r="AD103" s="24">
        <f t="shared" si="28"/>
        <v>41.666666666666558</v>
      </c>
      <c r="AE103" s="24">
        <f t="shared" si="28"/>
        <v>44.444444444443846</v>
      </c>
      <c r="AF103" s="25">
        <f t="shared" si="28"/>
        <v>34.444444444443988</v>
      </c>
      <c r="AG103" s="25">
        <f t="shared" si="28"/>
        <v>38.88888888888971</v>
      </c>
      <c r="AH103" s="25">
        <f t="shared" si="27"/>
        <v>41.666666666666558</v>
      </c>
      <c r="AI103" s="26">
        <f t="shared" si="27"/>
        <v>31.666666666666927</v>
      </c>
      <c r="AJ103" s="26">
        <f t="shared" si="27"/>
        <v>36.11111111111029</v>
      </c>
      <c r="AK103" s="26">
        <f t="shared" si="27"/>
        <v>38.88888888888971</v>
      </c>
    </row>
    <row r="104" spans="4:37" ht="20.100000000000001" customHeight="1">
      <c r="D104" s="27">
        <f t="shared" si="14"/>
        <v>0.28055555555555506</v>
      </c>
      <c r="E104" s="16">
        <f t="shared" si="29"/>
        <v>77.433333333331575</v>
      </c>
      <c r="F104" s="16">
        <f t="shared" si="29"/>
        <v>81.922222222222288</v>
      </c>
      <c r="G104" s="16">
        <f t="shared" si="29"/>
        <v>84.727777777774918</v>
      </c>
      <c r="H104" s="17">
        <f t="shared" si="29"/>
        <v>71.822222222222877</v>
      </c>
      <c r="I104" s="17">
        <f t="shared" si="29"/>
        <v>76.311111111110563</v>
      </c>
      <c r="J104" s="17">
        <f t="shared" si="29"/>
        <v>79.116666666666219</v>
      </c>
      <c r="K104" s="18">
        <f t="shared" si="29"/>
        <v>66.211111111109844</v>
      </c>
      <c r="L104" s="18">
        <f t="shared" si="29"/>
        <v>70.700000000001779</v>
      </c>
      <c r="M104" s="18">
        <f t="shared" si="29"/>
        <v>73.505555555554068</v>
      </c>
      <c r="N104" s="19">
        <f t="shared" si="29"/>
        <v>51.622222222221886</v>
      </c>
      <c r="O104" s="19">
        <f t="shared" si="29"/>
        <v>56.111111111112535</v>
      </c>
      <c r="P104" s="19">
        <f t="shared" si="29"/>
        <v>58.91666666666584</v>
      </c>
      <c r="Q104" s="20">
        <f t="shared" si="29"/>
        <v>48.816666666667771</v>
      </c>
      <c r="R104" s="20">
        <f t="shared" si="29"/>
        <v>53.305555555557042</v>
      </c>
      <c r="S104" s="20">
        <f t="shared" si="29"/>
        <v>56.111111111112535</v>
      </c>
      <c r="T104" s="21">
        <f t="shared" si="29"/>
        <v>46.011111111112626</v>
      </c>
      <c r="U104" s="21">
        <f t="shared" si="30"/>
        <v>50.5</v>
      </c>
      <c r="V104" s="21">
        <f t="shared" si="28"/>
        <v>53.305555555557042</v>
      </c>
      <c r="W104" s="22">
        <f t="shared" si="28"/>
        <v>43.205555555555719</v>
      </c>
      <c r="X104" s="22">
        <f t="shared" si="28"/>
        <v>47.694444444443057</v>
      </c>
      <c r="Y104" s="22">
        <f t="shared" si="28"/>
        <v>50.5</v>
      </c>
      <c r="Z104" s="23">
        <f t="shared" si="28"/>
        <v>40.399999999998954</v>
      </c>
      <c r="AA104" s="23">
        <f t="shared" si="28"/>
        <v>44.888888888888289</v>
      </c>
      <c r="AB104" s="23">
        <f t="shared" si="28"/>
        <v>47.694444444443057</v>
      </c>
      <c r="AC104" s="24">
        <f t="shared" si="28"/>
        <v>37.59444444444479</v>
      </c>
      <c r="AD104" s="24">
        <f t="shared" si="28"/>
        <v>42.083333333333222</v>
      </c>
      <c r="AE104" s="24">
        <f t="shared" si="28"/>
        <v>44.888888888888289</v>
      </c>
      <c r="AF104" s="25">
        <f t="shared" si="28"/>
        <v>34.78888888888843</v>
      </c>
      <c r="AG104" s="25">
        <f t="shared" si="28"/>
        <v>39.277777777778596</v>
      </c>
      <c r="AH104" s="25">
        <f t="shared" si="28"/>
        <v>42.083333333333222</v>
      </c>
      <c r="AI104" s="26">
        <f t="shared" si="28"/>
        <v>31.983333333333594</v>
      </c>
      <c r="AJ104" s="26">
        <f t="shared" si="28"/>
        <v>36.472222222221404</v>
      </c>
      <c r="AK104" s="26">
        <f t="shared" si="27"/>
        <v>39.277777777778596</v>
      </c>
    </row>
    <row r="105" spans="4:37" ht="20.100000000000001" customHeight="1">
      <c r="D105" s="27">
        <f t="shared" si="14"/>
        <v>0.28333333333333283</v>
      </c>
      <c r="E105" s="16">
        <f t="shared" si="29"/>
        <v>78.199999999998241</v>
      </c>
      <c r="F105" s="16">
        <f t="shared" si="29"/>
        <v>82.733333333333405</v>
      </c>
      <c r="G105" s="16">
        <f t="shared" si="29"/>
        <v>85.566666666663806</v>
      </c>
      <c r="H105" s="17">
        <f t="shared" si="29"/>
        <v>72.533333333333985</v>
      </c>
      <c r="I105" s="17">
        <f t="shared" si="29"/>
        <v>77.066666666666123</v>
      </c>
      <c r="J105" s="17">
        <f t="shared" si="29"/>
        <v>79.899999999999551</v>
      </c>
      <c r="K105" s="18">
        <f t="shared" si="29"/>
        <v>66.866666666665395</v>
      </c>
      <c r="L105" s="18">
        <f t="shared" si="29"/>
        <v>71.400000000001782</v>
      </c>
      <c r="M105" s="18">
        <f t="shared" si="29"/>
        <v>74.233333333331842</v>
      </c>
      <c r="N105" s="19">
        <f t="shared" si="29"/>
        <v>52.133333333332999</v>
      </c>
      <c r="O105" s="19">
        <f t="shared" si="29"/>
        <v>56.666666666668092</v>
      </c>
      <c r="P105" s="19">
        <f t="shared" si="29"/>
        <v>59.499999999999176</v>
      </c>
      <c r="Q105" s="20">
        <f t="shared" si="29"/>
        <v>49.300000000001106</v>
      </c>
      <c r="R105" s="20">
        <f t="shared" si="29"/>
        <v>53.833333333334821</v>
      </c>
      <c r="S105" s="20">
        <f t="shared" si="29"/>
        <v>56.666666666668092</v>
      </c>
      <c r="T105" s="21">
        <f t="shared" si="29"/>
        <v>46.466666666668182</v>
      </c>
      <c r="U105" s="21">
        <f t="shared" si="30"/>
        <v>51</v>
      </c>
      <c r="V105" s="21">
        <f t="shared" si="28"/>
        <v>53.833333333334821</v>
      </c>
      <c r="W105" s="22">
        <f t="shared" si="28"/>
        <v>43.633333333333496</v>
      </c>
      <c r="X105" s="22">
        <f t="shared" si="28"/>
        <v>48.166666666665279</v>
      </c>
      <c r="Y105" s="22">
        <f t="shared" si="28"/>
        <v>51</v>
      </c>
      <c r="Z105" s="23">
        <f t="shared" si="28"/>
        <v>40.799999999998953</v>
      </c>
      <c r="AA105" s="23">
        <f t="shared" si="28"/>
        <v>45.333333333332732</v>
      </c>
      <c r="AB105" s="23">
        <f t="shared" si="28"/>
        <v>48.166666666665279</v>
      </c>
      <c r="AC105" s="24">
        <f t="shared" si="28"/>
        <v>37.96666666666701</v>
      </c>
      <c r="AD105" s="24">
        <f t="shared" si="28"/>
        <v>42.499999999999886</v>
      </c>
      <c r="AE105" s="24">
        <f t="shared" si="28"/>
        <v>45.333333333332732</v>
      </c>
      <c r="AF105" s="25">
        <f t="shared" si="28"/>
        <v>35.133333333332871</v>
      </c>
      <c r="AG105" s="25">
        <f t="shared" si="28"/>
        <v>39.666666666667481</v>
      </c>
      <c r="AH105" s="25">
        <f t="shared" si="28"/>
        <v>42.499999999999886</v>
      </c>
      <c r="AI105" s="26">
        <f t="shared" si="28"/>
        <v>32.30000000000026</v>
      </c>
      <c r="AJ105" s="26">
        <f t="shared" si="28"/>
        <v>36.833333333332519</v>
      </c>
      <c r="AK105" s="26">
        <f t="shared" si="27"/>
        <v>39.666666666667481</v>
      </c>
    </row>
    <row r="106" spans="4:37" ht="20.100000000000001" customHeight="1">
      <c r="D106" s="27">
        <f t="shared" si="14"/>
        <v>0.28611111111111059</v>
      </c>
      <c r="E106" s="16">
        <f t="shared" si="29"/>
        <v>78.966666666664906</v>
      </c>
      <c r="F106" s="16">
        <f t="shared" si="29"/>
        <v>83.544444444444522</v>
      </c>
      <c r="G106" s="16">
        <f t="shared" si="29"/>
        <v>86.405555555552695</v>
      </c>
      <c r="H106" s="17">
        <f t="shared" si="29"/>
        <v>73.244444444445094</v>
      </c>
      <c r="I106" s="17">
        <f t="shared" si="29"/>
        <v>77.822222222221683</v>
      </c>
      <c r="J106" s="17">
        <f t="shared" si="29"/>
        <v>80.683333333332882</v>
      </c>
      <c r="K106" s="18">
        <f t="shared" si="29"/>
        <v>67.522222222220947</v>
      </c>
      <c r="L106" s="18">
        <f t="shared" si="29"/>
        <v>72.100000000001785</v>
      </c>
      <c r="M106" s="18">
        <f t="shared" si="29"/>
        <v>74.961111111109616</v>
      </c>
      <c r="N106" s="19">
        <f t="shared" si="29"/>
        <v>52.644444444444112</v>
      </c>
      <c r="O106" s="19">
        <f t="shared" si="29"/>
        <v>57.22222222222365</v>
      </c>
      <c r="P106" s="19">
        <f t="shared" si="29"/>
        <v>60.083333333332511</v>
      </c>
      <c r="Q106" s="20">
        <f t="shared" si="29"/>
        <v>49.78333333333444</v>
      </c>
      <c r="R106" s="20">
        <f t="shared" si="29"/>
        <v>54.361111111112599</v>
      </c>
      <c r="S106" s="20">
        <f t="shared" si="29"/>
        <v>57.22222222222365</v>
      </c>
      <c r="T106" s="21">
        <f t="shared" si="29"/>
        <v>46.922222222223738</v>
      </c>
      <c r="U106" s="21">
        <f t="shared" si="30"/>
        <v>51.5</v>
      </c>
      <c r="V106" s="21">
        <f t="shared" si="28"/>
        <v>54.361111111112599</v>
      </c>
      <c r="W106" s="22">
        <f t="shared" si="28"/>
        <v>44.061111111111273</v>
      </c>
      <c r="X106" s="22">
        <f t="shared" si="28"/>
        <v>48.6388888888875</v>
      </c>
      <c r="Y106" s="22">
        <f t="shared" si="28"/>
        <v>51.5</v>
      </c>
      <c r="Z106" s="23">
        <f t="shared" si="28"/>
        <v>41.199999999998951</v>
      </c>
      <c r="AA106" s="23">
        <f t="shared" si="28"/>
        <v>45.777777777777175</v>
      </c>
      <c r="AB106" s="23">
        <f t="shared" si="28"/>
        <v>48.6388888888875</v>
      </c>
      <c r="AC106" s="24">
        <f t="shared" si="28"/>
        <v>38.33888888888923</v>
      </c>
      <c r="AD106" s="24">
        <f t="shared" si="28"/>
        <v>42.916666666666551</v>
      </c>
      <c r="AE106" s="24">
        <f t="shared" si="28"/>
        <v>45.777777777777175</v>
      </c>
      <c r="AF106" s="25">
        <f t="shared" si="28"/>
        <v>35.477777777777312</v>
      </c>
      <c r="AG106" s="25">
        <f t="shared" si="28"/>
        <v>40.055555555556367</v>
      </c>
      <c r="AH106" s="25">
        <f t="shared" si="28"/>
        <v>42.916666666666551</v>
      </c>
      <c r="AI106" s="26">
        <f t="shared" si="28"/>
        <v>32.61666666666693</v>
      </c>
      <c r="AJ106" s="26">
        <f t="shared" si="28"/>
        <v>37.194444444443633</v>
      </c>
      <c r="AK106" s="26">
        <f t="shared" si="27"/>
        <v>40.055555555556367</v>
      </c>
    </row>
    <row r="107" spans="4:37" ht="20.100000000000001" customHeight="1">
      <c r="D107" s="27">
        <f t="shared" si="14"/>
        <v>0.28888888888888836</v>
      </c>
      <c r="E107" s="16">
        <f t="shared" si="29"/>
        <v>79.733333333331572</v>
      </c>
      <c r="F107" s="16">
        <f t="shared" si="29"/>
        <v>84.35555555555564</v>
      </c>
      <c r="G107" s="16">
        <f t="shared" si="29"/>
        <v>87.244444444441584</v>
      </c>
      <c r="H107" s="17">
        <f t="shared" si="29"/>
        <v>73.955555555556202</v>
      </c>
      <c r="I107" s="17">
        <f t="shared" si="29"/>
        <v>78.577777777777243</v>
      </c>
      <c r="J107" s="17">
        <f t="shared" si="29"/>
        <v>81.466666666666214</v>
      </c>
      <c r="K107" s="18">
        <f t="shared" si="29"/>
        <v>68.177777777776498</v>
      </c>
      <c r="L107" s="18">
        <f t="shared" si="29"/>
        <v>72.800000000001788</v>
      </c>
      <c r="M107" s="18">
        <f t="shared" si="29"/>
        <v>75.688888888887391</v>
      </c>
      <c r="N107" s="19">
        <f t="shared" si="29"/>
        <v>53.155555555555225</v>
      </c>
      <c r="O107" s="19">
        <f t="shared" si="29"/>
        <v>57.777777777779207</v>
      </c>
      <c r="P107" s="19">
        <f t="shared" si="29"/>
        <v>60.666666666665847</v>
      </c>
      <c r="Q107" s="20">
        <f t="shared" si="29"/>
        <v>50.266666666667774</v>
      </c>
      <c r="R107" s="20">
        <f t="shared" si="29"/>
        <v>54.888888888890378</v>
      </c>
      <c r="S107" s="20">
        <f t="shared" si="29"/>
        <v>57.777777777779207</v>
      </c>
      <c r="T107" s="21">
        <f t="shared" si="29"/>
        <v>47.377777777779293</v>
      </c>
      <c r="U107" s="21">
        <f t="shared" si="30"/>
        <v>52</v>
      </c>
      <c r="V107" s="21">
        <f t="shared" ref="V107:AD111" si="31">V108-(V$363/360)</f>
        <v>54.888888888890378</v>
      </c>
      <c r="W107" s="22">
        <f t="shared" si="31"/>
        <v>44.488888888889051</v>
      </c>
      <c r="X107" s="22">
        <f t="shared" si="31"/>
        <v>49.111111111109722</v>
      </c>
      <c r="Y107" s="22">
        <f t="shared" si="31"/>
        <v>52</v>
      </c>
      <c r="Z107" s="23">
        <f t="shared" si="31"/>
        <v>41.59999999999895</v>
      </c>
      <c r="AA107" s="23">
        <f t="shared" si="31"/>
        <v>46.222222222221617</v>
      </c>
      <c r="AB107" s="23">
        <f t="shared" si="31"/>
        <v>49.111111111109722</v>
      </c>
      <c r="AC107" s="24">
        <f t="shared" si="31"/>
        <v>38.71111111111145</v>
      </c>
      <c r="AD107" s="24">
        <f t="shared" si="31"/>
        <v>43.333333333333215</v>
      </c>
      <c r="AE107" s="24">
        <f t="shared" si="27"/>
        <v>46.222222222221617</v>
      </c>
      <c r="AF107" s="25">
        <f t="shared" si="27"/>
        <v>35.822222222221754</v>
      </c>
      <c r="AG107" s="25">
        <f t="shared" si="27"/>
        <v>40.444444444445253</v>
      </c>
      <c r="AH107" s="25">
        <f t="shared" si="27"/>
        <v>43.333333333333215</v>
      </c>
      <c r="AI107" s="26">
        <f t="shared" si="27"/>
        <v>32.9333333333336</v>
      </c>
      <c r="AJ107" s="26">
        <f t="shared" si="27"/>
        <v>37.555555555554747</v>
      </c>
      <c r="AK107" s="26">
        <f t="shared" si="27"/>
        <v>40.444444444445253</v>
      </c>
    </row>
    <row r="108" spans="4:37" ht="20.100000000000001" customHeight="1">
      <c r="D108" s="27">
        <f t="shared" si="14"/>
        <v>0.29166666666666613</v>
      </c>
      <c r="E108" s="16">
        <f t="shared" si="29"/>
        <v>80.499999999998238</v>
      </c>
      <c r="F108" s="16">
        <f t="shared" si="29"/>
        <v>85.166666666666757</v>
      </c>
      <c r="G108" s="16">
        <f t="shared" si="29"/>
        <v>88.083333333330472</v>
      </c>
      <c r="H108" s="17">
        <f t="shared" si="29"/>
        <v>74.666666666667311</v>
      </c>
      <c r="I108" s="17">
        <f t="shared" si="29"/>
        <v>79.333333333332803</v>
      </c>
      <c r="J108" s="17">
        <f t="shared" si="29"/>
        <v>82.249999999999545</v>
      </c>
      <c r="K108" s="18">
        <f t="shared" si="29"/>
        <v>68.83333333333205</v>
      </c>
      <c r="L108" s="18">
        <f t="shared" si="29"/>
        <v>73.500000000001791</v>
      </c>
      <c r="M108" s="18">
        <f t="shared" si="29"/>
        <v>76.416666666665165</v>
      </c>
      <c r="N108" s="19">
        <f t="shared" si="29"/>
        <v>53.666666666666337</v>
      </c>
      <c r="O108" s="19">
        <f t="shared" si="29"/>
        <v>58.333333333334764</v>
      </c>
      <c r="P108" s="19">
        <f t="shared" si="29"/>
        <v>61.249999999999183</v>
      </c>
      <c r="Q108" s="20">
        <f t="shared" si="29"/>
        <v>50.750000000001108</v>
      </c>
      <c r="R108" s="20">
        <f t="shared" si="29"/>
        <v>55.416666666668156</v>
      </c>
      <c r="S108" s="20">
        <f t="shared" si="29"/>
        <v>58.333333333334764</v>
      </c>
      <c r="T108" s="21">
        <f t="shared" si="29"/>
        <v>47.833333333334849</v>
      </c>
      <c r="U108" s="21">
        <f t="shared" si="30"/>
        <v>52.5</v>
      </c>
      <c r="V108" s="21">
        <f t="shared" si="31"/>
        <v>55.416666666668156</v>
      </c>
      <c r="W108" s="22">
        <f t="shared" si="31"/>
        <v>44.916666666666828</v>
      </c>
      <c r="X108" s="22">
        <f t="shared" si="31"/>
        <v>49.583333333331943</v>
      </c>
      <c r="Y108" s="22">
        <f t="shared" si="31"/>
        <v>52.5</v>
      </c>
      <c r="Z108" s="23">
        <f t="shared" si="31"/>
        <v>41.999999999998948</v>
      </c>
      <c r="AA108" s="23">
        <f t="shared" si="31"/>
        <v>46.66666666666606</v>
      </c>
      <c r="AB108" s="23">
        <f t="shared" si="31"/>
        <v>49.583333333331943</v>
      </c>
      <c r="AC108" s="24">
        <f t="shared" si="31"/>
        <v>39.08333333333367</v>
      </c>
      <c r="AD108" s="24">
        <f t="shared" si="31"/>
        <v>43.749999999999879</v>
      </c>
      <c r="AE108" s="24">
        <f t="shared" si="27"/>
        <v>46.66666666666606</v>
      </c>
      <c r="AF108" s="25">
        <f t="shared" si="27"/>
        <v>36.166666666666195</v>
      </c>
      <c r="AG108" s="25">
        <f t="shared" si="27"/>
        <v>40.833333333334139</v>
      </c>
      <c r="AH108" s="25">
        <f t="shared" si="27"/>
        <v>43.749999999999879</v>
      </c>
      <c r="AI108" s="26">
        <f t="shared" si="27"/>
        <v>33.25000000000027</v>
      </c>
      <c r="AJ108" s="26">
        <f t="shared" si="27"/>
        <v>37.916666666665861</v>
      </c>
      <c r="AK108" s="26">
        <f t="shared" si="27"/>
        <v>40.833333333334139</v>
      </c>
    </row>
    <row r="109" spans="4:37" ht="20.100000000000001" customHeight="1">
      <c r="D109" s="27">
        <f t="shared" si="14"/>
        <v>0.2944444444444439</v>
      </c>
      <c r="E109" s="16">
        <f t="shared" si="29"/>
        <v>81.266666666664904</v>
      </c>
      <c r="F109" s="16">
        <f t="shared" si="29"/>
        <v>85.977777777777874</v>
      </c>
      <c r="G109" s="16">
        <f t="shared" si="29"/>
        <v>88.922222222219361</v>
      </c>
      <c r="H109" s="17">
        <f t="shared" si="29"/>
        <v>75.377777777778419</v>
      </c>
      <c r="I109" s="17">
        <f t="shared" si="29"/>
        <v>80.088888888888363</v>
      </c>
      <c r="J109" s="17">
        <f t="shared" si="29"/>
        <v>83.033333333332877</v>
      </c>
      <c r="K109" s="18">
        <f t="shared" si="29"/>
        <v>69.488888888887601</v>
      </c>
      <c r="L109" s="18">
        <f t="shared" si="29"/>
        <v>74.200000000001793</v>
      </c>
      <c r="M109" s="18">
        <f t="shared" si="29"/>
        <v>77.144444444442939</v>
      </c>
      <c r="N109" s="19">
        <f t="shared" si="29"/>
        <v>54.17777777777745</v>
      </c>
      <c r="O109" s="19">
        <f t="shared" si="29"/>
        <v>58.888888888890321</v>
      </c>
      <c r="P109" s="19">
        <f t="shared" si="29"/>
        <v>61.833333333332519</v>
      </c>
      <c r="Q109" s="20">
        <f t="shared" si="29"/>
        <v>51.233333333334443</v>
      </c>
      <c r="R109" s="20">
        <f t="shared" si="29"/>
        <v>55.944444444445935</v>
      </c>
      <c r="S109" s="20">
        <f t="shared" si="29"/>
        <v>58.888888888890321</v>
      </c>
      <c r="T109" s="21">
        <f t="shared" si="29"/>
        <v>48.288888888890405</v>
      </c>
      <c r="U109" s="21">
        <f t="shared" si="30"/>
        <v>53</v>
      </c>
      <c r="V109" s="21">
        <f t="shared" si="31"/>
        <v>55.944444444445935</v>
      </c>
      <c r="W109" s="22">
        <f t="shared" si="31"/>
        <v>45.344444444444605</v>
      </c>
      <c r="X109" s="22">
        <f t="shared" si="31"/>
        <v>50.055555555554164</v>
      </c>
      <c r="Y109" s="22">
        <f t="shared" si="31"/>
        <v>53</v>
      </c>
      <c r="Z109" s="23">
        <f t="shared" si="31"/>
        <v>42.399999999998947</v>
      </c>
      <c r="AA109" s="23">
        <f t="shared" si="31"/>
        <v>47.111111111110503</v>
      </c>
      <c r="AB109" s="23">
        <f t="shared" si="31"/>
        <v>50.055555555554164</v>
      </c>
      <c r="AC109" s="24">
        <f t="shared" si="31"/>
        <v>39.45555555555589</v>
      </c>
      <c r="AD109" s="24">
        <f t="shared" si="31"/>
        <v>44.166666666666544</v>
      </c>
      <c r="AE109" s="24">
        <f t="shared" si="27"/>
        <v>47.111111111110503</v>
      </c>
      <c r="AF109" s="25">
        <f t="shared" si="27"/>
        <v>36.511111111110637</v>
      </c>
      <c r="AG109" s="25">
        <f t="shared" si="27"/>
        <v>41.222222222223024</v>
      </c>
      <c r="AH109" s="25">
        <f t="shared" si="27"/>
        <v>44.166666666666544</v>
      </c>
      <c r="AI109" s="26">
        <f t="shared" si="27"/>
        <v>33.56666666666694</v>
      </c>
      <c r="AJ109" s="26">
        <f t="shared" si="27"/>
        <v>38.277777777776976</v>
      </c>
      <c r="AK109" s="26">
        <f t="shared" si="27"/>
        <v>41.222222222223024</v>
      </c>
    </row>
    <row r="110" spans="4:37" ht="20.100000000000001" customHeight="1">
      <c r="D110" s="27">
        <f t="shared" si="14"/>
        <v>0.29722222222222167</v>
      </c>
      <c r="E110" s="16">
        <f t="shared" si="29"/>
        <v>82.033333333331569</v>
      </c>
      <c r="F110" s="16">
        <f t="shared" si="29"/>
        <v>86.788888888888991</v>
      </c>
      <c r="G110" s="16">
        <f t="shared" si="29"/>
        <v>89.761111111108249</v>
      </c>
      <c r="H110" s="17">
        <f t="shared" si="29"/>
        <v>76.088888888889528</v>
      </c>
      <c r="I110" s="17">
        <f t="shared" si="29"/>
        <v>80.844444444443923</v>
      </c>
      <c r="J110" s="17">
        <f t="shared" si="29"/>
        <v>83.816666666666208</v>
      </c>
      <c r="K110" s="18">
        <f t="shared" si="29"/>
        <v>70.144444444443153</v>
      </c>
      <c r="L110" s="18">
        <f t="shared" si="29"/>
        <v>74.900000000001796</v>
      </c>
      <c r="M110" s="18">
        <f t="shared" si="29"/>
        <v>77.872222222220714</v>
      </c>
      <c r="N110" s="19">
        <f t="shared" si="29"/>
        <v>54.688888888888563</v>
      </c>
      <c r="O110" s="19">
        <f t="shared" si="29"/>
        <v>59.444444444445878</v>
      </c>
      <c r="P110" s="19">
        <f t="shared" si="29"/>
        <v>62.416666666665854</v>
      </c>
      <c r="Q110" s="20">
        <f t="shared" si="29"/>
        <v>51.716666666667777</v>
      </c>
      <c r="R110" s="20">
        <f t="shared" si="29"/>
        <v>56.472222222223714</v>
      </c>
      <c r="S110" s="20">
        <f t="shared" si="29"/>
        <v>59.444444444445878</v>
      </c>
      <c r="T110" s="21">
        <f t="shared" si="29"/>
        <v>48.744444444445961</v>
      </c>
      <c r="U110" s="21">
        <f t="shared" si="30"/>
        <v>53.5</v>
      </c>
      <c r="V110" s="21">
        <f t="shared" si="31"/>
        <v>56.472222222223714</v>
      </c>
      <c r="W110" s="22">
        <f t="shared" si="31"/>
        <v>45.772222222222382</v>
      </c>
      <c r="X110" s="22">
        <f t="shared" si="31"/>
        <v>50.527777777776386</v>
      </c>
      <c r="Y110" s="22">
        <f t="shared" si="31"/>
        <v>53.5</v>
      </c>
      <c r="Z110" s="23">
        <f t="shared" si="31"/>
        <v>42.799999999998946</v>
      </c>
      <c r="AA110" s="23">
        <f t="shared" si="31"/>
        <v>47.555555555554946</v>
      </c>
      <c r="AB110" s="23">
        <f t="shared" si="31"/>
        <v>50.527777777776386</v>
      </c>
      <c r="AC110" s="24">
        <f t="shared" si="31"/>
        <v>39.82777777777811</v>
      </c>
      <c r="AD110" s="24">
        <f t="shared" si="31"/>
        <v>44.583333333333208</v>
      </c>
      <c r="AE110" s="24">
        <f t="shared" si="27"/>
        <v>47.555555555554946</v>
      </c>
      <c r="AF110" s="25">
        <f t="shared" si="27"/>
        <v>36.855555555555078</v>
      </c>
      <c r="AG110" s="25">
        <f t="shared" si="27"/>
        <v>41.61111111111191</v>
      </c>
      <c r="AH110" s="25">
        <f t="shared" si="27"/>
        <v>44.583333333333208</v>
      </c>
      <c r="AI110" s="26">
        <f t="shared" si="27"/>
        <v>33.88333333333361</v>
      </c>
      <c r="AJ110" s="26">
        <f t="shared" si="27"/>
        <v>38.63888888888809</v>
      </c>
      <c r="AK110" s="26">
        <f t="shared" si="27"/>
        <v>41.61111111111191</v>
      </c>
    </row>
    <row r="111" spans="4:37" ht="20.100000000000001" customHeight="1">
      <c r="D111" s="27">
        <f t="shared" si="14"/>
        <v>0.29999999999999943</v>
      </c>
      <c r="E111" s="16">
        <f t="shared" si="29"/>
        <v>82.799999999998235</v>
      </c>
      <c r="F111" s="16">
        <f t="shared" si="29"/>
        <v>87.600000000000108</v>
      </c>
      <c r="G111" s="16">
        <f t="shared" si="29"/>
        <v>90.599999999997138</v>
      </c>
      <c r="H111" s="17">
        <f t="shared" si="29"/>
        <v>76.800000000000637</v>
      </c>
      <c r="I111" s="17">
        <f t="shared" si="29"/>
        <v>81.599999999999483</v>
      </c>
      <c r="J111" s="17">
        <f t="shared" si="29"/>
        <v>84.59999999999954</v>
      </c>
      <c r="K111" s="18">
        <f t="shared" si="29"/>
        <v>70.799999999998704</v>
      </c>
      <c r="L111" s="18">
        <f t="shared" si="29"/>
        <v>75.600000000001799</v>
      </c>
      <c r="M111" s="18">
        <f t="shared" si="29"/>
        <v>78.599999999998488</v>
      </c>
      <c r="N111" s="19">
        <f t="shared" si="29"/>
        <v>55.199999999999676</v>
      </c>
      <c r="O111" s="19">
        <f t="shared" si="29"/>
        <v>60.000000000001435</v>
      </c>
      <c r="P111" s="19">
        <f t="shared" si="29"/>
        <v>62.99999999999919</v>
      </c>
      <c r="Q111" s="20">
        <f t="shared" si="29"/>
        <v>52.200000000001111</v>
      </c>
      <c r="R111" s="20">
        <f t="shared" si="29"/>
        <v>57.000000000001492</v>
      </c>
      <c r="S111" s="20">
        <f t="shared" si="29"/>
        <v>60.000000000001435</v>
      </c>
      <c r="T111" s="21">
        <f t="shared" si="29"/>
        <v>49.200000000001516</v>
      </c>
      <c r="U111" s="21">
        <f t="shared" si="30"/>
        <v>54</v>
      </c>
      <c r="V111" s="21">
        <f t="shared" si="31"/>
        <v>57.000000000001492</v>
      </c>
      <c r="W111" s="22">
        <f t="shared" si="31"/>
        <v>46.200000000000159</v>
      </c>
      <c r="X111" s="22">
        <f t="shared" si="31"/>
        <v>50.999999999998607</v>
      </c>
      <c r="Y111" s="22">
        <f t="shared" si="31"/>
        <v>54</v>
      </c>
      <c r="Z111" s="23">
        <f t="shared" si="31"/>
        <v>43.199999999998944</v>
      </c>
      <c r="AA111" s="23">
        <f t="shared" si="31"/>
        <v>47.999999999999389</v>
      </c>
      <c r="AB111" s="23">
        <f t="shared" si="31"/>
        <v>50.999999999998607</v>
      </c>
      <c r="AC111" s="24">
        <f t="shared" si="31"/>
        <v>40.20000000000033</v>
      </c>
      <c r="AD111" s="24">
        <f t="shared" si="31"/>
        <v>44.999999999999872</v>
      </c>
      <c r="AE111" s="24">
        <f t="shared" si="27"/>
        <v>47.999999999999389</v>
      </c>
      <c r="AF111" s="25">
        <f t="shared" si="27"/>
        <v>37.19999999999952</v>
      </c>
      <c r="AG111" s="25">
        <f t="shared" si="27"/>
        <v>42.000000000000796</v>
      </c>
      <c r="AH111" s="25">
        <f t="shared" si="27"/>
        <v>44.999999999999872</v>
      </c>
      <c r="AI111" s="26">
        <f t="shared" si="27"/>
        <v>34.20000000000028</v>
      </c>
      <c r="AJ111" s="26">
        <f t="shared" si="27"/>
        <v>38.999999999999204</v>
      </c>
      <c r="AK111" s="26">
        <f t="shared" si="27"/>
        <v>42.000000000000796</v>
      </c>
    </row>
    <row r="112" spans="4:37" ht="20.100000000000001" customHeight="1">
      <c r="D112" s="27">
        <f t="shared" si="14"/>
        <v>0.3027777777777772</v>
      </c>
      <c r="E112" s="16">
        <f t="shared" si="29"/>
        <v>83.566666666664901</v>
      </c>
      <c r="F112" s="16">
        <f t="shared" si="29"/>
        <v>88.411111111111225</v>
      </c>
      <c r="G112" s="16">
        <f t="shared" si="29"/>
        <v>91.438888888886027</v>
      </c>
      <c r="H112" s="17">
        <f t="shared" si="29"/>
        <v>77.511111111111745</v>
      </c>
      <c r="I112" s="17">
        <f t="shared" si="29"/>
        <v>82.355555555555043</v>
      </c>
      <c r="J112" s="17">
        <f t="shared" si="29"/>
        <v>85.383333333332871</v>
      </c>
      <c r="K112" s="18">
        <f t="shared" si="29"/>
        <v>71.455555555554255</v>
      </c>
      <c r="L112" s="18">
        <f t="shared" si="29"/>
        <v>76.300000000001802</v>
      </c>
      <c r="M112" s="18">
        <f t="shared" si="29"/>
        <v>79.327777777776262</v>
      </c>
      <c r="N112" s="19">
        <f t="shared" si="29"/>
        <v>55.711111111110789</v>
      </c>
      <c r="O112" s="19">
        <f t="shared" si="29"/>
        <v>60.555555555556992</v>
      </c>
      <c r="P112" s="19">
        <f t="shared" si="29"/>
        <v>63.583333333332526</v>
      </c>
      <c r="Q112" s="20">
        <f t="shared" si="29"/>
        <v>52.683333333334446</v>
      </c>
      <c r="R112" s="20">
        <f t="shared" si="29"/>
        <v>57.527777777779271</v>
      </c>
      <c r="S112" s="20">
        <f t="shared" si="29"/>
        <v>60.555555555556992</v>
      </c>
      <c r="T112" s="21">
        <f t="shared" ref="T112:AI130" si="32">T113-(T$363/360)</f>
        <v>49.655555555557072</v>
      </c>
      <c r="U112" s="21">
        <f t="shared" si="32"/>
        <v>54.5</v>
      </c>
      <c r="V112" s="21">
        <f t="shared" si="32"/>
        <v>57.527777777779271</v>
      </c>
      <c r="W112" s="22">
        <f t="shared" si="32"/>
        <v>46.627777777777936</v>
      </c>
      <c r="X112" s="22">
        <f t="shared" si="32"/>
        <v>51.472222222220829</v>
      </c>
      <c r="Y112" s="22">
        <f t="shared" si="32"/>
        <v>54.5</v>
      </c>
      <c r="Z112" s="23">
        <f t="shared" si="32"/>
        <v>43.599999999998943</v>
      </c>
      <c r="AA112" s="23">
        <f t="shared" si="32"/>
        <v>48.444444444443832</v>
      </c>
      <c r="AB112" s="23">
        <f t="shared" si="32"/>
        <v>51.472222222220829</v>
      </c>
      <c r="AC112" s="24">
        <f t="shared" si="32"/>
        <v>40.57222222222255</v>
      </c>
      <c r="AD112" s="24">
        <f t="shared" si="32"/>
        <v>45.416666666666536</v>
      </c>
      <c r="AE112" s="24">
        <f t="shared" si="27"/>
        <v>48.444444444443832</v>
      </c>
      <c r="AF112" s="25">
        <f t="shared" si="27"/>
        <v>37.544444444443961</v>
      </c>
      <c r="AG112" s="25">
        <f t="shared" si="27"/>
        <v>42.388888888889682</v>
      </c>
      <c r="AH112" s="25">
        <f t="shared" si="27"/>
        <v>45.416666666666536</v>
      </c>
      <c r="AI112" s="26">
        <f t="shared" si="27"/>
        <v>34.51666666666695</v>
      </c>
      <c r="AJ112" s="26">
        <f t="shared" si="27"/>
        <v>39.361111111110318</v>
      </c>
      <c r="AK112" s="26">
        <f t="shared" si="27"/>
        <v>42.388888888889682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84.333333333331566</v>
      </c>
      <c r="F113" s="16">
        <f t="shared" si="33"/>
        <v>89.222222222222342</v>
      </c>
      <c r="G113" s="16">
        <f t="shared" si="33"/>
        <v>92.277777777774915</v>
      </c>
      <c r="H113" s="17">
        <f t="shared" si="33"/>
        <v>78.222222222222854</v>
      </c>
      <c r="I113" s="17">
        <f t="shared" si="33"/>
        <v>83.111111111110603</v>
      </c>
      <c r="J113" s="17">
        <f t="shared" si="33"/>
        <v>86.166666666666202</v>
      </c>
      <c r="K113" s="18">
        <f t="shared" si="33"/>
        <v>72.111111111109807</v>
      </c>
      <c r="L113" s="18">
        <f t="shared" si="33"/>
        <v>77.000000000001805</v>
      </c>
      <c r="M113" s="18">
        <f t="shared" si="33"/>
        <v>80.055555555554037</v>
      </c>
      <c r="N113" s="19">
        <f t="shared" si="33"/>
        <v>56.222222222221902</v>
      </c>
      <c r="O113" s="19">
        <f t="shared" si="33"/>
        <v>61.11111111111255</v>
      </c>
      <c r="P113" s="19">
        <f t="shared" si="33"/>
        <v>64.166666666665861</v>
      </c>
      <c r="Q113" s="20">
        <f t="shared" si="33"/>
        <v>53.16666666666778</v>
      </c>
      <c r="R113" s="20">
        <f t="shared" si="33"/>
        <v>58.055555555557049</v>
      </c>
      <c r="S113" s="20">
        <f t="shared" si="33"/>
        <v>61.11111111111255</v>
      </c>
      <c r="T113" s="21">
        <f t="shared" si="33"/>
        <v>50.111111111112628</v>
      </c>
      <c r="U113" s="21">
        <f t="shared" si="32"/>
        <v>55</v>
      </c>
      <c r="V113" s="21">
        <f t="shared" si="32"/>
        <v>58.055555555557049</v>
      </c>
      <c r="W113" s="22">
        <f t="shared" si="32"/>
        <v>47.055555555555713</v>
      </c>
      <c r="X113" s="22">
        <f t="shared" si="32"/>
        <v>51.94444444444305</v>
      </c>
      <c r="Y113" s="22">
        <f t="shared" si="32"/>
        <v>55</v>
      </c>
      <c r="Z113" s="23">
        <f t="shared" si="32"/>
        <v>43.999999999998941</v>
      </c>
      <c r="AA113" s="23">
        <f t="shared" si="32"/>
        <v>48.888888888888275</v>
      </c>
      <c r="AB113" s="23">
        <f t="shared" si="32"/>
        <v>51.94444444444305</v>
      </c>
      <c r="AC113" s="24">
        <f t="shared" si="32"/>
        <v>40.94444444444477</v>
      </c>
      <c r="AD113" s="24">
        <f t="shared" si="32"/>
        <v>45.833333333333201</v>
      </c>
      <c r="AE113" s="24">
        <f t="shared" si="27"/>
        <v>48.888888888888275</v>
      </c>
      <c r="AF113" s="25">
        <f t="shared" si="27"/>
        <v>37.888888888888403</v>
      </c>
      <c r="AG113" s="25">
        <f t="shared" si="27"/>
        <v>42.777777777778567</v>
      </c>
      <c r="AH113" s="25">
        <f t="shared" si="27"/>
        <v>45.833333333333201</v>
      </c>
      <c r="AI113" s="26">
        <f t="shared" si="27"/>
        <v>34.83333333333362</v>
      </c>
      <c r="AJ113" s="26">
        <f t="shared" si="27"/>
        <v>39.722222222221433</v>
      </c>
      <c r="AK113" s="26">
        <f t="shared" si="27"/>
        <v>42.777777777778567</v>
      </c>
    </row>
    <row r="114" spans="4:37" ht="20.100000000000001" customHeight="1">
      <c r="D114" s="27">
        <f t="shared" si="14"/>
        <v>0.30833333333333274</v>
      </c>
      <c r="E114" s="16">
        <f t="shared" si="33"/>
        <v>85.099999999998232</v>
      </c>
      <c r="F114" s="16">
        <f t="shared" si="33"/>
        <v>90.033333333333459</v>
      </c>
      <c r="G114" s="16">
        <f t="shared" si="33"/>
        <v>93.116666666663804</v>
      </c>
      <c r="H114" s="17">
        <f t="shared" si="33"/>
        <v>78.933333333333962</v>
      </c>
      <c r="I114" s="17">
        <f t="shared" si="33"/>
        <v>83.866666666666163</v>
      </c>
      <c r="J114" s="17">
        <f t="shared" si="33"/>
        <v>86.949999999999534</v>
      </c>
      <c r="K114" s="18">
        <f t="shared" si="33"/>
        <v>72.766666666665358</v>
      </c>
      <c r="L114" s="18">
        <f t="shared" si="33"/>
        <v>77.700000000001808</v>
      </c>
      <c r="M114" s="18">
        <f t="shared" si="33"/>
        <v>80.783333333331811</v>
      </c>
      <c r="N114" s="19">
        <f t="shared" si="33"/>
        <v>56.733333333333015</v>
      </c>
      <c r="O114" s="19">
        <f t="shared" si="33"/>
        <v>61.666666666668107</v>
      </c>
      <c r="P114" s="19">
        <f t="shared" si="33"/>
        <v>64.74999999999919</v>
      </c>
      <c r="Q114" s="20">
        <f t="shared" si="33"/>
        <v>53.650000000001114</v>
      </c>
      <c r="R114" s="20">
        <f t="shared" si="33"/>
        <v>58.583333333334828</v>
      </c>
      <c r="S114" s="20">
        <f t="shared" si="33"/>
        <v>61.666666666668107</v>
      </c>
      <c r="T114" s="21">
        <f t="shared" si="33"/>
        <v>50.566666666668183</v>
      </c>
      <c r="U114" s="21">
        <f t="shared" si="32"/>
        <v>55.5</v>
      </c>
      <c r="V114" s="21">
        <f t="shared" si="32"/>
        <v>58.583333333334828</v>
      </c>
      <c r="W114" s="22">
        <f t="shared" si="32"/>
        <v>47.483333333333491</v>
      </c>
      <c r="X114" s="22">
        <f t="shared" si="32"/>
        <v>52.416666666665272</v>
      </c>
      <c r="Y114" s="22">
        <f t="shared" si="32"/>
        <v>55.5</v>
      </c>
      <c r="Z114" s="23">
        <f t="shared" si="32"/>
        <v>44.39999999999894</v>
      </c>
      <c r="AA114" s="23">
        <f t="shared" si="32"/>
        <v>49.333333333332718</v>
      </c>
      <c r="AB114" s="23">
        <f t="shared" si="32"/>
        <v>52.416666666665272</v>
      </c>
      <c r="AC114" s="24">
        <f t="shared" si="32"/>
        <v>41.31666666666699</v>
      </c>
      <c r="AD114" s="24">
        <f t="shared" si="32"/>
        <v>46.249999999999865</v>
      </c>
      <c r="AE114" s="24">
        <f t="shared" si="27"/>
        <v>49.333333333332718</v>
      </c>
      <c r="AF114" s="25">
        <f t="shared" si="27"/>
        <v>38.233333333332844</v>
      </c>
      <c r="AG114" s="25">
        <f t="shared" si="27"/>
        <v>43.166666666667453</v>
      </c>
      <c r="AH114" s="25">
        <f t="shared" si="27"/>
        <v>46.249999999999865</v>
      </c>
      <c r="AI114" s="26">
        <f t="shared" si="27"/>
        <v>35.15000000000029</v>
      </c>
      <c r="AJ114" s="26">
        <f t="shared" si="27"/>
        <v>40.083333333332547</v>
      </c>
      <c r="AK114" s="26">
        <f t="shared" si="27"/>
        <v>43.166666666667453</v>
      </c>
    </row>
    <row r="115" spans="4:37" ht="20.100000000000001" customHeight="1">
      <c r="D115" s="27">
        <f t="shared" si="14"/>
        <v>0.31111111111111051</v>
      </c>
      <c r="E115" s="16">
        <f t="shared" si="33"/>
        <v>85.866666666664898</v>
      </c>
      <c r="F115" s="16">
        <f t="shared" si="33"/>
        <v>90.844444444444576</v>
      </c>
      <c r="G115" s="16">
        <f t="shared" si="33"/>
        <v>93.955555555552692</v>
      </c>
      <c r="H115" s="17">
        <f t="shared" si="33"/>
        <v>79.644444444445071</v>
      </c>
      <c r="I115" s="17">
        <f t="shared" si="33"/>
        <v>84.622222222221723</v>
      </c>
      <c r="J115" s="17">
        <f t="shared" si="33"/>
        <v>87.733333333332865</v>
      </c>
      <c r="K115" s="18">
        <f t="shared" si="33"/>
        <v>73.42222222222091</v>
      </c>
      <c r="L115" s="18">
        <f t="shared" si="33"/>
        <v>78.40000000000181</v>
      </c>
      <c r="M115" s="18">
        <f t="shared" si="33"/>
        <v>81.511111111109585</v>
      </c>
      <c r="N115" s="19">
        <f t="shared" si="33"/>
        <v>57.244444444444127</v>
      </c>
      <c r="O115" s="19">
        <f t="shared" si="33"/>
        <v>62.222222222223664</v>
      </c>
      <c r="P115" s="19">
        <f t="shared" si="33"/>
        <v>65.333333333332519</v>
      </c>
      <c r="Q115" s="20">
        <f t="shared" si="33"/>
        <v>54.133333333334448</v>
      </c>
      <c r="R115" s="20">
        <f t="shared" si="33"/>
        <v>59.111111111112606</v>
      </c>
      <c r="S115" s="20">
        <f t="shared" si="33"/>
        <v>62.222222222223664</v>
      </c>
      <c r="T115" s="21">
        <f t="shared" si="33"/>
        <v>51.022222222223739</v>
      </c>
      <c r="U115" s="21">
        <f t="shared" si="32"/>
        <v>56</v>
      </c>
      <c r="V115" s="21">
        <f t="shared" si="32"/>
        <v>59.111111111112606</v>
      </c>
      <c r="W115" s="22">
        <f t="shared" si="32"/>
        <v>47.911111111111268</v>
      </c>
      <c r="X115" s="22">
        <f t="shared" si="32"/>
        <v>52.888888888887493</v>
      </c>
      <c r="Y115" s="22">
        <f t="shared" si="32"/>
        <v>56</v>
      </c>
      <c r="Z115" s="23">
        <f t="shared" si="32"/>
        <v>44.799999999998938</v>
      </c>
      <c r="AA115" s="23">
        <f t="shared" si="32"/>
        <v>49.77777777777716</v>
      </c>
      <c r="AB115" s="23">
        <f t="shared" si="32"/>
        <v>52.888888888887493</v>
      </c>
      <c r="AC115" s="24">
        <f t="shared" si="32"/>
        <v>41.68888888888921</v>
      </c>
      <c r="AD115" s="24">
        <f t="shared" si="32"/>
        <v>46.666666666666529</v>
      </c>
      <c r="AE115" s="24">
        <f t="shared" si="27"/>
        <v>49.77777777777716</v>
      </c>
      <c r="AF115" s="25">
        <f t="shared" si="27"/>
        <v>38.577777777777285</v>
      </c>
      <c r="AG115" s="25">
        <f t="shared" si="27"/>
        <v>43.555555555556339</v>
      </c>
      <c r="AH115" s="25">
        <f t="shared" si="27"/>
        <v>46.666666666666529</v>
      </c>
      <c r="AI115" s="26">
        <f t="shared" si="27"/>
        <v>35.46666666666696</v>
      </c>
      <c r="AJ115" s="26">
        <f t="shared" si="27"/>
        <v>40.444444444443661</v>
      </c>
      <c r="AK115" s="26">
        <f t="shared" si="27"/>
        <v>43.555555555556339</v>
      </c>
    </row>
    <row r="116" spans="4:37" ht="20.100000000000001" customHeight="1">
      <c r="D116" s="27">
        <f t="shared" si="14"/>
        <v>0.31388888888888827</v>
      </c>
      <c r="E116" s="16">
        <f t="shared" si="33"/>
        <v>86.633333333331564</v>
      </c>
      <c r="F116" s="16">
        <f t="shared" si="33"/>
        <v>91.655555555555694</v>
      </c>
      <c r="G116" s="16">
        <f t="shared" si="33"/>
        <v>94.794444444441581</v>
      </c>
      <c r="H116" s="17">
        <f t="shared" si="33"/>
        <v>80.35555555555618</v>
      </c>
      <c r="I116" s="17">
        <f t="shared" si="33"/>
        <v>85.377777777777283</v>
      </c>
      <c r="J116" s="17">
        <f t="shared" si="33"/>
        <v>88.516666666666197</v>
      </c>
      <c r="K116" s="18">
        <f t="shared" si="33"/>
        <v>74.077777777776461</v>
      </c>
      <c r="L116" s="18">
        <f t="shared" si="33"/>
        <v>79.100000000001813</v>
      </c>
      <c r="M116" s="18">
        <f t="shared" si="33"/>
        <v>82.238888888887359</v>
      </c>
      <c r="N116" s="19">
        <f t="shared" si="33"/>
        <v>57.75555555555524</v>
      </c>
      <c r="O116" s="19">
        <f t="shared" si="33"/>
        <v>62.777777777779221</v>
      </c>
      <c r="P116" s="19">
        <f t="shared" si="33"/>
        <v>65.916666666665847</v>
      </c>
      <c r="Q116" s="20">
        <f t="shared" si="33"/>
        <v>54.616666666667783</v>
      </c>
      <c r="R116" s="20">
        <f t="shared" si="33"/>
        <v>59.638888888890385</v>
      </c>
      <c r="S116" s="20">
        <f t="shared" si="33"/>
        <v>62.777777777779221</v>
      </c>
      <c r="T116" s="21">
        <f t="shared" si="33"/>
        <v>51.477777777779295</v>
      </c>
      <c r="U116" s="21">
        <f t="shared" si="32"/>
        <v>56.5</v>
      </c>
      <c r="V116" s="21">
        <f t="shared" si="32"/>
        <v>59.638888888890385</v>
      </c>
      <c r="W116" s="22">
        <f t="shared" si="32"/>
        <v>48.338888888889045</v>
      </c>
      <c r="X116" s="22">
        <f t="shared" si="32"/>
        <v>53.361111111109714</v>
      </c>
      <c r="Y116" s="22">
        <f t="shared" si="32"/>
        <v>56.5</v>
      </c>
      <c r="Z116" s="23">
        <f t="shared" si="32"/>
        <v>45.199999999998937</v>
      </c>
      <c r="AA116" s="23">
        <f t="shared" si="32"/>
        <v>50.222222222221603</v>
      </c>
      <c r="AB116" s="23">
        <f t="shared" si="32"/>
        <v>53.361111111109714</v>
      </c>
      <c r="AC116" s="24">
        <f t="shared" si="32"/>
        <v>42.06111111111143</v>
      </c>
      <c r="AD116" s="24">
        <f t="shared" si="32"/>
        <v>47.083333333333194</v>
      </c>
      <c r="AE116" s="24">
        <f t="shared" si="27"/>
        <v>50.222222222221603</v>
      </c>
      <c r="AF116" s="25">
        <f t="shared" si="27"/>
        <v>38.922222222221727</v>
      </c>
      <c r="AG116" s="25">
        <f t="shared" si="27"/>
        <v>43.944444444445224</v>
      </c>
      <c r="AH116" s="25">
        <f t="shared" si="27"/>
        <v>47.083333333333194</v>
      </c>
      <c r="AI116" s="26">
        <f t="shared" si="27"/>
        <v>35.78333333333363</v>
      </c>
      <c r="AJ116" s="26">
        <f t="shared" si="27"/>
        <v>40.805555555554776</v>
      </c>
      <c r="AK116" s="26">
        <f t="shared" si="27"/>
        <v>43.944444444445224</v>
      </c>
    </row>
    <row r="117" spans="4:37" ht="20.100000000000001" customHeight="1">
      <c r="D117" s="27">
        <f t="shared" si="14"/>
        <v>0.31666666666666604</v>
      </c>
      <c r="E117" s="16">
        <f t="shared" si="33"/>
        <v>87.399999999998229</v>
      </c>
      <c r="F117" s="16">
        <f t="shared" si="33"/>
        <v>92.466666666666811</v>
      </c>
      <c r="G117" s="16">
        <f t="shared" si="33"/>
        <v>95.633333333330469</v>
      </c>
      <c r="H117" s="17">
        <f t="shared" si="33"/>
        <v>81.066666666667288</v>
      </c>
      <c r="I117" s="17">
        <f t="shared" si="33"/>
        <v>86.133333333332843</v>
      </c>
      <c r="J117" s="17">
        <f t="shared" si="33"/>
        <v>89.299999999999528</v>
      </c>
      <c r="K117" s="18">
        <f t="shared" si="33"/>
        <v>74.733333333332013</v>
      </c>
      <c r="L117" s="18">
        <f t="shared" si="33"/>
        <v>79.800000000001816</v>
      </c>
      <c r="M117" s="18">
        <f t="shared" si="33"/>
        <v>82.966666666665134</v>
      </c>
      <c r="N117" s="19">
        <f t="shared" si="33"/>
        <v>58.266666666666353</v>
      </c>
      <c r="O117" s="19">
        <f t="shared" si="33"/>
        <v>63.333333333334778</v>
      </c>
      <c r="P117" s="19">
        <f t="shared" si="33"/>
        <v>66.499999999999176</v>
      </c>
      <c r="Q117" s="20">
        <f t="shared" si="33"/>
        <v>55.100000000001117</v>
      </c>
      <c r="R117" s="20">
        <f t="shared" si="33"/>
        <v>60.166666666668164</v>
      </c>
      <c r="S117" s="20">
        <f t="shared" si="33"/>
        <v>63.333333333334778</v>
      </c>
      <c r="T117" s="21">
        <f t="shared" si="33"/>
        <v>51.933333333334851</v>
      </c>
      <c r="U117" s="21">
        <f t="shared" si="32"/>
        <v>57</v>
      </c>
      <c r="V117" s="21">
        <f t="shared" si="32"/>
        <v>60.166666666668164</v>
      </c>
      <c r="W117" s="22">
        <f t="shared" si="32"/>
        <v>48.766666666666822</v>
      </c>
      <c r="X117" s="22">
        <f t="shared" si="32"/>
        <v>53.833333333331936</v>
      </c>
      <c r="Y117" s="22">
        <f t="shared" si="32"/>
        <v>57</v>
      </c>
      <c r="Z117" s="23">
        <f t="shared" si="32"/>
        <v>45.599999999998936</v>
      </c>
      <c r="AA117" s="23">
        <f t="shared" si="32"/>
        <v>50.666666666666046</v>
      </c>
      <c r="AB117" s="23">
        <f t="shared" si="32"/>
        <v>53.833333333331936</v>
      </c>
      <c r="AC117" s="24">
        <f t="shared" si="32"/>
        <v>42.43333333333365</v>
      </c>
      <c r="AD117" s="24">
        <f t="shared" si="32"/>
        <v>47.499999999999858</v>
      </c>
      <c r="AE117" s="24">
        <f t="shared" si="32"/>
        <v>50.666666666666046</v>
      </c>
      <c r="AF117" s="25">
        <f t="shared" si="32"/>
        <v>39.266666666666168</v>
      </c>
      <c r="AG117" s="25">
        <f t="shared" si="32"/>
        <v>44.33333333333411</v>
      </c>
      <c r="AH117" s="25">
        <f t="shared" si="32"/>
        <v>47.499999999999858</v>
      </c>
      <c r="AI117" s="26">
        <f t="shared" si="32"/>
        <v>36.1000000000003</v>
      </c>
      <c r="AJ117" s="26">
        <f t="shared" si="27"/>
        <v>41.16666666666589</v>
      </c>
      <c r="AK117" s="26">
        <f t="shared" si="27"/>
        <v>44.33333333333411</v>
      </c>
    </row>
    <row r="118" spans="4:37" ht="20.100000000000001" customHeight="1">
      <c r="D118" s="27">
        <f t="shared" si="14"/>
        <v>0.31944444444444381</v>
      </c>
      <c r="E118" s="16">
        <f t="shared" si="33"/>
        <v>88.166666666664895</v>
      </c>
      <c r="F118" s="16">
        <f t="shared" si="33"/>
        <v>93.277777777777928</v>
      </c>
      <c r="G118" s="16">
        <f t="shared" si="33"/>
        <v>96.472222222219358</v>
      </c>
      <c r="H118" s="17">
        <f t="shared" si="33"/>
        <v>81.777777777778397</v>
      </c>
      <c r="I118" s="17">
        <f t="shared" si="33"/>
        <v>86.888888888888403</v>
      </c>
      <c r="J118" s="17">
        <f t="shared" si="33"/>
        <v>90.08333333333286</v>
      </c>
      <c r="K118" s="18">
        <f t="shared" si="33"/>
        <v>75.388888888887564</v>
      </c>
      <c r="L118" s="18">
        <f t="shared" si="33"/>
        <v>80.500000000001819</v>
      </c>
      <c r="M118" s="18">
        <f t="shared" si="33"/>
        <v>83.694444444442908</v>
      </c>
      <c r="N118" s="19">
        <f t="shared" si="33"/>
        <v>58.777777777777466</v>
      </c>
      <c r="O118" s="19">
        <f t="shared" si="33"/>
        <v>63.888888888890335</v>
      </c>
      <c r="P118" s="19">
        <f t="shared" si="33"/>
        <v>67.083333333332504</v>
      </c>
      <c r="Q118" s="20">
        <f t="shared" si="33"/>
        <v>55.583333333334451</v>
      </c>
      <c r="R118" s="20">
        <f t="shared" si="33"/>
        <v>60.694444444445942</v>
      </c>
      <c r="S118" s="20">
        <f t="shared" si="33"/>
        <v>63.888888888890335</v>
      </c>
      <c r="T118" s="21">
        <f t="shared" si="33"/>
        <v>52.388888888890406</v>
      </c>
      <c r="U118" s="21">
        <f t="shared" si="32"/>
        <v>57.5</v>
      </c>
      <c r="V118" s="21">
        <f t="shared" si="32"/>
        <v>60.694444444445942</v>
      </c>
      <c r="W118" s="22">
        <f t="shared" si="32"/>
        <v>49.194444444444599</v>
      </c>
      <c r="X118" s="22">
        <f t="shared" si="32"/>
        <v>54.305555555554157</v>
      </c>
      <c r="Y118" s="22">
        <f t="shared" si="32"/>
        <v>57.5</v>
      </c>
      <c r="Z118" s="23">
        <f t="shared" si="32"/>
        <v>45.999999999998934</v>
      </c>
      <c r="AA118" s="23">
        <f t="shared" si="32"/>
        <v>51.111111111110489</v>
      </c>
      <c r="AB118" s="23">
        <f t="shared" si="32"/>
        <v>54.305555555554157</v>
      </c>
      <c r="AC118" s="24">
        <f t="shared" si="32"/>
        <v>42.80555555555587</v>
      </c>
      <c r="AD118" s="24">
        <f t="shared" si="32"/>
        <v>47.916666666666522</v>
      </c>
      <c r="AE118" s="24">
        <f t="shared" si="32"/>
        <v>51.111111111110489</v>
      </c>
      <c r="AF118" s="25">
        <f t="shared" si="32"/>
        <v>39.61111111111061</v>
      </c>
      <c r="AG118" s="25">
        <f t="shared" si="32"/>
        <v>44.722222222222996</v>
      </c>
      <c r="AH118" s="25">
        <f t="shared" si="32"/>
        <v>47.916666666666522</v>
      </c>
      <c r="AI118" s="26">
        <f t="shared" si="32"/>
        <v>36.41666666666697</v>
      </c>
      <c r="AJ118" s="26">
        <f t="shared" ref="AJ118:AK145" si="34">AJ119-(AJ$363/360)</f>
        <v>41.527777777777004</v>
      </c>
      <c r="AK118" s="26">
        <f t="shared" si="34"/>
        <v>44.722222222222996</v>
      </c>
    </row>
    <row r="119" spans="4:37" ht="20.100000000000001" customHeight="1">
      <c r="D119" s="27">
        <f t="shared" si="14"/>
        <v>0.32222222222222158</v>
      </c>
      <c r="E119" s="16">
        <f t="shared" si="33"/>
        <v>88.933333333331561</v>
      </c>
      <c r="F119" s="16">
        <f t="shared" si="33"/>
        <v>94.088888888889045</v>
      </c>
      <c r="G119" s="16">
        <f t="shared" si="33"/>
        <v>97.311111111108247</v>
      </c>
      <c r="H119" s="17">
        <f t="shared" si="33"/>
        <v>82.488888888889505</v>
      </c>
      <c r="I119" s="17">
        <f t="shared" si="33"/>
        <v>87.644444444443963</v>
      </c>
      <c r="J119" s="17">
        <f t="shared" si="33"/>
        <v>90.866666666666191</v>
      </c>
      <c r="K119" s="18">
        <f t="shared" si="33"/>
        <v>76.044444444443116</v>
      </c>
      <c r="L119" s="18">
        <f t="shared" si="33"/>
        <v>81.200000000001822</v>
      </c>
      <c r="M119" s="18">
        <f t="shared" si="33"/>
        <v>84.422222222220682</v>
      </c>
      <c r="N119" s="19">
        <f t="shared" si="33"/>
        <v>59.288888888888579</v>
      </c>
      <c r="O119" s="19">
        <f t="shared" si="33"/>
        <v>64.444444444445892</v>
      </c>
      <c r="P119" s="19">
        <f t="shared" si="33"/>
        <v>67.666666666665833</v>
      </c>
      <c r="Q119" s="20">
        <f t="shared" si="33"/>
        <v>56.066666666667786</v>
      </c>
      <c r="R119" s="20">
        <f t="shared" si="33"/>
        <v>61.222222222223721</v>
      </c>
      <c r="S119" s="20">
        <f t="shared" si="33"/>
        <v>64.444444444445892</v>
      </c>
      <c r="T119" s="21">
        <f t="shared" si="33"/>
        <v>52.844444444445962</v>
      </c>
      <c r="U119" s="21">
        <f t="shared" si="32"/>
        <v>58</v>
      </c>
      <c r="V119" s="21">
        <f t="shared" si="32"/>
        <v>61.222222222223721</v>
      </c>
      <c r="W119" s="22">
        <f t="shared" si="32"/>
        <v>49.622222222222376</v>
      </c>
      <c r="X119" s="22">
        <f t="shared" si="32"/>
        <v>54.777777777776379</v>
      </c>
      <c r="Y119" s="22">
        <f t="shared" si="32"/>
        <v>58</v>
      </c>
      <c r="Z119" s="23">
        <f t="shared" si="32"/>
        <v>46.399999999998933</v>
      </c>
      <c r="AA119" s="23">
        <f t="shared" si="32"/>
        <v>51.555555555554932</v>
      </c>
      <c r="AB119" s="23">
        <f t="shared" si="32"/>
        <v>54.777777777776379</v>
      </c>
      <c r="AC119" s="24">
        <f t="shared" si="32"/>
        <v>43.17777777777809</v>
      </c>
      <c r="AD119" s="24">
        <f t="shared" si="32"/>
        <v>48.333333333333186</v>
      </c>
      <c r="AE119" s="24">
        <f t="shared" si="32"/>
        <v>51.555555555554932</v>
      </c>
      <c r="AF119" s="25">
        <f t="shared" si="32"/>
        <v>39.955555555555051</v>
      </c>
      <c r="AG119" s="25">
        <f t="shared" si="32"/>
        <v>45.111111111111882</v>
      </c>
      <c r="AH119" s="25">
        <f t="shared" si="32"/>
        <v>48.333333333333186</v>
      </c>
      <c r="AI119" s="26">
        <f t="shared" si="32"/>
        <v>36.73333333333364</v>
      </c>
      <c r="AJ119" s="26">
        <f t="shared" si="34"/>
        <v>41.888888888888118</v>
      </c>
      <c r="AK119" s="26">
        <f t="shared" si="34"/>
        <v>45.111111111111882</v>
      </c>
    </row>
    <row r="120" spans="4:37" ht="20.100000000000001" customHeight="1">
      <c r="D120" s="27">
        <f t="shared" si="14"/>
        <v>0.32499999999999934</v>
      </c>
      <c r="E120" s="16">
        <f t="shared" si="33"/>
        <v>89.699999999998226</v>
      </c>
      <c r="F120" s="16">
        <f t="shared" si="33"/>
        <v>94.900000000000162</v>
      </c>
      <c r="G120" s="16">
        <f t="shared" si="33"/>
        <v>98.149999999997135</v>
      </c>
      <c r="H120" s="17">
        <f t="shared" si="33"/>
        <v>83.200000000000614</v>
      </c>
      <c r="I120" s="17">
        <f t="shared" si="33"/>
        <v>88.399999999999523</v>
      </c>
      <c r="J120" s="17">
        <f t="shared" si="33"/>
        <v>91.649999999999523</v>
      </c>
      <c r="K120" s="18">
        <f t="shared" si="33"/>
        <v>76.699999999998667</v>
      </c>
      <c r="L120" s="18">
        <f t="shared" si="33"/>
        <v>81.900000000001825</v>
      </c>
      <c r="M120" s="18">
        <f t="shared" si="33"/>
        <v>85.149999999998457</v>
      </c>
      <c r="N120" s="19">
        <f t="shared" si="33"/>
        <v>59.799999999999692</v>
      </c>
      <c r="O120" s="19">
        <f t="shared" si="33"/>
        <v>65.00000000000145</v>
      </c>
      <c r="P120" s="19">
        <f t="shared" si="33"/>
        <v>68.249999999999162</v>
      </c>
      <c r="Q120" s="20">
        <f t="shared" si="33"/>
        <v>56.55000000000112</v>
      </c>
      <c r="R120" s="20">
        <f t="shared" si="33"/>
        <v>61.750000000001499</v>
      </c>
      <c r="S120" s="20">
        <f t="shared" si="33"/>
        <v>65.00000000000145</v>
      </c>
      <c r="T120" s="21">
        <f t="shared" si="33"/>
        <v>53.300000000001518</v>
      </c>
      <c r="U120" s="21">
        <f t="shared" si="32"/>
        <v>58.5</v>
      </c>
      <c r="V120" s="21">
        <f t="shared" si="32"/>
        <v>61.750000000001499</v>
      </c>
      <c r="W120" s="22">
        <f t="shared" si="32"/>
        <v>50.050000000000153</v>
      </c>
      <c r="X120" s="22">
        <f t="shared" si="32"/>
        <v>55.2499999999986</v>
      </c>
      <c r="Y120" s="22">
        <f t="shared" si="32"/>
        <v>58.5</v>
      </c>
      <c r="Z120" s="23">
        <f t="shared" si="32"/>
        <v>46.799999999998931</v>
      </c>
      <c r="AA120" s="23">
        <f t="shared" si="32"/>
        <v>51.999999999999375</v>
      </c>
      <c r="AB120" s="23">
        <f t="shared" si="32"/>
        <v>55.2499999999986</v>
      </c>
      <c r="AC120" s="24">
        <f t="shared" si="32"/>
        <v>43.55000000000031</v>
      </c>
      <c r="AD120" s="24">
        <f t="shared" si="32"/>
        <v>48.749999999999851</v>
      </c>
      <c r="AE120" s="24">
        <f t="shared" si="32"/>
        <v>51.999999999999375</v>
      </c>
      <c r="AF120" s="25">
        <f t="shared" si="32"/>
        <v>40.299999999999493</v>
      </c>
      <c r="AG120" s="25">
        <f t="shared" si="32"/>
        <v>45.500000000000767</v>
      </c>
      <c r="AH120" s="25">
        <f t="shared" si="32"/>
        <v>48.749999999999851</v>
      </c>
      <c r="AI120" s="26">
        <f t="shared" si="32"/>
        <v>37.05000000000031</v>
      </c>
      <c r="AJ120" s="26">
        <f t="shared" si="34"/>
        <v>42.249999999999233</v>
      </c>
      <c r="AK120" s="26">
        <f t="shared" si="34"/>
        <v>45.500000000000767</v>
      </c>
    </row>
    <row r="121" spans="4:37" ht="20.100000000000001" customHeight="1">
      <c r="D121" s="27">
        <f t="shared" si="14"/>
        <v>0.32777777777777711</v>
      </c>
      <c r="E121" s="16">
        <f t="shared" si="33"/>
        <v>90.466666666664892</v>
      </c>
      <c r="F121" s="16">
        <f t="shared" si="33"/>
        <v>95.711111111111279</v>
      </c>
      <c r="G121" s="16">
        <f t="shared" si="33"/>
        <v>98.988888888886024</v>
      </c>
      <c r="H121" s="17">
        <f t="shared" si="33"/>
        <v>83.911111111111722</v>
      </c>
      <c r="I121" s="17">
        <f t="shared" si="33"/>
        <v>89.155555555555082</v>
      </c>
      <c r="J121" s="17">
        <f t="shared" si="33"/>
        <v>92.433333333332854</v>
      </c>
      <c r="K121" s="18">
        <f t="shared" si="33"/>
        <v>77.355555555554218</v>
      </c>
      <c r="L121" s="18">
        <f t="shared" si="33"/>
        <v>82.600000000001828</v>
      </c>
      <c r="M121" s="18">
        <f t="shared" si="33"/>
        <v>85.877777777776231</v>
      </c>
      <c r="N121" s="19">
        <f t="shared" si="33"/>
        <v>60.311111111110804</v>
      </c>
      <c r="O121" s="19">
        <f t="shared" si="33"/>
        <v>65.555555555557007</v>
      </c>
      <c r="P121" s="19">
        <f t="shared" si="33"/>
        <v>68.83333333333249</v>
      </c>
      <c r="Q121" s="20">
        <f t="shared" si="33"/>
        <v>57.033333333334454</v>
      </c>
      <c r="R121" s="20">
        <f t="shared" si="33"/>
        <v>62.277777777779278</v>
      </c>
      <c r="S121" s="20">
        <f t="shared" si="33"/>
        <v>65.555555555557007</v>
      </c>
      <c r="T121" s="21">
        <f t="shared" si="33"/>
        <v>53.755555555557073</v>
      </c>
      <c r="U121" s="21">
        <f t="shared" si="32"/>
        <v>59</v>
      </c>
      <c r="V121" s="21">
        <f t="shared" si="32"/>
        <v>62.277777777779278</v>
      </c>
      <c r="W121" s="22">
        <f t="shared" si="32"/>
        <v>50.477777777777931</v>
      </c>
      <c r="X121" s="22">
        <f t="shared" si="32"/>
        <v>55.722222222220822</v>
      </c>
      <c r="Y121" s="22">
        <f t="shared" si="32"/>
        <v>59</v>
      </c>
      <c r="Z121" s="23">
        <f t="shared" si="32"/>
        <v>47.19999999999893</v>
      </c>
      <c r="AA121" s="23">
        <f t="shared" si="32"/>
        <v>52.444444444443818</v>
      </c>
      <c r="AB121" s="23">
        <f t="shared" si="32"/>
        <v>55.722222222220822</v>
      </c>
      <c r="AC121" s="24">
        <f t="shared" si="32"/>
        <v>43.92222222222253</v>
      </c>
      <c r="AD121" s="24">
        <f t="shared" si="32"/>
        <v>49.166666666666515</v>
      </c>
      <c r="AE121" s="24">
        <f t="shared" si="32"/>
        <v>52.444444444443818</v>
      </c>
      <c r="AF121" s="25">
        <f t="shared" si="32"/>
        <v>40.644444444443934</v>
      </c>
      <c r="AG121" s="25">
        <f t="shared" si="32"/>
        <v>45.888888888889653</v>
      </c>
      <c r="AH121" s="25">
        <f t="shared" si="32"/>
        <v>49.166666666666515</v>
      </c>
      <c r="AI121" s="26">
        <f t="shared" si="32"/>
        <v>37.36666666666698</v>
      </c>
      <c r="AJ121" s="26">
        <f t="shared" si="34"/>
        <v>42.611111111110347</v>
      </c>
      <c r="AK121" s="26">
        <f t="shared" si="34"/>
        <v>45.888888888889653</v>
      </c>
    </row>
    <row r="122" spans="4:37" ht="20.100000000000001" customHeight="1">
      <c r="D122" s="27">
        <f t="shared" si="14"/>
        <v>0.33055555555555488</v>
      </c>
      <c r="E122" s="16">
        <f t="shared" si="33"/>
        <v>91.233333333331558</v>
      </c>
      <c r="F122" s="16">
        <f t="shared" si="33"/>
        <v>96.522222222222396</v>
      </c>
      <c r="G122" s="16">
        <f t="shared" si="33"/>
        <v>99.827777777774912</v>
      </c>
      <c r="H122" s="17">
        <f t="shared" si="33"/>
        <v>84.622222222222831</v>
      </c>
      <c r="I122" s="17">
        <f t="shared" si="33"/>
        <v>89.911111111110642</v>
      </c>
      <c r="J122" s="17">
        <f t="shared" si="33"/>
        <v>93.216666666666185</v>
      </c>
      <c r="K122" s="18">
        <f t="shared" si="33"/>
        <v>78.01111111110977</v>
      </c>
      <c r="L122" s="18">
        <f t="shared" si="33"/>
        <v>83.30000000000183</v>
      </c>
      <c r="M122" s="18">
        <f t="shared" si="33"/>
        <v>86.605555555554005</v>
      </c>
      <c r="N122" s="19">
        <f t="shared" si="33"/>
        <v>60.822222222221917</v>
      </c>
      <c r="O122" s="19">
        <f t="shared" si="33"/>
        <v>66.111111111112564</v>
      </c>
      <c r="P122" s="19">
        <f t="shared" si="33"/>
        <v>69.416666666665819</v>
      </c>
      <c r="Q122" s="20">
        <f t="shared" si="33"/>
        <v>57.516666666667788</v>
      </c>
      <c r="R122" s="20">
        <f t="shared" si="33"/>
        <v>62.805555555557056</v>
      </c>
      <c r="S122" s="20">
        <f t="shared" si="33"/>
        <v>66.111111111112564</v>
      </c>
      <c r="T122" s="21">
        <f t="shared" si="33"/>
        <v>54.211111111112629</v>
      </c>
      <c r="U122" s="21">
        <f t="shared" si="32"/>
        <v>59.5</v>
      </c>
      <c r="V122" s="21">
        <f t="shared" si="32"/>
        <v>62.805555555557056</v>
      </c>
      <c r="W122" s="22">
        <f t="shared" si="32"/>
        <v>50.905555555555708</v>
      </c>
      <c r="X122" s="22">
        <f t="shared" si="32"/>
        <v>56.194444444443043</v>
      </c>
      <c r="Y122" s="22">
        <f t="shared" si="32"/>
        <v>59.5</v>
      </c>
      <c r="Z122" s="23">
        <f t="shared" si="32"/>
        <v>47.599999999998929</v>
      </c>
      <c r="AA122" s="23">
        <f t="shared" si="32"/>
        <v>52.88888888888826</v>
      </c>
      <c r="AB122" s="23">
        <f t="shared" si="32"/>
        <v>56.194444444443043</v>
      </c>
      <c r="AC122" s="24">
        <f t="shared" si="32"/>
        <v>44.29444444444475</v>
      </c>
      <c r="AD122" s="24">
        <f t="shared" si="32"/>
        <v>49.583333333333179</v>
      </c>
      <c r="AE122" s="24">
        <f t="shared" si="32"/>
        <v>52.88888888888826</v>
      </c>
      <c r="AF122" s="25">
        <f t="shared" si="32"/>
        <v>40.988888888888376</v>
      </c>
      <c r="AG122" s="25">
        <f t="shared" si="32"/>
        <v>46.277777777778539</v>
      </c>
      <c r="AH122" s="25">
        <f t="shared" si="32"/>
        <v>49.583333333333179</v>
      </c>
      <c r="AI122" s="26">
        <f t="shared" si="32"/>
        <v>37.68333333333365</v>
      </c>
      <c r="AJ122" s="26">
        <f t="shared" si="34"/>
        <v>42.972222222221461</v>
      </c>
      <c r="AK122" s="26">
        <f t="shared" si="34"/>
        <v>46.277777777778539</v>
      </c>
    </row>
    <row r="123" spans="4:37" ht="20.100000000000001" customHeight="1">
      <c r="D123" s="27">
        <f t="shared" si="14"/>
        <v>0.33333333333333265</v>
      </c>
      <c r="E123" s="16">
        <f t="shared" si="33"/>
        <v>91.999999999998224</v>
      </c>
      <c r="F123" s="16">
        <f t="shared" si="33"/>
        <v>97.333333333333513</v>
      </c>
      <c r="G123" s="16">
        <f t="shared" si="33"/>
        <v>100.6666666666638</v>
      </c>
      <c r="H123" s="17">
        <f t="shared" si="33"/>
        <v>85.33333333333394</v>
      </c>
      <c r="I123" s="17">
        <f t="shared" si="33"/>
        <v>90.666666666666202</v>
      </c>
      <c r="J123" s="17">
        <f t="shared" si="33"/>
        <v>93.999999999999517</v>
      </c>
      <c r="K123" s="18">
        <f t="shared" si="33"/>
        <v>78.666666666665321</v>
      </c>
      <c r="L123" s="18">
        <f t="shared" si="33"/>
        <v>84.000000000001833</v>
      </c>
      <c r="M123" s="18">
        <f t="shared" si="33"/>
        <v>87.33333333333178</v>
      </c>
      <c r="N123" s="19">
        <f t="shared" si="33"/>
        <v>61.33333333333303</v>
      </c>
      <c r="O123" s="19">
        <f t="shared" si="33"/>
        <v>66.666666666668121</v>
      </c>
      <c r="P123" s="19">
        <f t="shared" si="33"/>
        <v>69.999999999999147</v>
      </c>
      <c r="Q123" s="20">
        <f t="shared" si="33"/>
        <v>58.000000000001123</v>
      </c>
      <c r="R123" s="20">
        <f t="shared" si="33"/>
        <v>63.333333333334835</v>
      </c>
      <c r="S123" s="20">
        <f t="shared" si="33"/>
        <v>66.666666666668121</v>
      </c>
      <c r="T123" s="21">
        <f t="shared" si="33"/>
        <v>54.666666666668185</v>
      </c>
      <c r="U123" s="21">
        <f t="shared" si="32"/>
        <v>60</v>
      </c>
      <c r="V123" s="21">
        <f t="shared" si="32"/>
        <v>63.333333333334835</v>
      </c>
      <c r="W123" s="22">
        <f t="shared" si="32"/>
        <v>51.333333333333485</v>
      </c>
      <c r="X123" s="22">
        <f t="shared" si="32"/>
        <v>56.666666666665265</v>
      </c>
      <c r="Y123" s="22">
        <f t="shared" si="32"/>
        <v>60</v>
      </c>
      <c r="Z123" s="23">
        <f t="shared" si="32"/>
        <v>47.999999999998927</v>
      </c>
      <c r="AA123" s="23">
        <f t="shared" si="32"/>
        <v>53.333333333332703</v>
      </c>
      <c r="AB123" s="23">
        <f t="shared" si="32"/>
        <v>56.666666666665265</v>
      </c>
      <c r="AC123" s="24">
        <f t="shared" si="32"/>
        <v>44.66666666666697</v>
      </c>
      <c r="AD123" s="24">
        <f t="shared" si="32"/>
        <v>49.999999999999844</v>
      </c>
      <c r="AE123" s="24">
        <f t="shared" si="32"/>
        <v>53.333333333332703</v>
      </c>
      <c r="AF123" s="25">
        <f t="shared" si="32"/>
        <v>41.333333333332817</v>
      </c>
      <c r="AG123" s="25">
        <f t="shared" si="32"/>
        <v>46.666666666667425</v>
      </c>
      <c r="AH123" s="25">
        <f t="shared" si="32"/>
        <v>49.999999999999844</v>
      </c>
      <c r="AI123" s="26">
        <f t="shared" si="32"/>
        <v>38.00000000000032</v>
      </c>
      <c r="AJ123" s="26">
        <f t="shared" si="34"/>
        <v>43.333333333332575</v>
      </c>
      <c r="AK123" s="26">
        <f t="shared" si="34"/>
        <v>46.666666666667425</v>
      </c>
    </row>
    <row r="124" spans="4:37" ht="20.100000000000001" customHeight="1">
      <c r="D124" s="27">
        <f t="shared" si="14"/>
        <v>0.33611111111111042</v>
      </c>
      <c r="E124" s="16">
        <f t="shared" si="33"/>
        <v>92.766666666664889</v>
      </c>
      <c r="F124" s="16">
        <f t="shared" si="33"/>
        <v>98.14444444444463</v>
      </c>
      <c r="G124" s="16">
        <f t="shared" si="33"/>
        <v>101.50555555555269</v>
      </c>
      <c r="H124" s="17">
        <f t="shared" si="33"/>
        <v>86.044444444445048</v>
      </c>
      <c r="I124" s="17">
        <f t="shared" si="33"/>
        <v>91.422222222221762</v>
      </c>
      <c r="J124" s="17">
        <f t="shared" si="33"/>
        <v>94.783333333332848</v>
      </c>
      <c r="K124" s="18">
        <f t="shared" si="33"/>
        <v>79.322222222220873</v>
      </c>
      <c r="L124" s="18">
        <f t="shared" si="33"/>
        <v>84.700000000001836</v>
      </c>
      <c r="M124" s="18">
        <f t="shared" si="33"/>
        <v>88.061111111109554</v>
      </c>
      <c r="N124" s="19">
        <f t="shared" si="33"/>
        <v>61.844444444444143</v>
      </c>
      <c r="O124" s="19">
        <f t="shared" si="33"/>
        <v>67.222222222223678</v>
      </c>
      <c r="P124" s="19">
        <f t="shared" si="33"/>
        <v>70.583333333332476</v>
      </c>
      <c r="Q124" s="20">
        <f t="shared" si="33"/>
        <v>58.483333333334457</v>
      </c>
      <c r="R124" s="20">
        <f t="shared" si="33"/>
        <v>63.861111111112614</v>
      </c>
      <c r="S124" s="20">
        <f t="shared" si="33"/>
        <v>67.222222222223678</v>
      </c>
      <c r="T124" s="21">
        <f t="shared" si="33"/>
        <v>55.122222222223741</v>
      </c>
      <c r="U124" s="21">
        <f t="shared" si="32"/>
        <v>60.5</v>
      </c>
      <c r="V124" s="21">
        <f t="shared" si="32"/>
        <v>63.861111111112614</v>
      </c>
      <c r="W124" s="22">
        <f t="shared" si="32"/>
        <v>51.761111111111262</v>
      </c>
      <c r="X124" s="22">
        <f t="shared" si="32"/>
        <v>57.138888888887486</v>
      </c>
      <c r="Y124" s="22">
        <f t="shared" si="32"/>
        <v>60.5</v>
      </c>
      <c r="Z124" s="23">
        <f t="shared" si="32"/>
        <v>48.399999999998926</v>
      </c>
      <c r="AA124" s="23">
        <f t="shared" si="32"/>
        <v>53.777777777777146</v>
      </c>
      <c r="AB124" s="23">
        <f t="shared" si="32"/>
        <v>57.138888888887486</v>
      </c>
      <c r="AC124" s="24">
        <f t="shared" si="32"/>
        <v>45.03888888888919</v>
      </c>
      <c r="AD124" s="24">
        <f t="shared" si="32"/>
        <v>50.416666666666508</v>
      </c>
      <c r="AE124" s="24">
        <f t="shared" si="32"/>
        <v>53.777777777777146</v>
      </c>
      <c r="AF124" s="25">
        <f t="shared" si="32"/>
        <v>41.677777777777258</v>
      </c>
      <c r="AG124" s="25">
        <f t="shared" si="32"/>
        <v>47.05555555555631</v>
      </c>
      <c r="AH124" s="25">
        <f t="shared" si="32"/>
        <v>50.416666666666508</v>
      </c>
      <c r="AI124" s="26">
        <f t="shared" si="32"/>
        <v>38.31666666666699</v>
      </c>
      <c r="AJ124" s="26">
        <f t="shared" si="34"/>
        <v>43.69444444444369</v>
      </c>
      <c r="AK124" s="26">
        <f t="shared" si="34"/>
        <v>47.05555555555631</v>
      </c>
    </row>
    <row r="125" spans="4:37" ht="20.100000000000001" customHeight="1">
      <c r="D125" s="27">
        <f t="shared" si="14"/>
        <v>0.33888888888888818</v>
      </c>
      <c r="E125" s="16">
        <f t="shared" si="33"/>
        <v>93.533333333331555</v>
      </c>
      <c r="F125" s="16">
        <f t="shared" si="33"/>
        <v>98.955555555555748</v>
      </c>
      <c r="G125" s="16">
        <f t="shared" si="33"/>
        <v>102.34444444444158</v>
      </c>
      <c r="H125" s="17">
        <f t="shared" si="33"/>
        <v>86.755555555556157</v>
      </c>
      <c r="I125" s="17">
        <f t="shared" si="33"/>
        <v>92.177777777777322</v>
      </c>
      <c r="J125" s="17">
        <f t="shared" si="33"/>
        <v>95.56666666666618</v>
      </c>
      <c r="K125" s="18">
        <f t="shared" si="33"/>
        <v>79.977777777776424</v>
      </c>
      <c r="L125" s="18">
        <f t="shared" si="33"/>
        <v>85.400000000001839</v>
      </c>
      <c r="M125" s="18">
        <f t="shared" si="33"/>
        <v>88.788888888887328</v>
      </c>
      <c r="N125" s="19">
        <f t="shared" si="33"/>
        <v>62.355555555555256</v>
      </c>
      <c r="O125" s="19">
        <f t="shared" si="33"/>
        <v>67.777777777779235</v>
      </c>
      <c r="P125" s="19">
        <f t="shared" si="33"/>
        <v>71.166666666665805</v>
      </c>
      <c r="Q125" s="20">
        <f t="shared" si="33"/>
        <v>58.966666666667791</v>
      </c>
      <c r="R125" s="20">
        <f t="shared" si="33"/>
        <v>64.388888888890392</v>
      </c>
      <c r="S125" s="20">
        <f t="shared" si="33"/>
        <v>67.777777777779235</v>
      </c>
      <c r="T125" s="21">
        <f t="shared" si="33"/>
        <v>55.577777777779296</v>
      </c>
      <c r="U125" s="21">
        <f t="shared" si="32"/>
        <v>61</v>
      </c>
      <c r="V125" s="21">
        <f t="shared" si="32"/>
        <v>64.388888888890392</v>
      </c>
      <c r="W125" s="22">
        <f t="shared" si="32"/>
        <v>52.188888888889039</v>
      </c>
      <c r="X125" s="22">
        <f t="shared" si="32"/>
        <v>57.611111111109707</v>
      </c>
      <c r="Y125" s="22">
        <f t="shared" si="32"/>
        <v>61</v>
      </c>
      <c r="Z125" s="23">
        <f t="shared" si="32"/>
        <v>48.799999999998924</v>
      </c>
      <c r="AA125" s="23">
        <f t="shared" si="32"/>
        <v>54.222222222221589</v>
      </c>
      <c r="AB125" s="23">
        <f t="shared" si="32"/>
        <v>57.611111111109707</v>
      </c>
      <c r="AC125" s="24">
        <f t="shared" si="32"/>
        <v>45.41111111111141</v>
      </c>
      <c r="AD125" s="24">
        <f t="shared" si="32"/>
        <v>50.833333333333172</v>
      </c>
      <c r="AE125" s="24">
        <f t="shared" si="32"/>
        <v>54.222222222221589</v>
      </c>
      <c r="AF125" s="25">
        <f t="shared" si="32"/>
        <v>42.0222222222217</v>
      </c>
      <c r="AG125" s="25">
        <f t="shared" si="32"/>
        <v>47.444444444445196</v>
      </c>
      <c r="AH125" s="25">
        <f t="shared" si="32"/>
        <v>50.833333333333172</v>
      </c>
      <c r="AI125" s="26">
        <f t="shared" si="32"/>
        <v>38.63333333333366</v>
      </c>
      <c r="AJ125" s="26">
        <f t="shared" si="34"/>
        <v>44.055555555554804</v>
      </c>
      <c r="AK125" s="26">
        <f t="shared" si="34"/>
        <v>47.444444444445196</v>
      </c>
    </row>
    <row r="126" spans="4:37" ht="20.100000000000001" customHeight="1">
      <c r="D126" s="27">
        <f t="shared" si="14"/>
        <v>0.34166666666666595</v>
      </c>
      <c r="E126" s="16">
        <f t="shared" si="33"/>
        <v>94.299999999998221</v>
      </c>
      <c r="F126" s="16">
        <f t="shared" si="33"/>
        <v>99.766666666666865</v>
      </c>
      <c r="G126" s="16">
        <f t="shared" si="33"/>
        <v>103.18333333333047</v>
      </c>
      <c r="H126" s="17">
        <f t="shared" si="33"/>
        <v>87.466666666667265</v>
      </c>
      <c r="I126" s="17">
        <f t="shared" si="33"/>
        <v>92.933333333332882</v>
      </c>
      <c r="J126" s="17">
        <f t="shared" si="33"/>
        <v>96.349999999999511</v>
      </c>
      <c r="K126" s="18">
        <f t="shared" si="33"/>
        <v>80.633333333331976</v>
      </c>
      <c r="L126" s="18">
        <f t="shared" si="33"/>
        <v>86.100000000001842</v>
      </c>
      <c r="M126" s="18">
        <f t="shared" si="33"/>
        <v>89.516666666665103</v>
      </c>
      <c r="N126" s="19">
        <f t="shared" si="33"/>
        <v>62.866666666666369</v>
      </c>
      <c r="O126" s="19">
        <f t="shared" si="33"/>
        <v>68.333333333334792</v>
      </c>
      <c r="P126" s="19">
        <f t="shared" si="33"/>
        <v>71.749999999999133</v>
      </c>
      <c r="Q126" s="20">
        <f t="shared" si="33"/>
        <v>59.450000000001125</v>
      </c>
      <c r="R126" s="20">
        <f t="shared" si="33"/>
        <v>64.916666666668164</v>
      </c>
      <c r="S126" s="20">
        <f t="shared" si="33"/>
        <v>68.333333333334792</v>
      </c>
      <c r="T126" s="21">
        <f t="shared" si="33"/>
        <v>56.033333333334852</v>
      </c>
      <c r="U126" s="21">
        <f t="shared" si="32"/>
        <v>61.5</v>
      </c>
      <c r="V126" s="21">
        <f t="shared" si="32"/>
        <v>64.916666666668164</v>
      </c>
      <c r="W126" s="22">
        <f t="shared" si="32"/>
        <v>52.616666666666816</v>
      </c>
      <c r="X126" s="22">
        <f t="shared" si="32"/>
        <v>58.083333333331929</v>
      </c>
      <c r="Y126" s="22">
        <f t="shared" si="32"/>
        <v>61.5</v>
      </c>
      <c r="Z126" s="23">
        <f t="shared" si="32"/>
        <v>49.199999999998923</v>
      </c>
      <c r="AA126" s="23">
        <f t="shared" si="32"/>
        <v>54.666666666666032</v>
      </c>
      <c r="AB126" s="23">
        <f t="shared" si="32"/>
        <v>58.083333333331929</v>
      </c>
      <c r="AC126" s="24">
        <f t="shared" si="32"/>
        <v>45.78333333333363</v>
      </c>
      <c r="AD126" s="24">
        <f t="shared" si="32"/>
        <v>51.249999999999837</v>
      </c>
      <c r="AE126" s="24">
        <f t="shared" si="32"/>
        <v>54.666666666666032</v>
      </c>
      <c r="AF126" s="25">
        <f t="shared" si="32"/>
        <v>42.366666666666141</v>
      </c>
      <c r="AG126" s="25">
        <f t="shared" si="32"/>
        <v>47.833333333334082</v>
      </c>
      <c r="AH126" s="25">
        <f t="shared" si="32"/>
        <v>51.249999999999837</v>
      </c>
      <c r="AI126" s="26">
        <f t="shared" si="32"/>
        <v>38.95000000000033</v>
      </c>
      <c r="AJ126" s="26">
        <f t="shared" si="34"/>
        <v>44.416666666665918</v>
      </c>
      <c r="AK126" s="26">
        <f t="shared" si="34"/>
        <v>47.833333333334082</v>
      </c>
    </row>
    <row r="127" spans="4:37" ht="20.100000000000001" customHeight="1">
      <c r="D127" s="27">
        <f t="shared" si="14"/>
        <v>0.34444444444444372</v>
      </c>
      <c r="E127" s="16">
        <f t="shared" si="33"/>
        <v>95.066666666664887</v>
      </c>
      <c r="F127" s="16">
        <f t="shared" si="33"/>
        <v>100.57777777777798</v>
      </c>
      <c r="G127" s="16">
        <f t="shared" si="33"/>
        <v>104.02222222221936</v>
      </c>
      <c r="H127" s="17">
        <f t="shared" si="33"/>
        <v>88.177777777778374</v>
      </c>
      <c r="I127" s="17">
        <f t="shared" si="33"/>
        <v>93.688888888888442</v>
      </c>
      <c r="J127" s="17">
        <f t="shared" si="33"/>
        <v>97.133333333332843</v>
      </c>
      <c r="K127" s="18">
        <f t="shared" si="33"/>
        <v>81.288888888887527</v>
      </c>
      <c r="L127" s="18">
        <f t="shared" si="33"/>
        <v>86.800000000001845</v>
      </c>
      <c r="M127" s="18">
        <f t="shared" si="33"/>
        <v>90.244444444442877</v>
      </c>
      <c r="N127" s="19">
        <f t="shared" si="33"/>
        <v>63.377777777777482</v>
      </c>
      <c r="O127" s="19">
        <f t="shared" si="33"/>
        <v>68.888888888890349</v>
      </c>
      <c r="P127" s="19">
        <f t="shared" si="33"/>
        <v>72.333333333332462</v>
      </c>
      <c r="Q127" s="20">
        <f t="shared" si="33"/>
        <v>59.93333333333446</v>
      </c>
      <c r="R127" s="20">
        <f t="shared" si="33"/>
        <v>65.444444444445935</v>
      </c>
      <c r="S127" s="20">
        <f t="shared" si="33"/>
        <v>68.888888888890349</v>
      </c>
      <c r="T127" s="21">
        <f t="shared" si="33"/>
        <v>56.488888888890408</v>
      </c>
      <c r="U127" s="21">
        <f t="shared" si="32"/>
        <v>62</v>
      </c>
      <c r="V127" s="21">
        <f t="shared" si="32"/>
        <v>65.444444444445935</v>
      </c>
      <c r="W127" s="22">
        <f t="shared" si="32"/>
        <v>53.044444444444594</v>
      </c>
      <c r="X127" s="22">
        <f t="shared" si="32"/>
        <v>58.55555555555415</v>
      </c>
      <c r="Y127" s="22">
        <f t="shared" si="32"/>
        <v>62</v>
      </c>
      <c r="Z127" s="23">
        <f t="shared" si="32"/>
        <v>49.599999999998921</v>
      </c>
      <c r="AA127" s="23">
        <f t="shared" si="32"/>
        <v>55.111111111110475</v>
      </c>
      <c r="AB127" s="23">
        <f t="shared" si="32"/>
        <v>58.55555555555415</v>
      </c>
      <c r="AC127" s="24">
        <f t="shared" si="32"/>
        <v>46.15555555555585</v>
      </c>
      <c r="AD127" s="24">
        <f t="shared" si="32"/>
        <v>51.666666666666501</v>
      </c>
      <c r="AE127" s="24">
        <f t="shared" si="32"/>
        <v>55.111111111110475</v>
      </c>
      <c r="AF127" s="25">
        <f t="shared" si="32"/>
        <v>42.711111111110583</v>
      </c>
      <c r="AG127" s="25">
        <f t="shared" si="32"/>
        <v>48.222222222222968</v>
      </c>
      <c r="AH127" s="25">
        <f t="shared" si="32"/>
        <v>51.666666666666501</v>
      </c>
      <c r="AI127" s="26">
        <f t="shared" si="32"/>
        <v>39.266666666667</v>
      </c>
      <c r="AJ127" s="26">
        <f t="shared" si="34"/>
        <v>44.777777777777032</v>
      </c>
      <c r="AK127" s="26">
        <f t="shared" si="34"/>
        <v>48.222222222222968</v>
      </c>
    </row>
    <row r="128" spans="4:37" ht="20.100000000000001" customHeight="1">
      <c r="D128" s="27">
        <f t="shared" si="14"/>
        <v>0.34722222222222149</v>
      </c>
      <c r="E128" s="16">
        <f t="shared" si="33"/>
        <v>95.833333333331552</v>
      </c>
      <c r="F128" s="16">
        <f t="shared" si="33"/>
        <v>101.3888888888891</v>
      </c>
      <c r="G128" s="16">
        <f t="shared" si="33"/>
        <v>104.86111111110824</v>
      </c>
      <c r="H128" s="17">
        <f t="shared" si="33"/>
        <v>88.888888888889483</v>
      </c>
      <c r="I128" s="17">
        <f t="shared" si="33"/>
        <v>94.444444444444002</v>
      </c>
      <c r="J128" s="17">
        <f t="shared" si="33"/>
        <v>97.916666666666174</v>
      </c>
      <c r="K128" s="18">
        <f t="shared" si="33"/>
        <v>81.944444444443079</v>
      </c>
      <c r="L128" s="18">
        <f t="shared" si="33"/>
        <v>87.500000000001847</v>
      </c>
      <c r="M128" s="18">
        <f t="shared" si="33"/>
        <v>90.972222222220651</v>
      </c>
      <c r="N128" s="19">
        <f t="shared" si="33"/>
        <v>63.888888888888594</v>
      </c>
      <c r="O128" s="19">
        <f t="shared" si="33"/>
        <v>69.444444444445907</v>
      </c>
      <c r="P128" s="19">
        <f t="shared" si="33"/>
        <v>72.91666666666579</v>
      </c>
      <c r="Q128" s="20">
        <f t="shared" si="33"/>
        <v>60.416666666667794</v>
      </c>
      <c r="R128" s="20">
        <f t="shared" si="33"/>
        <v>65.972222222223706</v>
      </c>
      <c r="S128" s="20">
        <f t="shared" si="33"/>
        <v>69.444444444445907</v>
      </c>
      <c r="T128" s="21">
        <f>T129-(T$363/360)</f>
        <v>56.944444444445963</v>
      </c>
      <c r="U128" s="21">
        <f t="shared" si="32"/>
        <v>62.5</v>
      </c>
      <c r="V128" s="21">
        <f t="shared" si="32"/>
        <v>65.972222222223706</v>
      </c>
      <c r="W128" s="22">
        <f t="shared" si="32"/>
        <v>53.472222222222371</v>
      </c>
      <c r="X128" s="22">
        <f t="shared" si="32"/>
        <v>59.027777777776372</v>
      </c>
      <c r="Y128" s="22">
        <f t="shared" si="32"/>
        <v>62.5</v>
      </c>
      <c r="Z128" s="23">
        <f t="shared" si="32"/>
        <v>49.99999999999892</v>
      </c>
      <c r="AA128" s="23">
        <f t="shared" si="32"/>
        <v>55.555555555554918</v>
      </c>
      <c r="AB128" s="23">
        <f t="shared" si="32"/>
        <v>59.027777777776372</v>
      </c>
      <c r="AC128" s="24">
        <f t="shared" si="32"/>
        <v>46.52777777777807</v>
      </c>
      <c r="AD128" s="24">
        <f t="shared" si="32"/>
        <v>52.083333333333165</v>
      </c>
      <c r="AE128" s="24">
        <f t="shared" si="32"/>
        <v>55.555555555554918</v>
      </c>
      <c r="AF128" s="25">
        <f t="shared" si="32"/>
        <v>43.055555555555024</v>
      </c>
      <c r="AG128" s="25">
        <f t="shared" si="32"/>
        <v>48.611111111111853</v>
      </c>
      <c r="AH128" s="25">
        <f t="shared" si="32"/>
        <v>52.083333333333165</v>
      </c>
      <c r="AI128" s="26">
        <f t="shared" si="32"/>
        <v>39.58333333333367</v>
      </c>
      <c r="AJ128" s="26">
        <f t="shared" si="34"/>
        <v>45.138888888888147</v>
      </c>
      <c r="AK128" s="26">
        <f t="shared" si="34"/>
        <v>48.611111111111853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96.599999999998218</v>
      </c>
      <c r="F129" s="16">
        <f t="shared" si="35"/>
        <v>102.20000000000022</v>
      </c>
      <c r="G129" s="16">
        <f t="shared" si="35"/>
        <v>105.69999999999713</v>
      </c>
      <c r="H129" s="17">
        <f t="shared" si="35"/>
        <v>89.600000000000591</v>
      </c>
      <c r="I129" s="17">
        <f t="shared" si="35"/>
        <v>95.199999999999562</v>
      </c>
      <c r="J129" s="17">
        <f t="shared" si="35"/>
        <v>98.699999999999505</v>
      </c>
      <c r="K129" s="18">
        <f t="shared" si="35"/>
        <v>82.59999999999863</v>
      </c>
      <c r="L129" s="18">
        <f t="shared" si="35"/>
        <v>88.20000000000185</v>
      </c>
      <c r="M129" s="18">
        <f t="shared" si="35"/>
        <v>91.699999999998425</v>
      </c>
      <c r="N129" s="19">
        <f t="shared" si="35"/>
        <v>64.399999999999707</v>
      </c>
      <c r="O129" s="19">
        <f t="shared" si="35"/>
        <v>70.000000000001464</v>
      </c>
      <c r="P129" s="19">
        <f t="shared" si="35"/>
        <v>73.499999999999119</v>
      </c>
      <c r="Q129" s="20">
        <f t="shared" si="35"/>
        <v>60.900000000001128</v>
      </c>
      <c r="R129" s="20">
        <f t="shared" si="35"/>
        <v>66.500000000001478</v>
      </c>
      <c r="S129" s="20">
        <f t="shared" si="35"/>
        <v>70.000000000001464</v>
      </c>
      <c r="T129" s="21">
        <f t="shared" si="35"/>
        <v>57.400000000001519</v>
      </c>
      <c r="U129" s="21">
        <f t="shared" si="32"/>
        <v>63</v>
      </c>
      <c r="V129" s="21">
        <f t="shared" si="32"/>
        <v>66.500000000001478</v>
      </c>
      <c r="W129" s="22">
        <f t="shared" si="32"/>
        <v>53.900000000000148</v>
      </c>
      <c r="X129" s="22">
        <f t="shared" si="32"/>
        <v>59.499999999998593</v>
      </c>
      <c r="Y129" s="22">
        <f t="shared" si="32"/>
        <v>63</v>
      </c>
      <c r="Z129" s="23">
        <f t="shared" si="32"/>
        <v>50.399999999998919</v>
      </c>
      <c r="AA129" s="23">
        <f t="shared" si="32"/>
        <v>55.999999999999361</v>
      </c>
      <c r="AB129" s="23">
        <f t="shared" si="32"/>
        <v>59.499999999998593</v>
      </c>
      <c r="AC129" s="24">
        <f t="shared" si="32"/>
        <v>46.90000000000029</v>
      </c>
      <c r="AD129" s="24">
        <f t="shared" si="32"/>
        <v>52.499999999999829</v>
      </c>
      <c r="AE129" s="24">
        <f t="shared" si="32"/>
        <v>55.999999999999361</v>
      </c>
      <c r="AF129" s="25">
        <f t="shared" si="32"/>
        <v>43.399999999999466</v>
      </c>
      <c r="AG129" s="25">
        <f t="shared" si="32"/>
        <v>49.000000000000739</v>
      </c>
      <c r="AH129" s="25">
        <f t="shared" si="32"/>
        <v>52.499999999999829</v>
      </c>
      <c r="AI129" s="26">
        <f t="shared" si="32"/>
        <v>39.90000000000034</v>
      </c>
      <c r="AJ129" s="26">
        <f t="shared" si="34"/>
        <v>45.499999999999261</v>
      </c>
      <c r="AK129" s="26">
        <f t="shared" si="34"/>
        <v>49.000000000000739</v>
      </c>
    </row>
    <row r="130" spans="4:37" ht="20.100000000000001" customHeight="1">
      <c r="D130" s="27">
        <f t="shared" si="14"/>
        <v>0.35277777777777702</v>
      </c>
      <c r="E130" s="16">
        <f t="shared" si="35"/>
        <v>97.366666666664884</v>
      </c>
      <c r="F130" s="16">
        <f t="shared" si="35"/>
        <v>103.01111111111133</v>
      </c>
      <c r="G130" s="16">
        <f t="shared" si="35"/>
        <v>106.53888888888602</v>
      </c>
      <c r="H130" s="17">
        <f t="shared" si="35"/>
        <v>90.3111111111117</v>
      </c>
      <c r="I130" s="17">
        <f t="shared" si="35"/>
        <v>95.955555555555122</v>
      </c>
      <c r="J130" s="17">
        <f t="shared" si="35"/>
        <v>99.483333333332837</v>
      </c>
      <c r="K130" s="18">
        <f t="shared" si="35"/>
        <v>83.255555555554182</v>
      </c>
      <c r="L130" s="18">
        <f t="shared" si="35"/>
        <v>88.900000000001853</v>
      </c>
      <c r="M130" s="18">
        <f t="shared" si="35"/>
        <v>92.4277777777762</v>
      </c>
      <c r="N130" s="19">
        <f t="shared" si="35"/>
        <v>64.911111111110813</v>
      </c>
      <c r="O130" s="19">
        <f t="shared" si="35"/>
        <v>70.555555555557021</v>
      </c>
      <c r="P130" s="19">
        <f t="shared" si="35"/>
        <v>74.083333333332448</v>
      </c>
      <c r="Q130" s="20">
        <f t="shared" si="35"/>
        <v>61.383333333334463</v>
      </c>
      <c r="R130" s="20">
        <f t="shared" si="35"/>
        <v>67.027777777779249</v>
      </c>
      <c r="S130" s="20">
        <f t="shared" si="35"/>
        <v>70.555555555557021</v>
      </c>
      <c r="T130" s="21">
        <f t="shared" si="35"/>
        <v>57.855555555557075</v>
      </c>
      <c r="U130" s="21">
        <f t="shared" si="32"/>
        <v>63.5</v>
      </c>
      <c r="V130" s="21">
        <f t="shared" si="32"/>
        <v>67.027777777779249</v>
      </c>
      <c r="W130" s="22">
        <f t="shared" si="32"/>
        <v>54.327777777777925</v>
      </c>
      <c r="X130" s="22">
        <f t="shared" si="32"/>
        <v>59.972222222220815</v>
      </c>
      <c r="Y130" s="22">
        <f t="shared" si="32"/>
        <v>63.5</v>
      </c>
      <c r="Z130" s="23">
        <f t="shared" si="32"/>
        <v>50.799999999998917</v>
      </c>
      <c r="AA130" s="23">
        <f t="shared" si="32"/>
        <v>56.444444444443803</v>
      </c>
      <c r="AB130" s="23">
        <f t="shared" si="32"/>
        <v>59.972222222220815</v>
      </c>
      <c r="AC130" s="24">
        <f t="shared" si="32"/>
        <v>47.27222222222251</v>
      </c>
      <c r="AD130" s="24">
        <f t="shared" ref="AD130:AI130" si="36">AD131-(AD$363/360)</f>
        <v>52.916666666666494</v>
      </c>
      <c r="AE130" s="24">
        <f t="shared" si="36"/>
        <v>56.444444444443803</v>
      </c>
      <c r="AF130" s="25">
        <f t="shared" si="36"/>
        <v>43.744444444443907</v>
      </c>
      <c r="AG130" s="25">
        <f t="shared" si="36"/>
        <v>49.388888888889625</v>
      </c>
      <c r="AH130" s="25">
        <f t="shared" si="36"/>
        <v>52.916666666666494</v>
      </c>
      <c r="AI130" s="26">
        <f t="shared" si="36"/>
        <v>40.21666666666701</v>
      </c>
      <c r="AJ130" s="26">
        <f t="shared" si="34"/>
        <v>45.861111111110375</v>
      </c>
      <c r="AK130" s="26">
        <f t="shared" si="34"/>
        <v>49.388888888889625</v>
      </c>
    </row>
    <row r="131" spans="4:37" ht="20.100000000000001" customHeight="1">
      <c r="D131" s="27">
        <f t="shared" si="14"/>
        <v>0.35555555555555479</v>
      </c>
      <c r="E131" s="16">
        <f t="shared" si="35"/>
        <v>98.133333333331549</v>
      </c>
      <c r="F131" s="16">
        <f t="shared" si="35"/>
        <v>103.82222222222245</v>
      </c>
      <c r="G131" s="16">
        <f t="shared" si="35"/>
        <v>107.37777777777491</v>
      </c>
      <c r="H131" s="17">
        <f t="shared" si="35"/>
        <v>91.022222222222808</v>
      </c>
      <c r="I131" s="17">
        <f t="shared" si="35"/>
        <v>96.711111111110682</v>
      </c>
      <c r="J131" s="17">
        <f t="shared" si="35"/>
        <v>100.26666666666617</v>
      </c>
      <c r="K131" s="18">
        <f t="shared" si="35"/>
        <v>83.911111111109733</v>
      </c>
      <c r="L131" s="18">
        <f t="shared" si="35"/>
        <v>89.600000000001856</v>
      </c>
      <c r="M131" s="18">
        <f t="shared" si="35"/>
        <v>93.155555555553974</v>
      </c>
      <c r="N131" s="19">
        <f t="shared" si="35"/>
        <v>65.422222222221919</v>
      </c>
      <c r="O131" s="19">
        <f t="shared" si="35"/>
        <v>71.111111111112578</v>
      </c>
      <c r="P131" s="19">
        <f t="shared" si="35"/>
        <v>74.666666666665776</v>
      </c>
      <c r="Q131" s="20">
        <f t="shared" si="35"/>
        <v>61.866666666667797</v>
      </c>
      <c r="R131" s="20">
        <f t="shared" si="35"/>
        <v>67.555555555557021</v>
      </c>
      <c r="S131" s="20">
        <f t="shared" si="35"/>
        <v>71.111111111112578</v>
      </c>
      <c r="T131" s="21">
        <f t="shared" si="35"/>
        <v>58.311111111112631</v>
      </c>
      <c r="U131" s="21">
        <f t="shared" ref="U131:AJ146" si="37">U132-(U$363/360)</f>
        <v>64</v>
      </c>
      <c r="V131" s="21">
        <f t="shared" si="37"/>
        <v>67.555555555557021</v>
      </c>
      <c r="W131" s="22">
        <f t="shared" si="37"/>
        <v>54.755555555555702</v>
      </c>
      <c r="X131" s="22">
        <f t="shared" si="37"/>
        <v>60.444444444443036</v>
      </c>
      <c r="Y131" s="22">
        <f t="shared" si="37"/>
        <v>64</v>
      </c>
      <c r="Z131" s="23">
        <f t="shared" si="37"/>
        <v>51.199999999998916</v>
      </c>
      <c r="AA131" s="23">
        <f t="shared" si="37"/>
        <v>56.888888888888246</v>
      </c>
      <c r="AB131" s="23">
        <f t="shared" si="37"/>
        <v>60.444444444443036</v>
      </c>
      <c r="AC131" s="24">
        <f t="shared" si="37"/>
        <v>47.64444444444473</v>
      </c>
      <c r="AD131" s="24">
        <f t="shared" si="37"/>
        <v>53.333333333333158</v>
      </c>
      <c r="AE131" s="24">
        <f t="shared" si="37"/>
        <v>56.888888888888246</v>
      </c>
      <c r="AF131" s="25">
        <f t="shared" si="37"/>
        <v>44.088888888888349</v>
      </c>
      <c r="AG131" s="25">
        <f t="shared" si="37"/>
        <v>49.77777777777851</v>
      </c>
      <c r="AH131" s="25">
        <f t="shared" si="37"/>
        <v>53.333333333333158</v>
      </c>
      <c r="AI131" s="26">
        <f t="shared" si="37"/>
        <v>40.53333333333368</v>
      </c>
      <c r="AJ131" s="26">
        <f t="shared" si="37"/>
        <v>46.22222222222149</v>
      </c>
      <c r="AK131" s="26">
        <f t="shared" si="34"/>
        <v>49.77777777777851</v>
      </c>
    </row>
    <row r="132" spans="4:37" ht="20.100000000000001" customHeight="1">
      <c r="D132" s="27">
        <f t="shared" si="14"/>
        <v>0.35833333333333256</v>
      </c>
      <c r="E132" s="16">
        <f t="shared" si="35"/>
        <v>98.899999999998215</v>
      </c>
      <c r="F132" s="16">
        <f t="shared" si="35"/>
        <v>104.63333333333357</v>
      </c>
      <c r="G132" s="16">
        <f t="shared" si="35"/>
        <v>108.2166666666638</v>
      </c>
      <c r="H132" s="17">
        <f t="shared" si="35"/>
        <v>91.733333333333917</v>
      </c>
      <c r="I132" s="17">
        <f t="shared" si="35"/>
        <v>97.466666666666242</v>
      </c>
      <c r="J132" s="17">
        <f t="shared" si="35"/>
        <v>101.0499999999995</v>
      </c>
      <c r="K132" s="18">
        <f t="shared" si="35"/>
        <v>84.566666666665284</v>
      </c>
      <c r="L132" s="18">
        <f t="shared" si="35"/>
        <v>90.300000000001859</v>
      </c>
      <c r="M132" s="18">
        <f t="shared" si="35"/>
        <v>93.883333333331748</v>
      </c>
      <c r="N132" s="19">
        <f t="shared" si="35"/>
        <v>65.933333333333024</v>
      </c>
      <c r="O132" s="19">
        <f t="shared" si="35"/>
        <v>71.666666666668135</v>
      </c>
      <c r="P132" s="19">
        <f t="shared" si="35"/>
        <v>75.249999999999105</v>
      </c>
      <c r="Q132" s="20">
        <f t="shared" si="35"/>
        <v>62.350000000001131</v>
      </c>
      <c r="R132" s="20">
        <f t="shared" si="35"/>
        <v>68.083333333334792</v>
      </c>
      <c r="S132" s="20">
        <f t="shared" si="35"/>
        <v>71.666666666668135</v>
      </c>
      <c r="T132" s="21">
        <f t="shared" si="35"/>
        <v>58.766666666668186</v>
      </c>
      <c r="U132" s="21">
        <f t="shared" si="37"/>
        <v>64.5</v>
      </c>
      <c r="V132" s="21">
        <f t="shared" si="37"/>
        <v>68.083333333334792</v>
      </c>
      <c r="W132" s="22">
        <f t="shared" si="37"/>
        <v>55.183333333333479</v>
      </c>
      <c r="X132" s="22">
        <f t="shared" si="37"/>
        <v>60.916666666665257</v>
      </c>
      <c r="Y132" s="22">
        <f t="shared" si="37"/>
        <v>64.5</v>
      </c>
      <c r="Z132" s="23">
        <f t="shared" si="37"/>
        <v>51.599999999998914</v>
      </c>
      <c r="AA132" s="23">
        <f t="shared" si="37"/>
        <v>57.333333333332689</v>
      </c>
      <c r="AB132" s="23">
        <f t="shared" si="37"/>
        <v>60.916666666665257</v>
      </c>
      <c r="AC132" s="24">
        <f t="shared" si="37"/>
        <v>48.01666666666695</v>
      </c>
      <c r="AD132" s="24">
        <f t="shared" si="37"/>
        <v>53.749999999999822</v>
      </c>
      <c r="AE132" s="24">
        <f t="shared" si="37"/>
        <v>57.333333333332689</v>
      </c>
      <c r="AF132" s="25">
        <f t="shared" si="37"/>
        <v>44.43333333333279</v>
      </c>
      <c r="AG132" s="25">
        <f t="shared" si="37"/>
        <v>50.166666666667396</v>
      </c>
      <c r="AH132" s="25">
        <f t="shared" si="37"/>
        <v>53.749999999999822</v>
      </c>
      <c r="AI132" s="26">
        <f t="shared" si="37"/>
        <v>40.85000000000035</v>
      </c>
      <c r="AJ132" s="26">
        <f t="shared" si="37"/>
        <v>46.583333333332604</v>
      </c>
      <c r="AK132" s="26">
        <f t="shared" si="34"/>
        <v>50.166666666667396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99.666666666664881</v>
      </c>
      <c r="F133" s="16">
        <f t="shared" si="35"/>
        <v>105.44444444444468</v>
      </c>
      <c r="G133" s="16">
        <f t="shared" si="35"/>
        <v>109.05555555555269</v>
      </c>
      <c r="H133" s="17">
        <f t="shared" si="35"/>
        <v>92.444444444445026</v>
      </c>
      <c r="I133" s="17">
        <f t="shared" si="35"/>
        <v>98.222222222221802</v>
      </c>
      <c r="J133" s="17">
        <f t="shared" si="35"/>
        <v>101.83333333333283</v>
      </c>
      <c r="K133" s="18">
        <f t="shared" si="35"/>
        <v>85.222222222220836</v>
      </c>
      <c r="L133" s="18">
        <f t="shared" si="35"/>
        <v>91.000000000001862</v>
      </c>
      <c r="M133" s="18">
        <f t="shared" si="35"/>
        <v>94.611111111109523</v>
      </c>
      <c r="N133" s="19">
        <f t="shared" si="35"/>
        <v>66.44444444444413</v>
      </c>
      <c r="O133" s="19">
        <f t="shared" si="35"/>
        <v>72.222222222223692</v>
      </c>
      <c r="P133" s="19">
        <f t="shared" si="35"/>
        <v>75.833333333332433</v>
      </c>
      <c r="Q133" s="20">
        <f t="shared" si="35"/>
        <v>62.833333333334465</v>
      </c>
      <c r="R133" s="20">
        <f t="shared" si="35"/>
        <v>68.611111111112564</v>
      </c>
      <c r="S133" s="20">
        <f t="shared" si="35"/>
        <v>72.222222222223692</v>
      </c>
      <c r="T133" s="21">
        <f t="shared" si="35"/>
        <v>59.222222222223742</v>
      </c>
      <c r="U133" s="21">
        <f t="shared" si="37"/>
        <v>65</v>
      </c>
      <c r="V133" s="21">
        <f t="shared" si="37"/>
        <v>68.611111111112564</v>
      </c>
      <c r="W133" s="22">
        <f t="shared" si="37"/>
        <v>55.611111111111256</v>
      </c>
      <c r="X133" s="22">
        <f t="shared" si="37"/>
        <v>61.388888888887479</v>
      </c>
      <c r="Y133" s="22">
        <f t="shared" si="37"/>
        <v>65</v>
      </c>
      <c r="Z133" s="23">
        <f t="shared" si="37"/>
        <v>51.999999999998913</v>
      </c>
      <c r="AA133" s="23">
        <f t="shared" si="37"/>
        <v>57.777777777777132</v>
      </c>
      <c r="AB133" s="23">
        <f t="shared" si="37"/>
        <v>61.388888888887479</v>
      </c>
      <c r="AC133" s="24">
        <f t="shared" si="37"/>
        <v>48.38888888888917</v>
      </c>
      <c r="AD133" s="24">
        <f t="shared" si="37"/>
        <v>54.166666666666487</v>
      </c>
      <c r="AE133" s="24">
        <f t="shared" si="37"/>
        <v>57.777777777777132</v>
      </c>
      <c r="AF133" s="25">
        <f t="shared" si="37"/>
        <v>44.777777777777231</v>
      </c>
      <c r="AG133" s="25">
        <f t="shared" si="37"/>
        <v>50.555555555556282</v>
      </c>
      <c r="AH133" s="25">
        <f t="shared" si="37"/>
        <v>54.166666666666487</v>
      </c>
      <c r="AI133" s="26">
        <f t="shared" si="37"/>
        <v>41.16666666666702</v>
      </c>
      <c r="AJ133" s="26">
        <f t="shared" si="37"/>
        <v>46.944444444443718</v>
      </c>
      <c r="AK133" s="26">
        <f t="shared" si="34"/>
        <v>50.555555555556282</v>
      </c>
    </row>
    <row r="134" spans="4:37" ht="20.100000000000001" customHeight="1">
      <c r="D134" s="27">
        <f t="shared" si="38"/>
        <v>0.3638888888888881</v>
      </c>
      <c r="E134" s="16">
        <f t="shared" si="35"/>
        <v>100.43333333333155</v>
      </c>
      <c r="F134" s="16">
        <f t="shared" si="35"/>
        <v>106.2555555555558</v>
      </c>
      <c r="G134" s="16">
        <f t="shared" si="35"/>
        <v>109.89444444444158</v>
      </c>
      <c r="H134" s="17">
        <f t="shared" si="35"/>
        <v>93.155555555556134</v>
      </c>
      <c r="I134" s="17">
        <f t="shared" si="35"/>
        <v>98.977777777777362</v>
      </c>
      <c r="J134" s="17">
        <f t="shared" si="35"/>
        <v>102.61666666666616</v>
      </c>
      <c r="K134" s="18">
        <f t="shared" si="35"/>
        <v>85.877777777776387</v>
      </c>
      <c r="L134" s="18">
        <f t="shared" si="35"/>
        <v>91.700000000001864</v>
      </c>
      <c r="M134" s="18">
        <f t="shared" si="35"/>
        <v>95.338888888887297</v>
      </c>
      <c r="N134" s="19">
        <f t="shared" si="35"/>
        <v>66.955555555555236</v>
      </c>
      <c r="O134" s="19">
        <f t="shared" si="35"/>
        <v>72.777777777779249</v>
      </c>
      <c r="P134" s="19">
        <f t="shared" si="35"/>
        <v>76.416666666665762</v>
      </c>
      <c r="Q134" s="20">
        <f t="shared" si="35"/>
        <v>63.3166666666678</v>
      </c>
      <c r="R134" s="20">
        <f t="shared" si="35"/>
        <v>69.138888888890335</v>
      </c>
      <c r="S134" s="20">
        <f t="shared" si="35"/>
        <v>72.777777777779249</v>
      </c>
      <c r="T134" s="21">
        <f t="shared" si="35"/>
        <v>59.677777777779298</v>
      </c>
      <c r="U134" s="21">
        <f t="shared" si="37"/>
        <v>65.5</v>
      </c>
      <c r="V134" s="21">
        <f t="shared" si="37"/>
        <v>69.138888888890335</v>
      </c>
      <c r="W134" s="22">
        <f t="shared" si="37"/>
        <v>56.038888888889034</v>
      </c>
      <c r="X134" s="22">
        <f t="shared" si="37"/>
        <v>61.8611111111097</v>
      </c>
      <c r="Y134" s="22">
        <f t="shared" si="37"/>
        <v>65.5</v>
      </c>
      <c r="Z134" s="23">
        <f t="shared" si="37"/>
        <v>52.399999999998911</v>
      </c>
      <c r="AA134" s="23">
        <f t="shared" si="37"/>
        <v>58.222222222221575</v>
      </c>
      <c r="AB134" s="23">
        <f t="shared" si="37"/>
        <v>61.8611111111097</v>
      </c>
      <c r="AC134" s="24">
        <f t="shared" si="37"/>
        <v>48.76111111111139</v>
      </c>
      <c r="AD134" s="24">
        <f t="shared" si="37"/>
        <v>54.583333333333151</v>
      </c>
      <c r="AE134" s="24">
        <f t="shared" si="37"/>
        <v>58.222222222221575</v>
      </c>
      <c r="AF134" s="25">
        <f t="shared" si="37"/>
        <v>45.122222222221673</v>
      </c>
      <c r="AG134" s="25">
        <f t="shared" si="37"/>
        <v>50.944444444445168</v>
      </c>
      <c r="AH134" s="25">
        <f t="shared" si="37"/>
        <v>54.583333333333151</v>
      </c>
      <c r="AI134" s="26">
        <f t="shared" si="37"/>
        <v>41.48333333333369</v>
      </c>
      <c r="AJ134" s="26">
        <f t="shared" si="37"/>
        <v>47.305555555554832</v>
      </c>
      <c r="AK134" s="26">
        <f t="shared" si="34"/>
        <v>50.944444444445168</v>
      </c>
    </row>
    <row r="135" spans="4:37" ht="20.100000000000001" customHeight="1">
      <c r="D135" s="27">
        <f t="shared" si="38"/>
        <v>0.36666666666666586</v>
      </c>
      <c r="E135" s="16">
        <f t="shared" si="35"/>
        <v>101.19999999999821</v>
      </c>
      <c r="F135" s="16">
        <f t="shared" si="35"/>
        <v>107.06666666666692</v>
      </c>
      <c r="G135" s="16">
        <f t="shared" si="35"/>
        <v>110.73333333333046</v>
      </c>
      <c r="H135" s="17">
        <f t="shared" si="35"/>
        <v>93.866666666667243</v>
      </c>
      <c r="I135" s="17">
        <f t="shared" si="35"/>
        <v>99.733333333332922</v>
      </c>
      <c r="J135" s="17">
        <f t="shared" si="35"/>
        <v>103.39999999999949</v>
      </c>
      <c r="K135" s="18">
        <f t="shared" si="35"/>
        <v>86.533333333331939</v>
      </c>
      <c r="L135" s="18">
        <f t="shared" si="35"/>
        <v>92.400000000001867</v>
      </c>
      <c r="M135" s="18">
        <f t="shared" si="35"/>
        <v>96.066666666665071</v>
      </c>
      <c r="N135" s="19">
        <f t="shared" si="35"/>
        <v>67.466666666666342</v>
      </c>
      <c r="O135" s="19">
        <f t="shared" si="35"/>
        <v>73.333333333334807</v>
      </c>
      <c r="P135" s="19">
        <f t="shared" si="35"/>
        <v>76.999999999999091</v>
      </c>
      <c r="Q135" s="20">
        <f t="shared" si="35"/>
        <v>63.800000000001134</v>
      </c>
      <c r="R135" s="20">
        <f t="shared" si="35"/>
        <v>69.666666666668107</v>
      </c>
      <c r="S135" s="20">
        <f t="shared" si="35"/>
        <v>73.333333333334807</v>
      </c>
      <c r="T135" s="21">
        <f t="shared" si="35"/>
        <v>60.133333333334853</v>
      </c>
      <c r="U135" s="21">
        <f t="shared" si="37"/>
        <v>66</v>
      </c>
      <c r="V135" s="21">
        <f t="shared" si="37"/>
        <v>69.666666666668107</v>
      </c>
      <c r="W135" s="22">
        <f t="shared" si="37"/>
        <v>56.466666666666811</v>
      </c>
      <c r="X135" s="22">
        <f t="shared" si="37"/>
        <v>62.333333333331922</v>
      </c>
      <c r="Y135" s="22">
        <f t="shared" si="37"/>
        <v>66</v>
      </c>
      <c r="Z135" s="23">
        <f t="shared" si="37"/>
        <v>52.79999999999891</v>
      </c>
      <c r="AA135" s="23">
        <f t="shared" si="37"/>
        <v>58.666666666666018</v>
      </c>
      <c r="AB135" s="23">
        <f t="shared" si="37"/>
        <v>62.333333333331922</v>
      </c>
      <c r="AC135" s="24">
        <f t="shared" si="37"/>
        <v>49.13333333333361</v>
      </c>
      <c r="AD135" s="24">
        <f t="shared" si="37"/>
        <v>54.999999999999815</v>
      </c>
      <c r="AE135" s="24">
        <f t="shared" si="37"/>
        <v>58.666666666666018</v>
      </c>
      <c r="AF135" s="25">
        <f t="shared" si="37"/>
        <v>45.466666666666114</v>
      </c>
      <c r="AG135" s="25">
        <f t="shared" si="37"/>
        <v>51.333333333334053</v>
      </c>
      <c r="AH135" s="25">
        <f t="shared" si="37"/>
        <v>54.999999999999815</v>
      </c>
      <c r="AI135" s="26">
        <f t="shared" si="37"/>
        <v>41.80000000000036</v>
      </c>
      <c r="AJ135" s="26">
        <f t="shared" si="37"/>
        <v>47.666666666665947</v>
      </c>
      <c r="AK135" s="26">
        <f t="shared" si="34"/>
        <v>51.333333333334053</v>
      </c>
    </row>
    <row r="136" spans="4:37" ht="20.100000000000001" customHeight="1">
      <c r="D136" s="27">
        <f t="shared" si="38"/>
        <v>0.36944444444444363</v>
      </c>
      <c r="E136" s="16">
        <f t="shared" si="35"/>
        <v>101.96666666666488</v>
      </c>
      <c r="F136" s="16">
        <f t="shared" si="35"/>
        <v>107.87777777777804</v>
      </c>
      <c r="G136" s="16">
        <f t="shared" si="35"/>
        <v>111.57222222221935</v>
      </c>
      <c r="H136" s="17">
        <f t="shared" si="35"/>
        <v>94.577777777778351</v>
      </c>
      <c r="I136" s="17">
        <f t="shared" si="35"/>
        <v>100.48888888888848</v>
      </c>
      <c r="J136" s="17">
        <f t="shared" si="35"/>
        <v>104.18333333333283</v>
      </c>
      <c r="K136" s="18">
        <f t="shared" si="35"/>
        <v>87.18888888888749</v>
      </c>
      <c r="L136" s="18">
        <f t="shared" si="35"/>
        <v>93.10000000000187</v>
      </c>
      <c r="M136" s="18">
        <f t="shared" si="35"/>
        <v>96.794444444442846</v>
      </c>
      <c r="N136" s="19">
        <f t="shared" si="35"/>
        <v>67.977777777777447</v>
      </c>
      <c r="O136" s="19">
        <f t="shared" si="35"/>
        <v>73.888888888890364</v>
      </c>
      <c r="P136" s="19">
        <f t="shared" si="35"/>
        <v>77.583333333332419</v>
      </c>
      <c r="Q136" s="20">
        <f t="shared" si="35"/>
        <v>64.283333333334468</v>
      </c>
      <c r="R136" s="20">
        <f t="shared" si="35"/>
        <v>70.194444444445878</v>
      </c>
      <c r="S136" s="20">
        <f t="shared" si="35"/>
        <v>73.888888888890364</v>
      </c>
      <c r="T136" s="21">
        <f t="shared" si="35"/>
        <v>60.588888888890409</v>
      </c>
      <c r="U136" s="21">
        <f t="shared" si="37"/>
        <v>66.5</v>
      </c>
      <c r="V136" s="21">
        <f t="shared" si="37"/>
        <v>70.194444444445878</v>
      </c>
      <c r="W136" s="22">
        <f t="shared" si="37"/>
        <v>56.894444444444588</v>
      </c>
      <c r="X136" s="22">
        <f t="shared" si="37"/>
        <v>62.805555555554143</v>
      </c>
      <c r="Y136" s="22">
        <f t="shared" si="37"/>
        <v>66.5</v>
      </c>
      <c r="Z136" s="23">
        <f t="shared" si="37"/>
        <v>53.199999999998909</v>
      </c>
      <c r="AA136" s="23">
        <f t="shared" si="37"/>
        <v>59.111111111110461</v>
      </c>
      <c r="AB136" s="23">
        <f t="shared" si="37"/>
        <v>62.805555555554143</v>
      </c>
      <c r="AC136" s="24">
        <f t="shared" si="37"/>
        <v>49.50555555555583</v>
      </c>
      <c r="AD136" s="24">
        <f t="shared" si="37"/>
        <v>55.41666666666648</v>
      </c>
      <c r="AE136" s="24">
        <f t="shared" si="37"/>
        <v>59.111111111110461</v>
      </c>
      <c r="AF136" s="25">
        <f t="shared" si="37"/>
        <v>45.811111111110556</v>
      </c>
      <c r="AG136" s="25">
        <f t="shared" si="37"/>
        <v>51.722222222222939</v>
      </c>
      <c r="AH136" s="25">
        <f t="shared" si="37"/>
        <v>55.41666666666648</v>
      </c>
      <c r="AI136" s="26">
        <f t="shared" si="37"/>
        <v>42.11666666666703</v>
      </c>
      <c r="AJ136" s="26">
        <f t="shared" si="37"/>
        <v>48.027777777777061</v>
      </c>
      <c r="AK136" s="26">
        <f t="shared" si="34"/>
        <v>51.722222222222939</v>
      </c>
    </row>
    <row r="137" spans="4:37" ht="20.100000000000001" customHeight="1">
      <c r="D137" s="27">
        <f t="shared" si="38"/>
        <v>0.3722222222222214</v>
      </c>
      <c r="E137" s="16">
        <f t="shared" si="35"/>
        <v>102.73333333333154</v>
      </c>
      <c r="F137" s="16">
        <f t="shared" si="35"/>
        <v>108.68888888888915</v>
      </c>
      <c r="G137" s="16">
        <f t="shared" si="35"/>
        <v>112.41111111110824</v>
      </c>
      <c r="H137" s="17">
        <f t="shared" si="35"/>
        <v>95.28888888888946</v>
      </c>
      <c r="I137" s="17">
        <f t="shared" si="35"/>
        <v>101.24444444444404</v>
      </c>
      <c r="J137" s="17">
        <f t="shared" si="35"/>
        <v>104.96666666666616</v>
      </c>
      <c r="K137" s="18">
        <f t="shared" si="35"/>
        <v>87.844444444443042</v>
      </c>
      <c r="L137" s="18">
        <f t="shared" si="35"/>
        <v>93.800000000001873</v>
      </c>
      <c r="M137" s="18">
        <f t="shared" si="35"/>
        <v>97.52222222222062</v>
      </c>
      <c r="N137" s="19">
        <f t="shared" si="35"/>
        <v>68.488888888888553</v>
      </c>
      <c r="O137" s="19">
        <f t="shared" si="35"/>
        <v>74.444444444445921</v>
      </c>
      <c r="P137" s="19">
        <f t="shared" si="35"/>
        <v>78.166666666665748</v>
      </c>
      <c r="Q137" s="20">
        <f t="shared" si="35"/>
        <v>64.766666666667803</v>
      </c>
      <c r="R137" s="20">
        <f t="shared" si="35"/>
        <v>70.72222222222365</v>
      </c>
      <c r="S137" s="20">
        <f t="shared" si="35"/>
        <v>74.444444444445921</v>
      </c>
      <c r="T137" s="21">
        <f t="shared" si="35"/>
        <v>61.044444444445965</v>
      </c>
      <c r="U137" s="21">
        <f t="shared" si="37"/>
        <v>67</v>
      </c>
      <c r="V137" s="21">
        <f t="shared" si="37"/>
        <v>70.72222222222365</v>
      </c>
      <c r="W137" s="22">
        <f t="shared" si="37"/>
        <v>57.322222222222365</v>
      </c>
      <c r="X137" s="22">
        <f t="shared" si="37"/>
        <v>63.277777777776365</v>
      </c>
      <c r="Y137" s="22">
        <f t="shared" si="37"/>
        <v>67</v>
      </c>
      <c r="Z137" s="23">
        <f t="shared" si="37"/>
        <v>53.599999999998907</v>
      </c>
      <c r="AA137" s="23">
        <f t="shared" si="37"/>
        <v>59.555555555554903</v>
      </c>
      <c r="AB137" s="23">
        <f t="shared" si="37"/>
        <v>63.277777777776365</v>
      </c>
      <c r="AC137" s="24">
        <f t="shared" si="37"/>
        <v>49.87777777777805</v>
      </c>
      <c r="AD137" s="24">
        <f t="shared" si="37"/>
        <v>55.833333333333144</v>
      </c>
      <c r="AE137" s="24">
        <f t="shared" si="37"/>
        <v>59.555555555554903</v>
      </c>
      <c r="AF137" s="25">
        <f t="shared" si="37"/>
        <v>46.155555555554997</v>
      </c>
      <c r="AG137" s="25">
        <f t="shared" si="37"/>
        <v>52.111111111111825</v>
      </c>
      <c r="AH137" s="25">
        <f t="shared" si="37"/>
        <v>55.833333333333144</v>
      </c>
      <c r="AI137" s="26">
        <f t="shared" si="37"/>
        <v>42.433333333333699</v>
      </c>
      <c r="AJ137" s="26">
        <f t="shared" si="37"/>
        <v>48.388888888888175</v>
      </c>
      <c r="AK137" s="26">
        <f t="shared" si="34"/>
        <v>52.111111111111825</v>
      </c>
    </row>
    <row r="138" spans="4:37" ht="20.100000000000001" customHeight="1">
      <c r="D138" s="27">
        <f t="shared" si="38"/>
        <v>0.37499999999999917</v>
      </c>
      <c r="E138" s="16">
        <f t="shared" si="35"/>
        <v>103.49999999999821</v>
      </c>
      <c r="F138" s="16">
        <f t="shared" si="35"/>
        <v>109.50000000000027</v>
      </c>
      <c r="G138" s="16">
        <f t="shared" si="35"/>
        <v>113.24999999999713</v>
      </c>
      <c r="H138" s="17">
        <f t="shared" si="35"/>
        <v>96.000000000000568</v>
      </c>
      <c r="I138" s="17">
        <f t="shared" si="35"/>
        <v>101.9999999999996</v>
      </c>
      <c r="J138" s="17">
        <f t="shared" si="35"/>
        <v>105.74999999999949</v>
      </c>
      <c r="K138" s="18">
        <f t="shared" si="35"/>
        <v>88.499999999998593</v>
      </c>
      <c r="L138" s="18">
        <f t="shared" si="35"/>
        <v>94.500000000001876</v>
      </c>
      <c r="M138" s="18">
        <f t="shared" si="35"/>
        <v>98.249999999998394</v>
      </c>
      <c r="N138" s="19">
        <f t="shared" si="35"/>
        <v>68.999999999999659</v>
      </c>
      <c r="O138" s="19">
        <f t="shared" si="35"/>
        <v>75.000000000001478</v>
      </c>
      <c r="P138" s="19">
        <f t="shared" si="35"/>
        <v>78.749999999999076</v>
      </c>
      <c r="Q138" s="20">
        <f t="shared" si="35"/>
        <v>65.250000000001137</v>
      </c>
      <c r="R138" s="20">
        <f t="shared" si="35"/>
        <v>71.250000000001421</v>
      </c>
      <c r="S138" s="20">
        <f t="shared" si="35"/>
        <v>75.000000000001478</v>
      </c>
      <c r="T138" s="21">
        <f t="shared" si="35"/>
        <v>61.500000000001521</v>
      </c>
      <c r="U138" s="21">
        <f t="shared" si="37"/>
        <v>67.5</v>
      </c>
      <c r="V138" s="21">
        <f t="shared" si="37"/>
        <v>71.250000000001421</v>
      </c>
      <c r="W138" s="22">
        <f t="shared" si="37"/>
        <v>57.750000000000142</v>
      </c>
      <c r="X138" s="22">
        <f t="shared" si="37"/>
        <v>63.749999999998586</v>
      </c>
      <c r="Y138" s="22">
        <f t="shared" si="37"/>
        <v>67.5</v>
      </c>
      <c r="Z138" s="23">
        <f t="shared" si="37"/>
        <v>53.999999999998906</v>
      </c>
      <c r="AA138" s="23">
        <f t="shared" si="37"/>
        <v>59.999999999999346</v>
      </c>
      <c r="AB138" s="23">
        <f t="shared" si="37"/>
        <v>63.749999999998586</v>
      </c>
      <c r="AC138" s="24">
        <f t="shared" si="37"/>
        <v>50.25000000000027</v>
      </c>
      <c r="AD138" s="24">
        <f t="shared" si="37"/>
        <v>56.249999999999808</v>
      </c>
      <c r="AE138" s="24">
        <f t="shared" si="37"/>
        <v>59.999999999999346</v>
      </c>
      <c r="AF138" s="25">
        <f t="shared" si="37"/>
        <v>46.499999999999439</v>
      </c>
      <c r="AG138" s="25">
        <f t="shared" si="37"/>
        <v>52.500000000000711</v>
      </c>
      <c r="AH138" s="25">
        <f t="shared" si="37"/>
        <v>56.249999999999808</v>
      </c>
      <c r="AI138" s="26">
        <f t="shared" si="37"/>
        <v>42.750000000000369</v>
      </c>
      <c r="AJ138" s="26">
        <f t="shared" si="37"/>
        <v>48.749999999999289</v>
      </c>
      <c r="AK138" s="26">
        <f t="shared" si="34"/>
        <v>52.500000000000711</v>
      </c>
    </row>
    <row r="139" spans="4:37" ht="20.100000000000001" customHeight="1">
      <c r="D139" s="27">
        <f t="shared" si="38"/>
        <v>0.37777777777777694</v>
      </c>
      <c r="E139" s="16">
        <f t="shared" si="35"/>
        <v>104.26666666666488</v>
      </c>
      <c r="F139" s="16">
        <f t="shared" si="35"/>
        <v>110.31111111111139</v>
      </c>
      <c r="G139" s="16">
        <f t="shared" si="35"/>
        <v>114.08888888888602</v>
      </c>
      <c r="H139" s="17">
        <f t="shared" si="35"/>
        <v>96.711111111111677</v>
      </c>
      <c r="I139" s="17">
        <f t="shared" si="35"/>
        <v>102.75555555555516</v>
      </c>
      <c r="J139" s="17">
        <f t="shared" si="35"/>
        <v>106.53333333333282</v>
      </c>
      <c r="K139" s="18">
        <f t="shared" si="35"/>
        <v>89.155555555554145</v>
      </c>
      <c r="L139" s="18">
        <f t="shared" si="35"/>
        <v>95.200000000001879</v>
      </c>
      <c r="M139" s="18">
        <f t="shared" si="35"/>
        <v>98.977777777776168</v>
      </c>
      <c r="N139" s="19">
        <f t="shared" si="35"/>
        <v>69.511111111110765</v>
      </c>
      <c r="O139" s="19">
        <f t="shared" si="35"/>
        <v>75.555555555557035</v>
      </c>
      <c r="P139" s="19">
        <f t="shared" si="35"/>
        <v>79.333333333332405</v>
      </c>
      <c r="Q139" s="20">
        <f t="shared" si="35"/>
        <v>65.733333333334471</v>
      </c>
      <c r="R139" s="20">
        <f t="shared" si="35"/>
        <v>71.777777777779193</v>
      </c>
      <c r="S139" s="20">
        <f t="shared" si="35"/>
        <v>75.555555555557035</v>
      </c>
      <c r="T139" s="21">
        <f t="shared" si="35"/>
        <v>61.955555555557076</v>
      </c>
      <c r="U139" s="21">
        <f t="shared" si="37"/>
        <v>68</v>
      </c>
      <c r="V139" s="21">
        <f t="shared" si="37"/>
        <v>71.777777777779193</v>
      </c>
      <c r="W139" s="22">
        <f t="shared" si="37"/>
        <v>58.177777777777919</v>
      </c>
      <c r="X139" s="22">
        <f t="shared" si="37"/>
        <v>64.222222222220807</v>
      </c>
      <c r="Y139" s="22">
        <f t="shared" si="37"/>
        <v>68</v>
      </c>
      <c r="Z139" s="23">
        <f t="shared" si="37"/>
        <v>54.399999999998904</v>
      </c>
      <c r="AA139" s="23">
        <f t="shared" si="37"/>
        <v>60.444444444443789</v>
      </c>
      <c r="AB139" s="23">
        <f t="shared" si="37"/>
        <v>64.222222222220807</v>
      </c>
      <c r="AC139" s="24">
        <f t="shared" si="37"/>
        <v>50.62222222222249</v>
      </c>
      <c r="AD139" s="24">
        <f t="shared" si="37"/>
        <v>56.666666666666472</v>
      </c>
      <c r="AE139" s="24">
        <f t="shared" si="37"/>
        <v>60.444444444443789</v>
      </c>
      <c r="AF139" s="25">
        <f t="shared" si="37"/>
        <v>46.84444444444388</v>
      </c>
      <c r="AG139" s="25">
        <f t="shared" si="37"/>
        <v>52.888888888889596</v>
      </c>
      <c r="AH139" s="25">
        <f t="shared" si="37"/>
        <v>56.666666666666472</v>
      </c>
      <c r="AI139" s="26">
        <f t="shared" si="37"/>
        <v>43.066666666667039</v>
      </c>
      <c r="AJ139" s="26">
        <f t="shared" si="37"/>
        <v>49.111111111110404</v>
      </c>
      <c r="AK139" s="26">
        <f t="shared" si="34"/>
        <v>52.888888888889596</v>
      </c>
    </row>
    <row r="140" spans="4:37" ht="20.100000000000001" customHeight="1">
      <c r="D140" s="27">
        <f t="shared" si="38"/>
        <v>0.3805555555555547</v>
      </c>
      <c r="E140" s="16">
        <f t="shared" si="35"/>
        <v>105.03333333333154</v>
      </c>
      <c r="F140" s="16">
        <f t="shared" si="35"/>
        <v>111.1222222222225</v>
      </c>
      <c r="G140" s="16">
        <f t="shared" si="35"/>
        <v>114.92777777777491</v>
      </c>
      <c r="H140" s="17">
        <f t="shared" si="35"/>
        <v>97.422222222222786</v>
      </c>
      <c r="I140" s="17">
        <f t="shared" si="35"/>
        <v>103.51111111111072</v>
      </c>
      <c r="J140" s="17">
        <f t="shared" si="35"/>
        <v>107.31666666666615</v>
      </c>
      <c r="K140" s="18">
        <f t="shared" si="35"/>
        <v>89.811111111109696</v>
      </c>
      <c r="L140" s="18">
        <f t="shared" si="35"/>
        <v>95.900000000001882</v>
      </c>
      <c r="M140" s="18">
        <f t="shared" si="35"/>
        <v>99.705555555553943</v>
      </c>
      <c r="N140" s="19">
        <f t="shared" si="35"/>
        <v>70.02222222222187</v>
      </c>
      <c r="O140" s="19">
        <f t="shared" si="35"/>
        <v>76.111111111112592</v>
      </c>
      <c r="P140" s="19">
        <f t="shared" si="35"/>
        <v>79.916666666665733</v>
      </c>
      <c r="Q140" s="20">
        <f t="shared" si="35"/>
        <v>66.216666666667805</v>
      </c>
      <c r="R140" s="20">
        <f t="shared" si="35"/>
        <v>72.305555555556964</v>
      </c>
      <c r="S140" s="20">
        <f t="shared" si="35"/>
        <v>76.111111111112592</v>
      </c>
      <c r="T140" s="21">
        <f t="shared" si="35"/>
        <v>62.411111111112632</v>
      </c>
      <c r="U140" s="21">
        <f t="shared" si="37"/>
        <v>68.5</v>
      </c>
      <c r="V140" s="21">
        <f t="shared" si="37"/>
        <v>72.305555555556964</v>
      </c>
      <c r="W140" s="22">
        <f t="shared" si="37"/>
        <v>58.605555555555696</v>
      </c>
      <c r="X140" s="22">
        <f t="shared" si="37"/>
        <v>64.694444444443036</v>
      </c>
      <c r="Y140" s="22">
        <f t="shared" si="37"/>
        <v>68.5</v>
      </c>
      <c r="Z140" s="23">
        <f t="shared" si="37"/>
        <v>54.799999999998903</v>
      </c>
      <c r="AA140" s="23">
        <f t="shared" si="37"/>
        <v>60.888888888888232</v>
      </c>
      <c r="AB140" s="23">
        <f t="shared" si="37"/>
        <v>64.694444444443036</v>
      </c>
      <c r="AC140" s="24">
        <f t="shared" si="37"/>
        <v>50.99444444444471</v>
      </c>
      <c r="AD140" s="24">
        <f t="shared" si="37"/>
        <v>57.083333333333137</v>
      </c>
      <c r="AE140" s="24">
        <f t="shared" si="37"/>
        <v>60.888888888888232</v>
      </c>
      <c r="AF140" s="25">
        <f t="shared" si="37"/>
        <v>47.188888888888322</v>
      </c>
      <c r="AG140" s="25">
        <f t="shared" si="37"/>
        <v>53.277777777778482</v>
      </c>
      <c r="AH140" s="25">
        <f t="shared" si="37"/>
        <v>57.083333333333137</v>
      </c>
      <c r="AI140" s="26">
        <f t="shared" si="37"/>
        <v>43.383333333333709</v>
      </c>
      <c r="AJ140" s="26">
        <f t="shared" si="37"/>
        <v>49.472222222221518</v>
      </c>
      <c r="AK140" s="26">
        <f t="shared" si="34"/>
        <v>53.277777777778482</v>
      </c>
    </row>
    <row r="141" spans="4:37" ht="20.100000000000001" customHeight="1">
      <c r="D141" s="27">
        <f t="shared" si="38"/>
        <v>0.38333333333333247</v>
      </c>
      <c r="E141" s="16">
        <f t="shared" si="35"/>
        <v>105.79999999999821</v>
      </c>
      <c r="F141" s="16">
        <f t="shared" si="35"/>
        <v>111.93333333333362</v>
      </c>
      <c r="G141" s="16">
        <f t="shared" si="35"/>
        <v>115.7666666666638</v>
      </c>
      <c r="H141" s="17">
        <f t="shared" si="35"/>
        <v>98.133333333333894</v>
      </c>
      <c r="I141" s="17">
        <f t="shared" si="35"/>
        <v>104.26666666666628</v>
      </c>
      <c r="J141" s="17">
        <f t="shared" si="35"/>
        <v>108.09999999999948</v>
      </c>
      <c r="K141" s="18">
        <f t="shared" si="35"/>
        <v>90.466666666665247</v>
      </c>
      <c r="L141" s="18">
        <f t="shared" si="35"/>
        <v>96.600000000001884</v>
      </c>
      <c r="M141" s="18">
        <f t="shared" si="35"/>
        <v>100.43333333333172</v>
      </c>
      <c r="N141" s="19">
        <f t="shared" si="35"/>
        <v>70.533333333332976</v>
      </c>
      <c r="O141" s="19">
        <f t="shared" si="35"/>
        <v>76.666666666668149</v>
      </c>
      <c r="P141" s="19">
        <f t="shared" si="35"/>
        <v>80.499999999999062</v>
      </c>
      <c r="Q141" s="20">
        <f t="shared" si="35"/>
        <v>66.70000000000114</v>
      </c>
      <c r="R141" s="20">
        <f t="shared" si="35"/>
        <v>72.833333333334735</v>
      </c>
      <c r="S141" s="20">
        <f t="shared" si="35"/>
        <v>76.666666666668149</v>
      </c>
      <c r="T141" s="21">
        <f t="shared" si="35"/>
        <v>62.866666666668188</v>
      </c>
      <c r="U141" s="21">
        <f t="shared" si="37"/>
        <v>69</v>
      </c>
      <c r="V141" s="21">
        <f t="shared" si="37"/>
        <v>72.833333333334735</v>
      </c>
      <c r="W141" s="22">
        <f t="shared" si="37"/>
        <v>59.033333333333474</v>
      </c>
      <c r="X141" s="22">
        <f t="shared" si="37"/>
        <v>65.166666666665265</v>
      </c>
      <c r="Y141" s="22">
        <f t="shared" si="37"/>
        <v>69</v>
      </c>
      <c r="Z141" s="23">
        <f t="shared" si="37"/>
        <v>55.199999999998902</v>
      </c>
      <c r="AA141" s="23">
        <f t="shared" si="37"/>
        <v>61.333333333332675</v>
      </c>
      <c r="AB141" s="23">
        <f t="shared" si="37"/>
        <v>65.166666666665265</v>
      </c>
      <c r="AC141" s="24">
        <f t="shared" si="37"/>
        <v>51.36666666666693</v>
      </c>
      <c r="AD141" s="24">
        <f t="shared" si="37"/>
        <v>57.499999999999801</v>
      </c>
      <c r="AE141" s="24">
        <f t="shared" si="37"/>
        <v>61.333333333332675</v>
      </c>
      <c r="AF141" s="25">
        <f t="shared" si="37"/>
        <v>47.533333333332763</v>
      </c>
      <c r="AG141" s="25">
        <f t="shared" si="37"/>
        <v>53.666666666667368</v>
      </c>
      <c r="AH141" s="25">
        <f t="shared" si="37"/>
        <v>57.499999999999801</v>
      </c>
      <c r="AI141" s="26">
        <f t="shared" si="37"/>
        <v>43.700000000000379</v>
      </c>
      <c r="AJ141" s="26">
        <f t="shared" si="37"/>
        <v>49.833333333332632</v>
      </c>
      <c r="AK141" s="26">
        <f t="shared" si="34"/>
        <v>53.666666666667368</v>
      </c>
    </row>
    <row r="142" spans="4:37" ht="20.100000000000001" customHeight="1">
      <c r="D142" s="27">
        <f t="shared" si="38"/>
        <v>0.38611111111111024</v>
      </c>
      <c r="E142" s="16">
        <f t="shared" si="35"/>
        <v>106.56666666666487</v>
      </c>
      <c r="F142" s="16">
        <f t="shared" si="35"/>
        <v>112.74444444444474</v>
      </c>
      <c r="G142" s="16">
        <f t="shared" si="35"/>
        <v>116.60555555555268</v>
      </c>
      <c r="H142" s="17">
        <f t="shared" si="35"/>
        <v>98.844444444445003</v>
      </c>
      <c r="I142" s="17">
        <f t="shared" si="35"/>
        <v>105.02222222222184</v>
      </c>
      <c r="J142" s="17">
        <f t="shared" si="35"/>
        <v>108.88333333333281</v>
      </c>
      <c r="K142" s="18">
        <f t="shared" si="35"/>
        <v>91.122222222220799</v>
      </c>
      <c r="L142" s="18">
        <f t="shared" si="35"/>
        <v>97.300000000001887</v>
      </c>
      <c r="M142" s="18">
        <f t="shared" si="35"/>
        <v>101.16111111110949</v>
      </c>
      <c r="N142" s="19">
        <f t="shared" si="35"/>
        <v>71.044444444444082</v>
      </c>
      <c r="O142" s="19">
        <f t="shared" si="35"/>
        <v>77.222222222223706</v>
      </c>
      <c r="P142" s="19">
        <f t="shared" si="35"/>
        <v>81.083333333332391</v>
      </c>
      <c r="Q142" s="20">
        <f t="shared" si="35"/>
        <v>67.183333333334474</v>
      </c>
      <c r="R142" s="20">
        <f t="shared" si="35"/>
        <v>73.361111111112507</v>
      </c>
      <c r="S142" s="20">
        <f t="shared" si="35"/>
        <v>77.222222222223706</v>
      </c>
      <c r="T142" s="21">
        <f t="shared" si="35"/>
        <v>63.322222222223743</v>
      </c>
      <c r="U142" s="21">
        <f t="shared" si="37"/>
        <v>69.5</v>
      </c>
      <c r="V142" s="21">
        <f t="shared" si="37"/>
        <v>73.361111111112507</v>
      </c>
      <c r="W142" s="22">
        <f t="shared" si="37"/>
        <v>59.461111111111251</v>
      </c>
      <c r="X142" s="22">
        <f t="shared" si="37"/>
        <v>65.638888888887493</v>
      </c>
      <c r="Y142" s="22">
        <f t="shared" si="37"/>
        <v>69.5</v>
      </c>
      <c r="Z142" s="23">
        <f t="shared" si="37"/>
        <v>55.5999999999989</v>
      </c>
      <c r="AA142" s="23">
        <f t="shared" si="37"/>
        <v>61.777777777777118</v>
      </c>
      <c r="AB142" s="23">
        <f t="shared" si="37"/>
        <v>65.638888888887493</v>
      </c>
      <c r="AC142" s="24">
        <f t="shared" si="37"/>
        <v>51.73888888888915</v>
      </c>
      <c r="AD142" s="24">
        <f t="shared" si="37"/>
        <v>57.916666666666465</v>
      </c>
      <c r="AE142" s="24">
        <f t="shared" si="37"/>
        <v>61.777777777777118</v>
      </c>
      <c r="AF142" s="25">
        <f t="shared" si="37"/>
        <v>47.877777777777204</v>
      </c>
      <c r="AG142" s="25">
        <f t="shared" si="37"/>
        <v>54.055555555556253</v>
      </c>
      <c r="AH142" s="25">
        <f t="shared" si="37"/>
        <v>57.916666666666465</v>
      </c>
      <c r="AI142" s="26">
        <f t="shared" si="37"/>
        <v>44.016666666667049</v>
      </c>
      <c r="AJ142" s="26">
        <f t="shared" si="37"/>
        <v>50.194444444443747</v>
      </c>
      <c r="AK142" s="26">
        <f t="shared" si="34"/>
        <v>54.055555555556253</v>
      </c>
    </row>
    <row r="143" spans="4:37" ht="20.100000000000001" customHeight="1">
      <c r="D143" s="27">
        <f t="shared" si="38"/>
        <v>0.38888888888888801</v>
      </c>
      <c r="E143" s="16">
        <f t="shared" si="35"/>
        <v>107.33333333333154</v>
      </c>
      <c r="F143" s="16">
        <f t="shared" si="35"/>
        <v>113.55555555555586</v>
      </c>
      <c r="G143" s="16">
        <f t="shared" si="35"/>
        <v>117.44444444444157</v>
      </c>
      <c r="H143" s="17">
        <f t="shared" si="35"/>
        <v>99.555555555556111</v>
      </c>
      <c r="I143" s="17">
        <f t="shared" si="35"/>
        <v>105.7777777777774</v>
      </c>
      <c r="J143" s="17">
        <f t="shared" si="35"/>
        <v>109.66666666666615</v>
      </c>
      <c r="K143" s="18">
        <f t="shared" si="35"/>
        <v>91.77777777777635</v>
      </c>
      <c r="L143" s="18">
        <f t="shared" si="35"/>
        <v>98.00000000000189</v>
      </c>
      <c r="M143" s="18">
        <f t="shared" si="35"/>
        <v>101.88888888888727</v>
      </c>
      <c r="N143" s="19">
        <f t="shared" si="35"/>
        <v>71.555555555555188</v>
      </c>
      <c r="O143" s="19">
        <f t="shared" si="35"/>
        <v>77.777777777779264</v>
      </c>
      <c r="P143" s="19">
        <f t="shared" si="35"/>
        <v>81.666666666665719</v>
      </c>
      <c r="Q143" s="20">
        <f t="shared" si="35"/>
        <v>67.666666666667808</v>
      </c>
      <c r="R143" s="20">
        <f t="shared" si="35"/>
        <v>73.888888888890278</v>
      </c>
      <c r="S143" s="20">
        <f t="shared" si="35"/>
        <v>77.777777777779264</v>
      </c>
      <c r="T143" s="21">
        <f t="shared" si="35"/>
        <v>63.777777777779299</v>
      </c>
      <c r="U143" s="21">
        <f t="shared" si="37"/>
        <v>70</v>
      </c>
      <c r="V143" s="21">
        <f t="shared" si="37"/>
        <v>73.888888888890278</v>
      </c>
      <c r="W143" s="22">
        <f t="shared" si="37"/>
        <v>59.888888888889028</v>
      </c>
      <c r="X143" s="22">
        <f t="shared" si="37"/>
        <v>66.111111111109722</v>
      </c>
      <c r="Y143" s="22">
        <f t="shared" si="37"/>
        <v>70</v>
      </c>
      <c r="Z143" s="23">
        <f t="shared" si="37"/>
        <v>55.999999999998899</v>
      </c>
      <c r="AA143" s="23">
        <f t="shared" si="37"/>
        <v>62.222222222221561</v>
      </c>
      <c r="AB143" s="23">
        <f t="shared" si="37"/>
        <v>66.111111111109722</v>
      </c>
      <c r="AC143" s="24">
        <f t="shared" si="37"/>
        <v>52.11111111111137</v>
      </c>
      <c r="AD143" s="24">
        <f t="shared" si="37"/>
        <v>58.33333333333313</v>
      </c>
      <c r="AE143" s="24">
        <f t="shared" si="37"/>
        <v>62.222222222221561</v>
      </c>
      <c r="AF143" s="25">
        <f t="shared" si="37"/>
        <v>48.222222222221646</v>
      </c>
      <c r="AG143" s="25">
        <f t="shared" si="37"/>
        <v>54.444444444445139</v>
      </c>
      <c r="AH143" s="25">
        <f t="shared" si="37"/>
        <v>58.33333333333313</v>
      </c>
      <c r="AI143" s="26">
        <f t="shared" si="37"/>
        <v>44.333333333333719</v>
      </c>
      <c r="AJ143" s="26">
        <f t="shared" si="37"/>
        <v>50.555555555554861</v>
      </c>
      <c r="AK143" s="26">
        <f t="shared" si="34"/>
        <v>54.444444444445139</v>
      </c>
    </row>
    <row r="144" spans="4:37" ht="20.100000000000001" customHeight="1">
      <c r="D144" s="27">
        <f t="shared" si="38"/>
        <v>0.39166666666666577</v>
      </c>
      <c r="E144" s="16">
        <f t="shared" si="35"/>
        <v>108.0999999999982</v>
      </c>
      <c r="F144" s="16">
        <f t="shared" si="35"/>
        <v>114.36666666666697</v>
      </c>
      <c r="G144" s="16">
        <f t="shared" si="35"/>
        <v>118.28333333333046</v>
      </c>
      <c r="H144" s="17">
        <f t="shared" si="35"/>
        <v>100.26666666666722</v>
      </c>
      <c r="I144" s="17">
        <f t="shared" si="35"/>
        <v>106.53333333333296</v>
      </c>
      <c r="J144" s="17">
        <f t="shared" si="35"/>
        <v>110.44999999999948</v>
      </c>
      <c r="K144" s="18">
        <f t="shared" si="35"/>
        <v>92.433333333331902</v>
      </c>
      <c r="L144" s="18">
        <f t="shared" si="35"/>
        <v>98.700000000001893</v>
      </c>
      <c r="M144" s="18">
        <f t="shared" si="35"/>
        <v>102.61666666666504</v>
      </c>
      <c r="N144" s="19">
        <f t="shared" si="35"/>
        <v>72.066666666666293</v>
      </c>
      <c r="O144" s="19">
        <f t="shared" si="35"/>
        <v>78.333333333334821</v>
      </c>
      <c r="P144" s="19">
        <f t="shared" si="35"/>
        <v>82.249999999999048</v>
      </c>
      <c r="Q144" s="20">
        <f t="shared" si="35"/>
        <v>68.150000000001143</v>
      </c>
      <c r="R144" s="20">
        <f t="shared" si="35"/>
        <v>74.41666666666805</v>
      </c>
      <c r="S144" s="20">
        <f t="shared" si="35"/>
        <v>78.333333333334821</v>
      </c>
      <c r="T144" s="21">
        <f t="shared" ref="T144:AI162" si="39">T145-(T$363/360)</f>
        <v>64.233333333334855</v>
      </c>
      <c r="U144" s="21">
        <f t="shared" si="37"/>
        <v>70.5</v>
      </c>
      <c r="V144" s="21">
        <f t="shared" si="37"/>
        <v>74.41666666666805</v>
      </c>
      <c r="W144" s="22">
        <f t="shared" si="37"/>
        <v>60.316666666666805</v>
      </c>
      <c r="X144" s="22">
        <f t="shared" si="37"/>
        <v>66.58333333333195</v>
      </c>
      <c r="Y144" s="22">
        <f t="shared" si="37"/>
        <v>70.5</v>
      </c>
      <c r="Z144" s="23">
        <f t="shared" si="37"/>
        <v>56.399999999998897</v>
      </c>
      <c r="AA144" s="23">
        <f t="shared" si="37"/>
        <v>62.666666666666003</v>
      </c>
      <c r="AB144" s="23">
        <f t="shared" si="37"/>
        <v>66.58333333333195</v>
      </c>
      <c r="AC144" s="24">
        <f t="shared" si="37"/>
        <v>52.48333333333359</v>
      </c>
      <c r="AD144" s="24">
        <f t="shared" si="37"/>
        <v>58.749999999999794</v>
      </c>
      <c r="AE144" s="24">
        <f t="shared" si="37"/>
        <v>62.666666666666003</v>
      </c>
      <c r="AF144" s="25">
        <f t="shared" si="37"/>
        <v>48.566666666666087</v>
      </c>
      <c r="AG144" s="25">
        <f t="shared" si="37"/>
        <v>54.833333333334025</v>
      </c>
      <c r="AH144" s="25">
        <f t="shared" si="37"/>
        <v>58.749999999999794</v>
      </c>
      <c r="AI144" s="26">
        <f t="shared" si="37"/>
        <v>44.650000000000389</v>
      </c>
      <c r="AJ144" s="26">
        <f t="shared" si="37"/>
        <v>50.916666666665975</v>
      </c>
      <c r="AK144" s="26">
        <f t="shared" si="34"/>
        <v>54.833333333334025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108.86666666666487</v>
      </c>
      <c r="F145" s="16">
        <f t="shared" si="40"/>
        <v>115.17777777777809</v>
      </c>
      <c r="G145" s="16">
        <f t="shared" si="40"/>
        <v>119.12222222221935</v>
      </c>
      <c r="H145" s="17">
        <f t="shared" si="40"/>
        <v>100.97777777777833</v>
      </c>
      <c r="I145" s="17">
        <f t="shared" si="40"/>
        <v>107.28888888888852</v>
      </c>
      <c r="J145" s="17">
        <f t="shared" si="40"/>
        <v>111.23333333333281</v>
      </c>
      <c r="K145" s="18">
        <f t="shared" si="40"/>
        <v>93.088888888887453</v>
      </c>
      <c r="L145" s="18">
        <f t="shared" si="40"/>
        <v>99.400000000001896</v>
      </c>
      <c r="M145" s="18">
        <f t="shared" si="40"/>
        <v>103.34444444444281</v>
      </c>
      <c r="N145" s="19">
        <f t="shared" si="40"/>
        <v>72.577777777777399</v>
      </c>
      <c r="O145" s="19">
        <f t="shared" si="40"/>
        <v>78.888888888890378</v>
      </c>
      <c r="P145" s="19">
        <f t="shared" si="40"/>
        <v>82.833333333332376</v>
      </c>
      <c r="Q145" s="20">
        <f t="shared" si="40"/>
        <v>68.633333333334477</v>
      </c>
      <c r="R145" s="20">
        <f t="shared" si="40"/>
        <v>74.944444444445821</v>
      </c>
      <c r="S145" s="20">
        <f t="shared" si="40"/>
        <v>78.888888888890378</v>
      </c>
      <c r="T145" s="21">
        <f t="shared" si="39"/>
        <v>64.688888888890403</v>
      </c>
      <c r="U145" s="21">
        <f t="shared" si="37"/>
        <v>71</v>
      </c>
      <c r="V145" s="21">
        <f t="shared" si="37"/>
        <v>74.944444444445821</v>
      </c>
      <c r="W145" s="22">
        <f t="shared" si="37"/>
        <v>60.744444444444582</v>
      </c>
      <c r="X145" s="22">
        <f t="shared" si="37"/>
        <v>67.055555555554179</v>
      </c>
      <c r="Y145" s="22">
        <f t="shared" si="37"/>
        <v>71</v>
      </c>
      <c r="Z145" s="23">
        <f t="shared" si="37"/>
        <v>56.799999999998896</v>
      </c>
      <c r="AA145" s="23">
        <f t="shared" si="37"/>
        <v>63.111111111110446</v>
      </c>
      <c r="AB145" s="23">
        <f t="shared" si="37"/>
        <v>67.055555555554179</v>
      </c>
      <c r="AC145" s="24">
        <f t="shared" si="37"/>
        <v>52.85555555555581</v>
      </c>
      <c r="AD145" s="24">
        <f t="shared" si="37"/>
        <v>59.166666666666458</v>
      </c>
      <c r="AE145" s="24">
        <f t="shared" si="37"/>
        <v>63.111111111110446</v>
      </c>
      <c r="AF145" s="25">
        <f t="shared" si="37"/>
        <v>48.911111111110529</v>
      </c>
      <c r="AG145" s="25">
        <f t="shared" si="37"/>
        <v>55.222222222222911</v>
      </c>
      <c r="AH145" s="25">
        <f t="shared" si="37"/>
        <v>59.166666666666458</v>
      </c>
      <c r="AI145" s="26">
        <f t="shared" si="37"/>
        <v>44.966666666667059</v>
      </c>
      <c r="AJ145" s="26">
        <f t="shared" si="37"/>
        <v>51.277777777777089</v>
      </c>
      <c r="AK145" s="26">
        <f t="shared" si="34"/>
        <v>55.222222222222911</v>
      </c>
    </row>
    <row r="146" spans="4:37" ht="20.100000000000001" customHeight="1">
      <c r="D146" s="27">
        <f t="shared" si="38"/>
        <v>0.39722222222222131</v>
      </c>
      <c r="E146" s="16">
        <f t="shared" si="40"/>
        <v>109.63333333333154</v>
      </c>
      <c r="F146" s="16">
        <f t="shared" si="40"/>
        <v>115.98888888888921</v>
      </c>
      <c r="G146" s="16">
        <f t="shared" si="40"/>
        <v>119.96111111110824</v>
      </c>
      <c r="H146" s="17">
        <f t="shared" si="40"/>
        <v>101.68888888888944</v>
      </c>
      <c r="I146" s="17">
        <f t="shared" si="40"/>
        <v>108.04444444444408</v>
      </c>
      <c r="J146" s="17">
        <f t="shared" si="40"/>
        <v>112.01666666666614</v>
      </c>
      <c r="K146" s="18">
        <f t="shared" si="40"/>
        <v>93.744444444443005</v>
      </c>
      <c r="L146" s="18">
        <f t="shared" si="40"/>
        <v>100.1000000000019</v>
      </c>
      <c r="M146" s="18">
        <f t="shared" si="40"/>
        <v>104.07222222222059</v>
      </c>
      <c r="N146" s="19">
        <f t="shared" si="40"/>
        <v>73.088888888888505</v>
      </c>
      <c r="O146" s="19">
        <f t="shared" si="40"/>
        <v>79.444444444445935</v>
      </c>
      <c r="P146" s="19">
        <f t="shared" si="40"/>
        <v>83.416666666665705</v>
      </c>
      <c r="Q146" s="20">
        <f t="shared" si="40"/>
        <v>69.116666666667811</v>
      </c>
      <c r="R146" s="20">
        <f t="shared" si="40"/>
        <v>75.472222222223593</v>
      </c>
      <c r="S146" s="20">
        <f t="shared" si="40"/>
        <v>79.444444444445935</v>
      </c>
      <c r="T146" s="21">
        <f t="shared" si="39"/>
        <v>65.144444444445952</v>
      </c>
      <c r="U146" s="21">
        <f t="shared" si="37"/>
        <v>71.5</v>
      </c>
      <c r="V146" s="21">
        <f t="shared" si="37"/>
        <v>75.472222222223593</v>
      </c>
      <c r="W146" s="22">
        <f t="shared" si="37"/>
        <v>61.172222222222359</v>
      </c>
      <c r="X146" s="22">
        <f t="shared" si="37"/>
        <v>67.527777777776407</v>
      </c>
      <c r="Y146" s="22">
        <f t="shared" si="37"/>
        <v>71.5</v>
      </c>
      <c r="Z146" s="23">
        <f t="shared" si="37"/>
        <v>57.199999999998894</v>
      </c>
      <c r="AA146" s="23">
        <f t="shared" si="37"/>
        <v>63.555555555554889</v>
      </c>
      <c r="AB146" s="23">
        <f t="shared" si="37"/>
        <v>67.527777777776407</v>
      </c>
      <c r="AC146" s="24">
        <f t="shared" si="37"/>
        <v>53.22777777777803</v>
      </c>
      <c r="AD146" s="24">
        <f t="shared" si="37"/>
        <v>59.583333333333123</v>
      </c>
      <c r="AE146" s="24">
        <f t="shared" si="37"/>
        <v>63.555555555554889</v>
      </c>
      <c r="AF146" s="25">
        <f t="shared" si="37"/>
        <v>49.25555555555497</v>
      </c>
      <c r="AG146" s="25">
        <f t="shared" si="37"/>
        <v>55.611111111111796</v>
      </c>
      <c r="AH146" s="25">
        <f t="shared" si="37"/>
        <v>59.583333333333123</v>
      </c>
      <c r="AI146" s="26">
        <f t="shared" si="37"/>
        <v>45.283333333333729</v>
      </c>
      <c r="AJ146" s="26">
        <f t="shared" ref="AJ146:AK161" si="41">AJ147-(AJ$363/360)</f>
        <v>51.638888888888204</v>
      </c>
      <c r="AK146" s="26">
        <f t="shared" si="41"/>
        <v>55.611111111111796</v>
      </c>
    </row>
    <row r="147" spans="4:37" ht="20.100000000000001" customHeight="1">
      <c r="D147" s="27">
        <f t="shared" si="38"/>
        <v>0.39999999999999908</v>
      </c>
      <c r="E147" s="16">
        <f t="shared" si="40"/>
        <v>110.3999999999982</v>
      </c>
      <c r="F147" s="16">
        <f t="shared" si="40"/>
        <v>116.80000000000032</v>
      </c>
      <c r="G147" s="16">
        <f t="shared" si="40"/>
        <v>120.79999999999713</v>
      </c>
      <c r="H147" s="17">
        <f t="shared" si="40"/>
        <v>102.40000000000055</v>
      </c>
      <c r="I147" s="17">
        <f t="shared" si="40"/>
        <v>108.79999999999964</v>
      </c>
      <c r="J147" s="17">
        <f t="shared" si="40"/>
        <v>112.79999999999947</v>
      </c>
      <c r="K147" s="18">
        <f t="shared" si="40"/>
        <v>94.399999999998556</v>
      </c>
      <c r="L147" s="18">
        <f t="shared" si="40"/>
        <v>100.8000000000019</v>
      </c>
      <c r="M147" s="18">
        <f t="shared" si="40"/>
        <v>104.79999999999836</v>
      </c>
      <c r="N147" s="19">
        <f t="shared" si="40"/>
        <v>73.599999999999611</v>
      </c>
      <c r="O147" s="19">
        <f t="shared" si="40"/>
        <v>80.000000000001492</v>
      </c>
      <c r="P147" s="19">
        <f t="shared" si="40"/>
        <v>83.999999999999034</v>
      </c>
      <c r="Q147" s="20">
        <f t="shared" si="40"/>
        <v>69.600000000001145</v>
      </c>
      <c r="R147" s="20">
        <f t="shared" si="40"/>
        <v>76.000000000001364</v>
      </c>
      <c r="S147" s="20">
        <f t="shared" si="40"/>
        <v>80.000000000001492</v>
      </c>
      <c r="T147" s="21">
        <f t="shared" si="39"/>
        <v>65.600000000001501</v>
      </c>
      <c r="U147" s="21">
        <f t="shared" si="39"/>
        <v>72</v>
      </c>
      <c r="V147" s="21">
        <f t="shared" si="39"/>
        <v>76.000000000001364</v>
      </c>
      <c r="W147" s="22">
        <f t="shared" si="39"/>
        <v>61.600000000000136</v>
      </c>
      <c r="X147" s="22">
        <f t="shared" si="39"/>
        <v>67.999999999998636</v>
      </c>
      <c r="Y147" s="22">
        <f t="shared" si="39"/>
        <v>72</v>
      </c>
      <c r="Z147" s="23">
        <f t="shared" si="39"/>
        <v>57.599999999998893</v>
      </c>
      <c r="AA147" s="23">
        <f t="shared" si="39"/>
        <v>63.999999999999332</v>
      </c>
      <c r="AB147" s="23">
        <f t="shared" si="39"/>
        <v>67.999999999998636</v>
      </c>
      <c r="AC147" s="24">
        <f t="shared" si="39"/>
        <v>53.60000000000025</v>
      </c>
      <c r="AD147" s="24">
        <f t="shared" si="39"/>
        <v>59.999999999999787</v>
      </c>
      <c r="AE147" s="24">
        <f t="shared" si="39"/>
        <v>63.999999999999332</v>
      </c>
      <c r="AF147" s="25">
        <f t="shared" si="39"/>
        <v>49.599999999999412</v>
      </c>
      <c r="AG147" s="25">
        <f t="shared" si="39"/>
        <v>56.000000000000682</v>
      </c>
      <c r="AH147" s="25">
        <f t="shared" si="39"/>
        <v>59.999999999999787</v>
      </c>
      <c r="AI147" s="26">
        <f t="shared" si="39"/>
        <v>45.600000000000399</v>
      </c>
      <c r="AJ147" s="26">
        <f t="shared" si="41"/>
        <v>51.999999999999318</v>
      </c>
      <c r="AK147" s="26">
        <f t="shared" si="41"/>
        <v>56.000000000000682</v>
      </c>
    </row>
    <row r="148" spans="4:37" ht="20.100000000000001" customHeight="1">
      <c r="D148" s="27">
        <f t="shared" si="38"/>
        <v>0.40277777777777685</v>
      </c>
      <c r="E148" s="16">
        <f t="shared" si="40"/>
        <v>111.16666666666487</v>
      </c>
      <c r="F148" s="16">
        <f t="shared" si="40"/>
        <v>117.61111111111144</v>
      </c>
      <c r="G148" s="16">
        <f t="shared" si="40"/>
        <v>121.63888888888602</v>
      </c>
      <c r="H148" s="17">
        <f t="shared" si="40"/>
        <v>103.11111111111165</v>
      </c>
      <c r="I148" s="17">
        <f t="shared" si="40"/>
        <v>109.5555555555552</v>
      </c>
      <c r="J148" s="17">
        <f t="shared" si="40"/>
        <v>113.5833333333328</v>
      </c>
      <c r="K148" s="18">
        <f t="shared" si="40"/>
        <v>95.055555555554108</v>
      </c>
      <c r="L148" s="18">
        <f t="shared" si="40"/>
        <v>101.5000000000019</v>
      </c>
      <c r="M148" s="18">
        <f t="shared" si="40"/>
        <v>105.52777777777614</v>
      </c>
      <c r="N148" s="19">
        <f t="shared" si="40"/>
        <v>74.111111111110716</v>
      </c>
      <c r="O148" s="19">
        <f t="shared" si="40"/>
        <v>80.555555555557049</v>
      </c>
      <c r="P148" s="19">
        <f t="shared" si="40"/>
        <v>84.583333333332362</v>
      </c>
      <c r="Q148" s="20">
        <f t="shared" si="40"/>
        <v>70.08333333333448</v>
      </c>
      <c r="R148" s="20">
        <f t="shared" si="40"/>
        <v>76.527777777779136</v>
      </c>
      <c r="S148" s="20">
        <f t="shared" si="40"/>
        <v>80.555555555557049</v>
      </c>
      <c r="T148" s="21">
        <f t="shared" si="39"/>
        <v>66.055555555557049</v>
      </c>
      <c r="U148" s="21">
        <f t="shared" si="39"/>
        <v>72.5</v>
      </c>
      <c r="V148" s="21">
        <f t="shared" si="39"/>
        <v>76.527777777779136</v>
      </c>
      <c r="W148" s="22">
        <f t="shared" si="39"/>
        <v>62.027777777777914</v>
      </c>
      <c r="X148" s="22">
        <f t="shared" si="39"/>
        <v>68.472222222220864</v>
      </c>
      <c r="Y148" s="22">
        <f t="shared" si="39"/>
        <v>72.5</v>
      </c>
      <c r="Z148" s="23">
        <f t="shared" si="39"/>
        <v>57.999999999998892</v>
      </c>
      <c r="AA148" s="23">
        <f t="shared" si="39"/>
        <v>64.444444444443775</v>
      </c>
      <c r="AB148" s="23">
        <f t="shared" si="39"/>
        <v>68.472222222220864</v>
      </c>
      <c r="AC148" s="24">
        <f t="shared" si="39"/>
        <v>53.97222222222247</v>
      </c>
      <c r="AD148" s="24">
        <f t="shared" si="39"/>
        <v>60.416666666666451</v>
      </c>
      <c r="AE148" s="24">
        <f t="shared" si="39"/>
        <v>64.444444444443775</v>
      </c>
      <c r="AF148" s="25">
        <f t="shared" si="39"/>
        <v>49.944444444443853</v>
      </c>
      <c r="AG148" s="25">
        <f t="shared" si="39"/>
        <v>56.388888888889568</v>
      </c>
      <c r="AH148" s="25">
        <f t="shared" si="39"/>
        <v>60.416666666666451</v>
      </c>
      <c r="AI148" s="26">
        <f t="shared" si="39"/>
        <v>45.916666666667069</v>
      </c>
      <c r="AJ148" s="26">
        <f t="shared" si="41"/>
        <v>52.361111111110432</v>
      </c>
      <c r="AK148" s="26">
        <f t="shared" si="41"/>
        <v>56.388888888889568</v>
      </c>
    </row>
    <row r="149" spans="4:37" ht="20.100000000000001" customHeight="1">
      <c r="D149" s="27">
        <f t="shared" si="38"/>
        <v>0.40555555555555461</v>
      </c>
      <c r="E149" s="16">
        <f t="shared" si="40"/>
        <v>111.93333333333153</v>
      </c>
      <c r="F149" s="16">
        <f t="shared" si="40"/>
        <v>118.42222222222256</v>
      </c>
      <c r="G149" s="16">
        <f t="shared" si="40"/>
        <v>122.4777777777749</v>
      </c>
      <c r="H149" s="17">
        <f t="shared" si="40"/>
        <v>103.82222222222276</v>
      </c>
      <c r="I149" s="17">
        <f t="shared" si="40"/>
        <v>110.31111111111076</v>
      </c>
      <c r="J149" s="17">
        <f t="shared" si="40"/>
        <v>114.36666666666613</v>
      </c>
      <c r="K149" s="18">
        <f t="shared" si="40"/>
        <v>95.711111111109659</v>
      </c>
      <c r="L149" s="18">
        <f t="shared" si="40"/>
        <v>102.20000000000191</v>
      </c>
      <c r="M149" s="18">
        <f t="shared" si="40"/>
        <v>106.25555555555391</v>
      </c>
      <c r="N149" s="19">
        <f t="shared" si="40"/>
        <v>74.622222222221822</v>
      </c>
      <c r="O149" s="19">
        <f t="shared" si="40"/>
        <v>81.111111111112606</v>
      </c>
      <c r="P149" s="19">
        <f t="shared" si="40"/>
        <v>85.166666666665691</v>
      </c>
      <c r="Q149" s="20">
        <f t="shared" si="40"/>
        <v>70.566666666667814</v>
      </c>
      <c r="R149" s="20">
        <f t="shared" si="40"/>
        <v>77.055555555556907</v>
      </c>
      <c r="S149" s="20">
        <f t="shared" si="40"/>
        <v>81.111111111112606</v>
      </c>
      <c r="T149" s="21">
        <f t="shared" si="39"/>
        <v>66.511111111112598</v>
      </c>
      <c r="U149" s="21">
        <f t="shared" si="39"/>
        <v>73</v>
      </c>
      <c r="V149" s="21">
        <f t="shared" si="39"/>
        <v>77.055555555556907</v>
      </c>
      <c r="W149" s="22">
        <f t="shared" si="39"/>
        <v>62.455555555555691</v>
      </c>
      <c r="X149" s="22">
        <f t="shared" si="39"/>
        <v>68.944444444443093</v>
      </c>
      <c r="Y149" s="22">
        <f t="shared" si="39"/>
        <v>73</v>
      </c>
      <c r="Z149" s="23">
        <f t="shared" si="39"/>
        <v>58.39999999999889</v>
      </c>
      <c r="AA149" s="23">
        <f t="shared" si="39"/>
        <v>64.888888888888218</v>
      </c>
      <c r="AB149" s="23">
        <f t="shared" si="39"/>
        <v>68.944444444443093</v>
      </c>
      <c r="AC149" s="24">
        <f t="shared" si="39"/>
        <v>54.34444444444469</v>
      </c>
      <c r="AD149" s="24">
        <f t="shared" si="39"/>
        <v>60.833333333333115</v>
      </c>
      <c r="AE149" s="24">
        <f t="shared" si="39"/>
        <v>64.888888888888218</v>
      </c>
      <c r="AF149" s="25">
        <f t="shared" si="39"/>
        <v>50.288888888888295</v>
      </c>
      <c r="AG149" s="25">
        <f t="shared" si="39"/>
        <v>56.777777777778454</v>
      </c>
      <c r="AH149" s="25">
        <f t="shared" si="39"/>
        <v>60.833333333333115</v>
      </c>
      <c r="AI149" s="26">
        <f t="shared" si="39"/>
        <v>46.233333333333739</v>
      </c>
      <c r="AJ149" s="26">
        <f t="shared" si="41"/>
        <v>52.722222222221546</v>
      </c>
      <c r="AK149" s="26">
        <f t="shared" si="41"/>
        <v>56.777777777778454</v>
      </c>
    </row>
    <row r="150" spans="4:37" ht="20.100000000000001" customHeight="1">
      <c r="D150" s="27">
        <f t="shared" si="38"/>
        <v>0.40833333333333238</v>
      </c>
      <c r="E150" s="16">
        <f t="shared" si="40"/>
        <v>112.6999999999982</v>
      </c>
      <c r="F150" s="16">
        <f t="shared" si="40"/>
        <v>119.23333333333368</v>
      </c>
      <c r="G150" s="16">
        <f t="shared" si="40"/>
        <v>123.31666666666379</v>
      </c>
      <c r="H150" s="17">
        <f t="shared" si="40"/>
        <v>104.53333333333387</v>
      </c>
      <c r="I150" s="17">
        <f t="shared" si="40"/>
        <v>111.06666666666632</v>
      </c>
      <c r="J150" s="17">
        <f t="shared" si="40"/>
        <v>115.14999999999947</v>
      </c>
      <c r="K150" s="18">
        <f t="shared" si="40"/>
        <v>96.366666666665211</v>
      </c>
      <c r="L150" s="18">
        <f t="shared" si="40"/>
        <v>102.90000000000191</v>
      </c>
      <c r="M150" s="18">
        <f t="shared" si="40"/>
        <v>106.98333333333169</v>
      </c>
      <c r="N150" s="19">
        <f t="shared" si="40"/>
        <v>75.133333333332928</v>
      </c>
      <c r="O150" s="19">
        <f t="shared" si="40"/>
        <v>81.666666666668164</v>
      </c>
      <c r="P150" s="19">
        <f t="shared" si="40"/>
        <v>85.749999999999019</v>
      </c>
      <c r="Q150" s="20">
        <f t="shared" si="40"/>
        <v>71.050000000001148</v>
      </c>
      <c r="R150" s="20">
        <f t="shared" si="40"/>
        <v>77.583333333334679</v>
      </c>
      <c r="S150" s="20">
        <f t="shared" si="40"/>
        <v>81.666666666668164</v>
      </c>
      <c r="T150" s="21">
        <f t="shared" si="39"/>
        <v>66.966666666668146</v>
      </c>
      <c r="U150" s="21">
        <f t="shared" si="39"/>
        <v>73.5</v>
      </c>
      <c r="V150" s="21">
        <f t="shared" si="39"/>
        <v>77.583333333334679</v>
      </c>
      <c r="W150" s="22">
        <f t="shared" si="39"/>
        <v>62.883333333333468</v>
      </c>
      <c r="X150" s="22">
        <f t="shared" si="39"/>
        <v>69.416666666665321</v>
      </c>
      <c r="Y150" s="22">
        <f t="shared" si="39"/>
        <v>73.5</v>
      </c>
      <c r="Z150" s="23">
        <f t="shared" si="39"/>
        <v>58.799999999998889</v>
      </c>
      <c r="AA150" s="23">
        <f t="shared" si="39"/>
        <v>65.333333333332661</v>
      </c>
      <c r="AB150" s="23">
        <f t="shared" si="39"/>
        <v>69.416666666665321</v>
      </c>
      <c r="AC150" s="24">
        <f t="shared" si="39"/>
        <v>54.71666666666691</v>
      </c>
      <c r="AD150" s="24">
        <f t="shared" si="39"/>
        <v>61.24999999999978</v>
      </c>
      <c r="AE150" s="24">
        <f t="shared" si="39"/>
        <v>65.333333333332661</v>
      </c>
      <c r="AF150" s="25">
        <f t="shared" si="39"/>
        <v>50.633333333332736</v>
      </c>
      <c r="AG150" s="25">
        <f t="shared" si="39"/>
        <v>57.166666666667339</v>
      </c>
      <c r="AH150" s="25">
        <f t="shared" si="39"/>
        <v>61.24999999999978</v>
      </c>
      <c r="AI150" s="26">
        <f t="shared" si="39"/>
        <v>46.550000000000409</v>
      </c>
      <c r="AJ150" s="26">
        <f t="shared" si="41"/>
        <v>53.083333333332661</v>
      </c>
      <c r="AK150" s="26">
        <f t="shared" si="41"/>
        <v>57.166666666667339</v>
      </c>
    </row>
    <row r="151" spans="4:37" ht="20.100000000000001" customHeight="1">
      <c r="D151" s="27">
        <f t="shared" si="38"/>
        <v>0.41111111111111015</v>
      </c>
      <c r="E151" s="16">
        <f t="shared" si="40"/>
        <v>113.46666666666486</v>
      </c>
      <c r="F151" s="16">
        <f t="shared" si="40"/>
        <v>120.04444444444479</v>
      </c>
      <c r="G151" s="16">
        <f t="shared" si="40"/>
        <v>124.15555555555268</v>
      </c>
      <c r="H151" s="17">
        <f t="shared" si="40"/>
        <v>105.24444444444498</v>
      </c>
      <c r="I151" s="17">
        <f t="shared" si="40"/>
        <v>111.82222222222188</v>
      </c>
      <c r="J151" s="17">
        <f t="shared" si="40"/>
        <v>115.9333333333328</v>
      </c>
      <c r="K151" s="18">
        <f t="shared" si="40"/>
        <v>97.022222222220762</v>
      </c>
      <c r="L151" s="18">
        <f t="shared" si="40"/>
        <v>103.60000000000191</v>
      </c>
      <c r="M151" s="18">
        <f t="shared" si="40"/>
        <v>107.71111111110946</v>
      </c>
      <c r="N151" s="19">
        <f t="shared" si="40"/>
        <v>75.644444444444034</v>
      </c>
      <c r="O151" s="19">
        <f t="shared" si="40"/>
        <v>82.222222222223721</v>
      </c>
      <c r="P151" s="19">
        <f t="shared" si="40"/>
        <v>86.333333333332348</v>
      </c>
      <c r="Q151" s="20">
        <f t="shared" si="40"/>
        <v>71.533333333334483</v>
      </c>
      <c r="R151" s="20">
        <f t="shared" si="40"/>
        <v>78.11111111111245</v>
      </c>
      <c r="S151" s="20">
        <f t="shared" si="40"/>
        <v>82.222222222223721</v>
      </c>
      <c r="T151" s="21">
        <f t="shared" si="39"/>
        <v>67.422222222223695</v>
      </c>
      <c r="U151" s="21">
        <f t="shared" si="39"/>
        <v>74</v>
      </c>
      <c r="V151" s="21">
        <f t="shared" si="39"/>
        <v>78.11111111111245</v>
      </c>
      <c r="W151" s="22">
        <f t="shared" si="39"/>
        <v>63.311111111111245</v>
      </c>
      <c r="X151" s="22">
        <f t="shared" si="39"/>
        <v>69.88888888888755</v>
      </c>
      <c r="Y151" s="22">
        <f t="shared" si="39"/>
        <v>74</v>
      </c>
      <c r="Z151" s="23">
        <f t="shared" si="39"/>
        <v>59.199999999998887</v>
      </c>
      <c r="AA151" s="23">
        <f t="shared" si="39"/>
        <v>65.777777777777104</v>
      </c>
      <c r="AB151" s="23">
        <f t="shared" si="39"/>
        <v>69.88888888888755</v>
      </c>
      <c r="AC151" s="24">
        <f t="shared" si="39"/>
        <v>55.08888888888913</v>
      </c>
      <c r="AD151" s="24">
        <f t="shared" si="39"/>
        <v>61.666666666666444</v>
      </c>
      <c r="AE151" s="24">
        <f t="shared" si="39"/>
        <v>65.777777777777104</v>
      </c>
      <c r="AF151" s="25">
        <f t="shared" si="39"/>
        <v>50.977777777777177</v>
      </c>
      <c r="AG151" s="25">
        <f t="shared" si="39"/>
        <v>57.555555555556225</v>
      </c>
      <c r="AH151" s="25">
        <f t="shared" si="39"/>
        <v>61.666666666666444</v>
      </c>
      <c r="AI151" s="26">
        <f t="shared" si="39"/>
        <v>46.866666666667079</v>
      </c>
      <c r="AJ151" s="26">
        <f t="shared" si="41"/>
        <v>53.444444444443775</v>
      </c>
      <c r="AK151" s="26">
        <f t="shared" si="41"/>
        <v>57.555555555556225</v>
      </c>
    </row>
    <row r="152" spans="4:37" ht="20.100000000000001" customHeight="1">
      <c r="D152" s="27">
        <f t="shared" si="38"/>
        <v>0.41388888888888792</v>
      </c>
      <c r="E152" s="16">
        <f t="shared" si="40"/>
        <v>114.23333333333153</v>
      </c>
      <c r="F152" s="16">
        <f t="shared" si="40"/>
        <v>120.85555555555591</v>
      </c>
      <c r="G152" s="16">
        <f t="shared" si="40"/>
        <v>124.99444444444157</v>
      </c>
      <c r="H152" s="17">
        <f t="shared" si="40"/>
        <v>105.95555555555609</v>
      </c>
      <c r="I152" s="17">
        <f t="shared" si="40"/>
        <v>112.57777777777744</v>
      </c>
      <c r="J152" s="17">
        <f t="shared" si="40"/>
        <v>116.71666666666613</v>
      </c>
      <c r="K152" s="18">
        <f t="shared" si="40"/>
        <v>97.677777777776313</v>
      </c>
      <c r="L152" s="18">
        <f t="shared" si="40"/>
        <v>104.30000000000192</v>
      </c>
      <c r="M152" s="18">
        <f t="shared" si="40"/>
        <v>108.43888888888723</v>
      </c>
      <c r="N152" s="19">
        <f t="shared" si="40"/>
        <v>76.155555555555139</v>
      </c>
      <c r="O152" s="19">
        <f t="shared" si="40"/>
        <v>82.777777777779278</v>
      </c>
      <c r="P152" s="19">
        <f t="shared" si="40"/>
        <v>86.916666666665677</v>
      </c>
      <c r="Q152" s="20">
        <f t="shared" si="40"/>
        <v>72.016666666667817</v>
      </c>
      <c r="R152" s="20">
        <f t="shared" si="40"/>
        <v>78.638888888890222</v>
      </c>
      <c r="S152" s="20">
        <f t="shared" si="40"/>
        <v>82.777777777779278</v>
      </c>
      <c r="T152" s="21">
        <f t="shared" si="39"/>
        <v>67.877777777779244</v>
      </c>
      <c r="U152" s="21">
        <f t="shared" si="39"/>
        <v>74.5</v>
      </c>
      <c r="V152" s="21">
        <f t="shared" si="39"/>
        <v>78.638888888890222</v>
      </c>
      <c r="W152" s="22">
        <f t="shared" si="39"/>
        <v>63.738888888889022</v>
      </c>
      <c r="X152" s="22">
        <f t="shared" si="39"/>
        <v>70.361111111109778</v>
      </c>
      <c r="Y152" s="22">
        <f t="shared" si="39"/>
        <v>74.5</v>
      </c>
      <c r="Z152" s="23">
        <f t="shared" si="39"/>
        <v>59.599999999998886</v>
      </c>
      <c r="AA152" s="23">
        <f t="shared" si="39"/>
        <v>66.222222222221546</v>
      </c>
      <c r="AB152" s="23">
        <f t="shared" si="39"/>
        <v>70.361111111109778</v>
      </c>
      <c r="AC152" s="24">
        <f t="shared" si="39"/>
        <v>55.46111111111135</v>
      </c>
      <c r="AD152" s="24">
        <f t="shared" si="39"/>
        <v>62.083333333333108</v>
      </c>
      <c r="AE152" s="24">
        <f t="shared" si="39"/>
        <v>66.222222222221546</v>
      </c>
      <c r="AF152" s="25">
        <f t="shared" si="39"/>
        <v>51.322222222221619</v>
      </c>
      <c r="AG152" s="25">
        <f t="shared" si="39"/>
        <v>57.944444444445111</v>
      </c>
      <c r="AH152" s="25">
        <f t="shared" si="39"/>
        <v>62.083333333333108</v>
      </c>
      <c r="AI152" s="26">
        <f t="shared" si="39"/>
        <v>47.183333333333749</v>
      </c>
      <c r="AJ152" s="26">
        <f t="shared" si="41"/>
        <v>53.805555555554889</v>
      </c>
      <c r="AK152" s="26">
        <f t="shared" si="41"/>
        <v>57.944444444445111</v>
      </c>
    </row>
    <row r="153" spans="4:37" ht="20.100000000000001" customHeight="1">
      <c r="D153" s="27">
        <f t="shared" si="38"/>
        <v>0.41666666666666569</v>
      </c>
      <c r="E153" s="16">
        <f t="shared" si="40"/>
        <v>114.9999999999982</v>
      </c>
      <c r="F153" s="16">
        <f t="shared" si="40"/>
        <v>121.66666666666703</v>
      </c>
      <c r="G153" s="16">
        <f t="shared" si="40"/>
        <v>125.83333333333046</v>
      </c>
      <c r="H153" s="17">
        <f t="shared" si="40"/>
        <v>106.6666666666672</v>
      </c>
      <c r="I153" s="17">
        <f t="shared" si="40"/>
        <v>113.333333333333</v>
      </c>
      <c r="J153" s="17">
        <f t="shared" si="40"/>
        <v>117.49999999999946</v>
      </c>
      <c r="K153" s="18">
        <f t="shared" si="40"/>
        <v>98.333333333331865</v>
      </c>
      <c r="L153" s="18">
        <f t="shared" si="40"/>
        <v>105.00000000000192</v>
      </c>
      <c r="M153" s="18">
        <f t="shared" si="40"/>
        <v>109.16666666666501</v>
      </c>
      <c r="N153" s="19">
        <f t="shared" si="40"/>
        <v>76.666666666666245</v>
      </c>
      <c r="O153" s="19">
        <f t="shared" si="40"/>
        <v>83.333333333334835</v>
      </c>
      <c r="P153" s="19">
        <f t="shared" si="40"/>
        <v>87.499999999999005</v>
      </c>
      <c r="Q153" s="20">
        <f t="shared" si="40"/>
        <v>72.500000000001151</v>
      </c>
      <c r="R153" s="20">
        <f t="shared" si="40"/>
        <v>79.166666666667993</v>
      </c>
      <c r="S153" s="20">
        <f t="shared" si="40"/>
        <v>83.333333333334835</v>
      </c>
      <c r="T153" s="21">
        <f t="shared" si="39"/>
        <v>68.333333333334792</v>
      </c>
      <c r="U153" s="21">
        <f t="shared" si="39"/>
        <v>75</v>
      </c>
      <c r="V153" s="21">
        <f t="shared" si="39"/>
        <v>79.166666666667993</v>
      </c>
      <c r="W153" s="22">
        <f t="shared" si="39"/>
        <v>64.166666666666799</v>
      </c>
      <c r="X153" s="22">
        <f t="shared" si="39"/>
        <v>70.833333333332007</v>
      </c>
      <c r="Y153" s="22">
        <f t="shared" si="39"/>
        <v>75</v>
      </c>
      <c r="Z153" s="23">
        <f t="shared" si="39"/>
        <v>59.999999999998884</v>
      </c>
      <c r="AA153" s="23">
        <f t="shared" si="39"/>
        <v>66.666666666665989</v>
      </c>
      <c r="AB153" s="23">
        <f t="shared" si="39"/>
        <v>70.833333333332007</v>
      </c>
      <c r="AC153" s="24">
        <f t="shared" si="39"/>
        <v>55.83333333333357</v>
      </c>
      <c r="AD153" s="24">
        <f t="shared" si="39"/>
        <v>62.499999999999773</v>
      </c>
      <c r="AE153" s="24">
        <f t="shared" si="39"/>
        <v>66.666666666665989</v>
      </c>
      <c r="AF153" s="25">
        <f t="shared" si="39"/>
        <v>51.66666666666606</v>
      </c>
      <c r="AG153" s="25">
        <f t="shared" si="39"/>
        <v>58.333333333333997</v>
      </c>
      <c r="AH153" s="25">
        <f t="shared" si="39"/>
        <v>62.499999999999773</v>
      </c>
      <c r="AI153" s="26">
        <f t="shared" si="39"/>
        <v>47.500000000000419</v>
      </c>
      <c r="AJ153" s="26">
        <f t="shared" si="41"/>
        <v>54.166666666666003</v>
      </c>
      <c r="AK153" s="26">
        <f t="shared" si="41"/>
        <v>58.333333333333997</v>
      </c>
    </row>
    <row r="154" spans="4:37" ht="20.100000000000001" customHeight="1">
      <c r="D154" s="27">
        <f t="shared" si="38"/>
        <v>0.41944444444444345</v>
      </c>
      <c r="E154" s="16">
        <f t="shared" si="40"/>
        <v>115.76666666666486</v>
      </c>
      <c r="F154" s="16">
        <f t="shared" si="40"/>
        <v>122.47777777777814</v>
      </c>
      <c r="G154" s="16">
        <f t="shared" si="40"/>
        <v>126.67222222221935</v>
      </c>
      <c r="H154" s="17">
        <f t="shared" si="40"/>
        <v>107.37777777777831</v>
      </c>
      <c r="I154" s="17">
        <f t="shared" si="40"/>
        <v>114.08888888888856</v>
      </c>
      <c r="J154" s="17">
        <f t="shared" si="40"/>
        <v>118.28333333333279</v>
      </c>
      <c r="K154" s="18">
        <f t="shared" si="40"/>
        <v>98.988888888887416</v>
      </c>
      <c r="L154" s="18">
        <f t="shared" si="40"/>
        <v>105.70000000000192</v>
      </c>
      <c r="M154" s="18">
        <f t="shared" si="40"/>
        <v>109.89444444444278</v>
      </c>
      <c r="N154" s="19">
        <f t="shared" si="40"/>
        <v>77.177777777777351</v>
      </c>
      <c r="O154" s="19">
        <f t="shared" si="40"/>
        <v>83.888888888890392</v>
      </c>
      <c r="P154" s="19">
        <f t="shared" si="40"/>
        <v>88.083333333332334</v>
      </c>
      <c r="Q154" s="20">
        <f t="shared" si="40"/>
        <v>72.983333333334485</v>
      </c>
      <c r="R154" s="20">
        <f t="shared" si="40"/>
        <v>79.694444444445764</v>
      </c>
      <c r="S154" s="20">
        <f t="shared" si="40"/>
        <v>83.888888888890392</v>
      </c>
      <c r="T154" s="21">
        <f t="shared" si="39"/>
        <v>68.788888888890341</v>
      </c>
      <c r="U154" s="21">
        <f t="shared" si="39"/>
        <v>75.5</v>
      </c>
      <c r="V154" s="21">
        <f t="shared" si="39"/>
        <v>79.694444444445764</v>
      </c>
      <c r="W154" s="22">
        <f t="shared" si="39"/>
        <v>64.594444444444576</v>
      </c>
      <c r="X154" s="22">
        <f t="shared" si="39"/>
        <v>71.305555555554236</v>
      </c>
      <c r="Y154" s="22">
        <f t="shared" si="39"/>
        <v>75.5</v>
      </c>
      <c r="Z154" s="23">
        <f t="shared" si="39"/>
        <v>60.399999999998883</v>
      </c>
      <c r="AA154" s="23">
        <f t="shared" si="39"/>
        <v>67.111111111110432</v>
      </c>
      <c r="AB154" s="23">
        <f t="shared" si="39"/>
        <v>71.305555555554236</v>
      </c>
      <c r="AC154" s="24">
        <f t="shared" si="39"/>
        <v>56.20555555555579</v>
      </c>
      <c r="AD154" s="24">
        <f t="shared" si="39"/>
        <v>62.916666666666437</v>
      </c>
      <c r="AE154" s="24">
        <f t="shared" si="39"/>
        <v>67.111111111110432</v>
      </c>
      <c r="AF154" s="25">
        <f t="shared" si="39"/>
        <v>52.011111111110502</v>
      </c>
      <c r="AG154" s="25">
        <f t="shared" si="39"/>
        <v>58.722222222222882</v>
      </c>
      <c r="AH154" s="25">
        <f t="shared" si="39"/>
        <v>62.916666666666437</v>
      </c>
      <c r="AI154" s="26">
        <f t="shared" si="39"/>
        <v>47.816666666667089</v>
      </c>
      <c r="AJ154" s="26">
        <f t="shared" si="41"/>
        <v>54.527777777777118</v>
      </c>
      <c r="AK154" s="26">
        <f t="shared" si="41"/>
        <v>58.722222222222882</v>
      </c>
    </row>
    <row r="155" spans="4:37" ht="20.100000000000001" customHeight="1">
      <c r="D155" s="27">
        <f t="shared" si="38"/>
        <v>0.42222222222222122</v>
      </c>
      <c r="E155" s="16">
        <f t="shared" si="40"/>
        <v>116.53333333333153</v>
      </c>
      <c r="F155" s="16">
        <f t="shared" si="40"/>
        <v>123.28888888888926</v>
      </c>
      <c r="G155" s="16">
        <f t="shared" si="40"/>
        <v>127.51111111110824</v>
      </c>
      <c r="H155" s="17">
        <f t="shared" si="40"/>
        <v>108.08888888888941</v>
      </c>
      <c r="I155" s="17">
        <f t="shared" si="40"/>
        <v>114.84444444444412</v>
      </c>
      <c r="J155" s="17">
        <f t="shared" si="40"/>
        <v>119.06666666666612</v>
      </c>
      <c r="K155" s="18">
        <f t="shared" si="40"/>
        <v>99.644444444442968</v>
      </c>
      <c r="L155" s="18">
        <f t="shared" si="40"/>
        <v>106.40000000000192</v>
      </c>
      <c r="M155" s="18">
        <f t="shared" si="40"/>
        <v>110.62222222222056</v>
      </c>
      <c r="N155" s="19">
        <f t="shared" si="40"/>
        <v>77.688888888888457</v>
      </c>
      <c r="O155" s="19">
        <f t="shared" si="40"/>
        <v>84.444444444445949</v>
      </c>
      <c r="P155" s="19">
        <f t="shared" si="40"/>
        <v>88.666666666665662</v>
      </c>
      <c r="Q155" s="20">
        <f t="shared" si="40"/>
        <v>73.46666666666782</v>
      </c>
      <c r="R155" s="20">
        <f t="shared" si="40"/>
        <v>80.222222222223536</v>
      </c>
      <c r="S155" s="20">
        <f t="shared" si="40"/>
        <v>84.444444444445949</v>
      </c>
      <c r="T155" s="21">
        <f t="shared" si="39"/>
        <v>69.24444444444589</v>
      </c>
      <c r="U155" s="21">
        <f t="shared" si="39"/>
        <v>76</v>
      </c>
      <c r="V155" s="21">
        <f t="shared" si="39"/>
        <v>80.222222222223536</v>
      </c>
      <c r="W155" s="22">
        <f t="shared" si="39"/>
        <v>65.022222222222354</v>
      </c>
      <c r="X155" s="22">
        <f t="shared" si="39"/>
        <v>71.777777777776464</v>
      </c>
      <c r="Y155" s="22">
        <f t="shared" si="39"/>
        <v>76</v>
      </c>
      <c r="Z155" s="23">
        <f t="shared" si="39"/>
        <v>60.799999999998882</v>
      </c>
      <c r="AA155" s="23">
        <f t="shared" si="39"/>
        <v>67.555555555554875</v>
      </c>
      <c r="AB155" s="23">
        <f t="shared" si="39"/>
        <v>71.777777777776464</v>
      </c>
      <c r="AC155" s="24">
        <f t="shared" si="39"/>
        <v>56.57777777777801</v>
      </c>
      <c r="AD155" s="24">
        <f t="shared" si="39"/>
        <v>63.333333333333101</v>
      </c>
      <c r="AE155" s="24">
        <f t="shared" si="39"/>
        <v>67.555555555554875</v>
      </c>
      <c r="AF155" s="25">
        <f t="shared" si="39"/>
        <v>52.355555555554943</v>
      </c>
      <c r="AG155" s="25">
        <f t="shared" si="39"/>
        <v>59.111111111111768</v>
      </c>
      <c r="AH155" s="25">
        <f t="shared" si="39"/>
        <v>63.333333333333101</v>
      </c>
      <c r="AI155" s="26">
        <f t="shared" si="39"/>
        <v>48.133333333333759</v>
      </c>
      <c r="AJ155" s="26">
        <f t="shared" si="41"/>
        <v>54.888888888888232</v>
      </c>
      <c r="AK155" s="26">
        <f t="shared" si="41"/>
        <v>59.111111111111768</v>
      </c>
    </row>
    <row r="156" spans="4:37" ht="20.100000000000001" customHeight="1">
      <c r="D156" s="27">
        <f t="shared" si="38"/>
        <v>0.42499999999999899</v>
      </c>
      <c r="E156" s="16">
        <f t="shared" si="40"/>
        <v>117.29999999999819</v>
      </c>
      <c r="F156" s="16">
        <f t="shared" si="40"/>
        <v>124.10000000000038</v>
      </c>
      <c r="G156" s="16">
        <f t="shared" si="40"/>
        <v>128.34999999999712</v>
      </c>
      <c r="H156" s="17">
        <f t="shared" si="40"/>
        <v>108.80000000000052</v>
      </c>
      <c r="I156" s="17">
        <f t="shared" si="40"/>
        <v>115.59999999999968</v>
      </c>
      <c r="J156" s="17">
        <f t="shared" si="40"/>
        <v>119.84999999999945</v>
      </c>
      <c r="K156" s="18">
        <f t="shared" si="40"/>
        <v>100.29999999999852</v>
      </c>
      <c r="L156" s="18">
        <f t="shared" si="40"/>
        <v>107.10000000000193</v>
      </c>
      <c r="M156" s="18">
        <f t="shared" si="40"/>
        <v>111.34999999999833</v>
      </c>
      <c r="N156" s="19">
        <f t="shared" si="40"/>
        <v>78.199999999999562</v>
      </c>
      <c r="O156" s="19">
        <f t="shared" si="40"/>
        <v>85.000000000001506</v>
      </c>
      <c r="P156" s="19">
        <f t="shared" si="40"/>
        <v>89.249999999998991</v>
      </c>
      <c r="Q156" s="20">
        <f t="shared" si="40"/>
        <v>73.950000000001154</v>
      </c>
      <c r="R156" s="20">
        <f t="shared" si="40"/>
        <v>80.750000000001307</v>
      </c>
      <c r="S156" s="20">
        <f t="shared" si="40"/>
        <v>85.000000000001506</v>
      </c>
      <c r="T156" s="21">
        <f t="shared" si="39"/>
        <v>69.700000000001438</v>
      </c>
      <c r="U156" s="21">
        <f t="shared" si="39"/>
        <v>76.5</v>
      </c>
      <c r="V156" s="21">
        <f t="shared" si="39"/>
        <v>80.750000000001307</v>
      </c>
      <c r="W156" s="22">
        <f t="shared" si="39"/>
        <v>65.450000000000131</v>
      </c>
      <c r="X156" s="22">
        <f t="shared" si="39"/>
        <v>72.249999999998693</v>
      </c>
      <c r="Y156" s="22">
        <f t="shared" si="39"/>
        <v>76.5</v>
      </c>
      <c r="Z156" s="23">
        <f t="shared" si="39"/>
        <v>61.19999999999888</v>
      </c>
      <c r="AA156" s="23">
        <f t="shared" si="39"/>
        <v>67.999999999999318</v>
      </c>
      <c r="AB156" s="23">
        <f t="shared" si="39"/>
        <v>72.249999999998693</v>
      </c>
      <c r="AC156" s="24">
        <f t="shared" si="39"/>
        <v>56.95000000000023</v>
      </c>
      <c r="AD156" s="24">
        <f t="shared" si="39"/>
        <v>63.749999999999766</v>
      </c>
      <c r="AE156" s="24">
        <f t="shared" si="39"/>
        <v>67.999999999999318</v>
      </c>
      <c r="AF156" s="25">
        <f t="shared" si="39"/>
        <v>52.699999999999385</v>
      </c>
      <c r="AG156" s="25">
        <f t="shared" si="39"/>
        <v>59.500000000000654</v>
      </c>
      <c r="AH156" s="25">
        <f t="shared" si="39"/>
        <v>63.749999999999766</v>
      </c>
      <c r="AI156" s="26">
        <f t="shared" si="39"/>
        <v>48.450000000000429</v>
      </c>
      <c r="AJ156" s="26">
        <f t="shared" si="41"/>
        <v>55.249999999999346</v>
      </c>
      <c r="AK156" s="26">
        <f t="shared" si="41"/>
        <v>59.500000000000654</v>
      </c>
    </row>
    <row r="157" spans="4:37" ht="20.100000000000001" customHeight="1">
      <c r="D157" s="27">
        <f t="shared" si="38"/>
        <v>0.42777777777777676</v>
      </c>
      <c r="E157" s="16">
        <f t="shared" si="40"/>
        <v>118.06666666666486</v>
      </c>
      <c r="F157" s="16">
        <f t="shared" si="40"/>
        <v>124.9111111111115</v>
      </c>
      <c r="G157" s="16">
        <f t="shared" si="40"/>
        <v>129.18888888888603</v>
      </c>
      <c r="H157" s="17">
        <f t="shared" si="40"/>
        <v>109.51111111111163</v>
      </c>
      <c r="I157" s="17">
        <f t="shared" si="40"/>
        <v>116.35555555555524</v>
      </c>
      <c r="J157" s="17">
        <f t="shared" si="40"/>
        <v>120.63333333333279</v>
      </c>
      <c r="K157" s="18">
        <f t="shared" si="40"/>
        <v>100.95555555555407</v>
      </c>
      <c r="L157" s="18">
        <f t="shared" si="40"/>
        <v>107.80000000000193</v>
      </c>
      <c r="M157" s="18">
        <f t="shared" si="40"/>
        <v>112.07777777777611</v>
      </c>
      <c r="N157" s="19">
        <f t="shared" si="40"/>
        <v>78.711111111110668</v>
      </c>
      <c r="O157" s="19">
        <f t="shared" si="40"/>
        <v>85.555555555557063</v>
      </c>
      <c r="P157" s="19">
        <f t="shared" si="40"/>
        <v>89.83333333333232</v>
      </c>
      <c r="Q157" s="20">
        <f t="shared" si="40"/>
        <v>74.433333333334488</v>
      </c>
      <c r="R157" s="20">
        <f t="shared" si="40"/>
        <v>81.277777777779079</v>
      </c>
      <c r="S157" s="20">
        <f t="shared" si="40"/>
        <v>85.555555555557063</v>
      </c>
      <c r="T157" s="21">
        <f t="shared" si="39"/>
        <v>70.155555555556987</v>
      </c>
      <c r="U157" s="21">
        <f t="shared" si="39"/>
        <v>77</v>
      </c>
      <c r="V157" s="21">
        <f t="shared" si="39"/>
        <v>81.277777777779079</v>
      </c>
      <c r="W157" s="22">
        <f t="shared" si="39"/>
        <v>65.877777777777908</v>
      </c>
      <c r="X157" s="22">
        <f t="shared" si="39"/>
        <v>72.722222222220921</v>
      </c>
      <c r="Y157" s="22">
        <f t="shared" si="39"/>
        <v>77</v>
      </c>
      <c r="Z157" s="23">
        <f t="shared" si="39"/>
        <v>61.599999999998879</v>
      </c>
      <c r="AA157" s="23">
        <f t="shared" si="39"/>
        <v>68.444444444443761</v>
      </c>
      <c r="AB157" s="23">
        <f t="shared" si="39"/>
        <v>72.722222222220921</v>
      </c>
      <c r="AC157" s="24">
        <f t="shared" si="39"/>
        <v>57.32222222222245</v>
      </c>
      <c r="AD157" s="24">
        <f t="shared" si="39"/>
        <v>64.16666666666643</v>
      </c>
      <c r="AE157" s="24">
        <f t="shared" si="39"/>
        <v>68.444444444443761</v>
      </c>
      <c r="AF157" s="25">
        <f t="shared" si="39"/>
        <v>53.044444444443826</v>
      </c>
      <c r="AG157" s="25">
        <f t="shared" si="39"/>
        <v>59.888888888889539</v>
      </c>
      <c r="AH157" s="25">
        <f t="shared" si="39"/>
        <v>64.16666666666643</v>
      </c>
      <c r="AI157" s="26">
        <f t="shared" si="39"/>
        <v>48.766666666667099</v>
      </c>
      <c r="AJ157" s="26">
        <f t="shared" si="41"/>
        <v>55.611111111110461</v>
      </c>
      <c r="AK157" s="26">
        <f t="shared" si="41"/>
        <v>59.888888888889539</v>
      </c>
    </row>
    <row r="158" spans="4:37" ht="20.100000000000001" customHeight="1">
      <c r="D158" s="27">
        <f t="shared" si="38"/>
        <v>0.43055555555555453</v>
      </c>
      <c r="E158" s="16">
        <f t="shared" si="40"/>
        <v>118.83333333333152</v>
      </c>
      <c r="F158" s="16">
        <f t="shared" si="40"/>
        <v>125.72222222222261</v>
      </c>
      <c r="G158" s="16">
        <f t="shared" si="40"/>
        <v>130.02777777777493</v>
      </c>
      <c r="H158" s="17">
        <f t="shared" si="40"/>
        <v>110.22222222222274</v>
      </c>
      <c r="I158" s="17">
        <f t="shared" si="40"/>
        <v>117.1111111111108</v>
      </c>
      <c r="J158" s="17">
        <f t="shared" si="40"/>
        <v>121.41666666666612</v>
      </c>
      <c r="K158" s="18">
        <f t="shared" si="40"/>
        <v>101.61111111110962</v>
      </c>
      <c r="L158" s="18">
        <f t="shared" si="40"/>
        <v>108.50000000000193</v>
      </c>
      <c r="M158" s="18">
        <f t="shared" si="40"/>
        <v>112.80555555555388</v>
      </c>
      <c r="N158" s="19">
        <f t="shared" si="40"/>
        <v>79.222222222221774</v>
      </c>
      <c r="O158" s="19">
        <f t="shared" si="40"/>
        <v>86.111111111112621</v>
      </c>
      <c r="P158" s="19">
        <f t="shared" si="40"/>
        <v>90.416666666665648</v>
      </c>
      <c r="Q158" s="20">
        <f t="shared" si="40"/>
        <v>74.916666666667822</v>
      </c>
      <c r="R158" s="20">
        <f t="shared" si="40"/>
        <v>81.80555555555685</v>
      </c>
      <c r="S158" s="20">
        <f t="shared" si="40"/>
        <v>86.111111111112621</v>
      </c>
      <c r="T158" s="21">
        <f t="shared" si="39"/>
        <v>70.611111111112535</v>
      </c>
      <c r="U158" s="21">
        <f t="shared" si="39"/>
        <v>77.5</v>
      </c>
      <c r="V158" s="21">
        <f t="shared" si="39"/>
        <v>81.80555555555685</v>
      </c>
      <c r="W158" s="22">
        <f t="shared" si="39"/>
        <v>66.305555555555685</v>
      </c>
      <c r="X158" s="22">
        <f t="shared" si="39"/>
        <v>73.19444444444315</v>
      </c>
      <c r="Y158" s="22">
        <f t="shared" si="39"/>
        <v>77.5</v>
      </c>
      <c r="Z158" s="23">
        <f t="shared" si="39"/>
        <v>61.999999999998877</v>
      </c>
      <c r="AA158" s="23">
        <f t="shared" si="39"/>
        <v>68.888888888888204</v>
      </c>
      <c r="AB158" s="23">
        <f t="shared" si="39"/>
        <v>73.19444444444315</v>
      </c>
      <c r="AC158" s="24">
        <f t="shared" si="39"/>
        <v>57.69444444444467</v>
      </c>
      <c r="AD158" s="24">
        <f t="shared" si="39"/>
        <v>64.583333333333101</v>
      </c>
      <c r="AE158" s="24">
        <f t="shared" si="39"/>
        <v>68.888888888888204</v>
      </c>
      <c r="AF158" s="25">
        <f t="shared" si="39"/>
        <v>53.388888888888268</v>
      </c>
      <c r="AG158" s="25">
        <f t="shared" si="39"/>
        <v>60.277777777778425</v>
      </c>
      <c r="AH158" s="25">
        <f t="shared" si="39"/>
        <v>64.583333333333101</v>
      </c>
      <c r="AI158" s="26">
        <f t="shared" si="39"/>
        <v>49.083333333333769</v>
      </c>
      <c r="AJ158" s="26">
        <f t="shared" si="41"/>
        <v>55.972222222221575</v>
      </c>
      <c r="AK158" s="26">
        <f t="shared" si="41"/>
        <v>60.277777777778425</v>
      </c>
    </row>
    <row r="159" spans="4:37" ht="20.100000000000001" customHeight="1">
      <c r="D159" s="27">
        <f t="shared" si="38"/>
        <v>0.43333333333333229</v>
      </c>
      <c r="E159" s="16">
        <f t="shared" si="40"/>
        <v>119.59999999999819</v>
      </c>
      <c r="F159" s="16">
        <f t="shared" si="40"/>
        <v>126.53333333333373</v>
      </c>
      <c r="G159" s="16">
        <f t="shared" si="40"/>
        <v>130.86666666666383</v>
      </c>
      <c r="H159" s="17">
        <f t="shared" si="40"/>
        <v>110.93333333333385</v>
      </c>
      <c r="I159" s="17">
        <f t="shared" si="40"/>
        <v>117.86666666666636</v>
      </c>
      <c r="J159" s="17">
        <f t="shared" si="40"/>
        <v>122.19999999999945</v>
      </c>
      <c r="K159" s="18">
        <f t="shared" si="40"/>
        <v>102.26666666666517</v>
      </c>
      <c r="L159" s="18">
        <f t="shared" si="40"/>
        <v>109.20000000000194</v>
      </c>
      <c r="M159" s="18">
        <f t="shared" si="40"/>
        <v>113.53333333333165</v>
      </c>
      <c r="N159" s="19">
        <f t="shared" si="40"/>
        <v>79.73333333333288</v>
      </c>
      <c r="O159" s="19">
        <f t="shared" si="40"/>
        <v>86.666666666668178</v>
      </c>
      <c r="P159" s="19">
        <f t="shared" si="40"/>
        <v>90.999999999998977</v>
      </c>
      <c r="Q159" s="20">
        <f t="shared" si="40"/>
        <v>75.400000000001157</v>
      </c>
      <c r="R159" s="20">
        <f t="shared" si="40"/>
        <v>82.333333333334622</v>
      </c>
      <c r="S159" s="20">
        <f t="shared" si="40"/>
        <v>86.666666666668178</v>
      </c>
      <c r="T159" s="21">
        <f t="shared" si="39"/>
        <v>71.066666666668084</v>
      </c>
      <c r="U159" s="21">
        <f t="shared" si="39"/>
        <v>78</v>
      </c>
      <c r="V159" s="21">
        <f t="shared" si="39"/>
        <v>82.333333333334622</v>
      </c>
      <c r="W159" s="22">
        <f t="shared" si="39"/>
        <v>66.733333333333462</v>
      </c>
      <c r="X159" s="22">
        <f t="shared" si="39"/>
        <v>73.666666666665378</v>
      </c>
      <c r="Y159" s="22">
        <f t="shared" si="39"/>
        <v>78</v>
      </c>
      <c r="Z159" s="23">
        <f t="shared" si="39"/>
        <v>62.399999999998876</v>
      </c>
      <c r="AA159" s="23">
        <f t="shared" si="39"/>
        <v>69.333333333332646</v>
      </c>
      <c r="AB159" s="23">
        <f t="shared" si="39"/>
        <v>73.666666666665378</v>
      </c>
      <c r="AC159" s="24">
        <f t="shared" si="39"/>
        <v>58.06666666666689</v>
      </c>
      <c r="AD159" s="24">
        <f t="shared" si="39"/>
        <v>64.999999999999773</v>
      </c>
      <c r="AE159" s="24">
        <f t="shared" si="39"/>
        <v>69.333333333332646</v>
      </c>
      <c r="AF159" s="25">
        <f t="shared" si="39"/>
        <v>53.733333333332709</v>
      </c>
      <c r="AG159" s="25">
        <f t="shared" si="39"/>
        <v>60.666666666667311</v>
      </c>
      <c r="AH159" s="25">
        <f t="shared" si="39"/>
        <v>64.999999999999773</v>
      </c>
      <c r="AI159" s="26">
        <f t="shared" si="39"/>
        <v>49.400000000000439</v>
      </c>
      <c r="AJ159" s="26">
        <f t="shared" si="41"/>
        <v>56.333333333332689</v>
      </c>
      <c r="AK159" s="26">
        <f t="shared" si="41"/>
        <v>60.666666666667311</v>
      </c>
    </row>
    <row r="160" spans="4:37" ht="20.100000000000001" customHeight="1">
      <c r="D160" s="27">
        <f t="shared" si="38"/>
        <v>0.43611111111111006</v>
      </c>
      <c r="E160" s="16">
        <f t="shared" si="40"/>
        <v>120.36666666666486</v>
      </c>
      <c r="F160" s="16">
        <f t="shared" si="40"/>
        <v>127.34444444444485</v>
      </c>
      <c r="G160" s="16">
        <f t="shared" si="40"/>
        <v>131.70555555555273</v>
      </c>
      <c r="H160" s="17">
        <f t="shared" si="40"/>
        <v>111.64444444444496</v>
      </c>
      <c r="I160" s="17">
        <f t="shared" si="40"/>
        <v>118.62222222222192</v>
      </c>
      <c r="J160" s="17">
        <f t="shared" si="40"/>
        <v>122.98333333333278</v>
      </c>
      <c r="K160" s="18">
        <f t="shared" si="40"/>
        <v>102.92222222222073</v>
      </c>
      <c r="L160" s="18">
        <f t="shared" si="40"/>
        <v>109.90000000000194</v>
      </c>
      <c r="M160" s="18">
        <f t="shared" si="40"/>
        <v>114.26111111110943</v>
      </c>
      <c r="N160" s="19">
        <f t="shared" si="40"/>
        <v>80.244444444443985</v>
      </c>
      <c r="O160" s="19">
        <f t="shared" si="40"/>
        <v>87.222222222223735</v>
      </c>
      <c r="P160" s="19">
        <f t="shared" si="40"/>
        <v>91.583333333332305</v>
      </c>
      <c r="Q160" s="20">
        <f t="shared" si="40"/>
        <v>75.883333333334491</v>
      </c>
      <c r="R160" s="20">
        <f t="shared" si="40"/>
        <v>82.861111111112393</v>
      </c>
      <c r="S160" s="20">
        <f t="shared" si="40"/>
        <v>87.222222222223735</v>
      </c>
      <c r="T160" s="21">
        <f t="shared" si="39"/>
        <v>71.522222222223633</v>
      </c>
      <c r="U160" s="21">
        <f t="shared" si="39"/>
        <v>78.5</v>
      </c>
      <c r="V160" s="21">
        <f t="shared" si="39"/>
        <v>82.861111111112393</v>
      </c>
      <c r="W160" s="22">
        <f t="shared" si="39"/>
        <v>67.161111111111239</v>
      </c>
      <c r="X160" s="22">
        <f t="shared" si="39"/>
        <v>74.138888888887607</v>
      </c>
      <c r="Y160" s="22">
        <f t="shared" si="39"/>
        <v>78.5</v>
      </c>
      <c r="Z160" s="23">
        <f t="shared" si="39"/>
        <v>62.799999999998875</v>
      </c>
      <c r="AA160" s="23">
        <f t="shared" si="39"/>
        <v>69.777777777777089</v>
      </c>
      <c r="AB160" s="23">
        <f t="shared" si="39"/>
        <v>74.138888888887607</v>
      </c>
      <c r="AC160" s="24">
        <f t="shared" si="39"/>
        <v>58.43888888888911</v>
      </c>
      <c r="AD160" s="24">
        <f t="shared" si="39"/>
        <v>65.416666666666444</v>
      </c>
      <c r="AE160" s="24">
        <f t="shared" si="39"/>
        <v>69.777777777777089</v>
      </c>
      <c r="AF160" s="25">
        <f t="shared" si="39"/>
        <v>54.07777777777715</v>
      </c>
      <c r="AG160" s="25">
        <f t="shared" si="39"/>
        <v>61.055555555556197</v>
      </c>
      <c r="AH160" s="25">
        <f t="shared" si="39"/>
        <v>65.416666666666444</v>
      </c>
      <c r="AI160" s="26">
        <f t="shared" si="39"/>
        <v>49.716666666667109</v>
      </c>
      <c r="AJ160" s="26">
        <f t="shared" si="41"/>
        <v>56.694444444443803</v>
      </c>
      <c r="AK160" s="26">
        <f t="shared" si="41"/>
        <v>61.055555555556197</v>
      </c>
    </row>
    <row r="161" spans="4:37" ht="20.100000000000001" customHeight="1">
      <c r="D161" s="27">
        <f t="shared" si="38"/>
        <v>0.43888888888888783</v>
      </c>
      <c r="E161" s="16">
        <f t="shared" si="40"/>
        <v>121.13333333333152</v>
      </c>
      <c r="F161" s="16">
        <f t="shared" si="40"/>
        <v>128.15555555555596</v>
      </c>
      <c r="G161" s="16">
        <f t="shared" si="40"/>
        <v>132.54444444444164</v>
      </c>
      <c r="H161" s="17">
        <f t="shared" si="40"/>
        <v>112.35555555555607</v>
      </c>
      <c r="I161" s="17">
        <f t="shared" si="40"/>
        <v>119.37777777777748</v>
      </c>
      <c r="J161" s="17">
        <f t="shared" si="40"/>
        <v>123.76666666666611</v>
      </c>
      <c r="K161" s="18">
        <f t="shared" si="40"/>
        <v>103.57777777777628</v>
      </c>
      <c r="L161" s="18">
        <f t="shared" si="40"/>
        <v>110.60000000000194</v>
      </c>
      <c r="M161" s="18">
        <f t="shared" si="40"/>
        <v>114.9888888888872</v>
      </c>
      <c r="N161" s="19">
        <f t="shared" si="40"/>
        <v>80.755555555555091</v>
      </c>
      <c r="O161" s="19">
        <f t="shared" si="40"/>
        <v>87.777777777779292</v>
      </c>
      <c r="P161" s="19">
        <f t="shared" si="40"/>
        <v>92.166666666665634</v>
      </c>
      <c r="Q161" s="20">
        <f t="shared" si="40"/>
        <v>76.366666666667825</v>
      </c>
      <c r="R161" s="20">
        <f t="shared" si="40"/>
        <v>83.388888888890165</v>
      </c>
      <c r="S161" s="20">
        <f t="shared" si="40"/>
        <v>87.777777777779292</v>
      </c>
      <c r="T161" s="21">
        <f t="shared" si="39"/>
        <v>71.977777777779181</v>
      </c>
      <c r="U161" s="21">
        <f t="shared" si="39"/>
        <v>79</v>
      </c>
      <c r="V161" s="21">
        <f t="shared" si="39"/>
        <v>83.388888888890165</v>
      </c>
      <c r="W161" s="22">
        <f t="shared" si="39"/>
        <v>67.588888888889016</v>
      </c>
      <c r="X161" s="22">
        <f t="shared" si="39"/>
        <v>74.611111111109835</v>
      </c>
      <c r="Y161" s="22">
        <f t="shared" si="39"/>
        <v>79</v>
      </c>
      <c r="Z161" s="23">
        <f t="shared" si="39"/>
        <v>63.199999999998873</v>
      </c>
      <c r="AA161" s="23">
        <f t="shared" si="39"/>
        <v>70.222222222221532</v>
      </c>
      <c r="AB161" s="23">
        <f t="shared" si="39"/>
        <v>74.611111111109835</v>
      </c>
      <c r="AC161" s="24">
        <f t="shared" si="39"/>
        <v>58.81111111111133</v>
      </c>
      <c r="AD161" s="24">
        <f t="shared" si="39"/>
        <v>65.833333333333115</v>
      </c>
      <c r="AE161" s="24">
        <f t="shared" si="39"/>
        <v>70.222222222221532</v>
      </c>
      <c r="AF161" s="25">
        <f t="shared" si="39"/>
        <v>54.422222222221592</v>
      </c>
      <c r="AG161" s="25">
        <f t="shared" si="39"/>
        <v>61.444444444445082</v>
      </c>
      <c r="AH161" s="25">
        <f t="shared" si="39"/>
        <v>65.833333333333115</v>
      </c>
      <c r="AI161" s="26">
        <f t="shared" si="39"/>
        <v>50.033333333333779</v>
      </c>
      <c r="AJ161" s="26">
        <f t="shared" si="41"/>
        <v>57.055555555554918</v>
      </c>
      <c r="AK161" s="26">
        <f t="shared" si="41"/>
        <v>61.444444444445082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121.89999999999819</v>
      </c>
      <c r="F162" s="16">
        <f t="shared" si="42"/>
        <v>128.96666666666707</v>
      </c>
      <c r="G162" s="16">
        <f t="shared" si="42"/>
        <v>133.38333333333054</v>
      </c>
      <c r="H162" s="17">
        <f t="shared" si="42"/>
        <v>113.06666666666717</v>
      </c>
      <c r="I162" s="17">
        <f t="shared" si="42"/>
        <v>120.13333333333304</v>
      </c>
      <c r="J162" s="17">
        <f t="shared" si="42"/>
        <v>124.54999999999944</v>
      </c>
      <c r="K162" s="18">
        <f t="shared" si="42"/>
        <v>104.23333333333183</v>
      </c>
      <c r="L162" s="18">
        <f t="shared" si="42"/>
        <v>111.30000000000194</v>
      </c>
      <c r="M162" s="18">
        <f t="shared" si="42"/>
        <v>115.71666666666498</v>
      </c>
      <c r="N162" s="19">
        <f t="shared" si="42"/>
        <v>81.266666666666197</v>
      </c>
      <c r="O162" s="19">
        <f t="shared" si="42"/>
        <v>88.333333333334849</v>
      </c>
      <c r="P162" s="19">
        <f t="shared" si="42"/>
        <v>92.749999999998963</v>
      </c>
      <c r="Q162" s="20">
        <f t="shared" si="42"/>
        <v>76.85000000000116</v>
      </c>
      <c r="R162" s="20">
        <f t="shared" si="42"/>
        <v>83.916666666667936</v>
      </c>
      <c r="S162" s="20">
        <f t="shared" si="42"/>
        <v>88.333333333334849</v>
      </c>
      <c r="T162" s="21">
        <f t="shared" si="42"/>
        <v>72.43333333333473</v>
      </c>
      <c r="U162" s="21">
        <f t="shared" si="39"/>
        <v>79.5</v>
      </c>
      <c r="V162" s="21">
        <f t="shared" si="39"/>
        <v>83.916666666667936</v>
      </c>
      <c r="W162" s="22">
        <f t="shared" si="39"/>
        <v>68.016666666666794</v>
      </c>
      <c r="X162" s="22">
        <f t="shared" si="39"/>
        <v>75.083333333332064</v>
      </c>
      <c r="Y162" s="22">
        <f t="shared" si="39"/>
        <v>79.5</v>
      </c>
      <c r="Z162" s="23">
        <f t="shared" si="39"/>
        <v>63.599999999998872</v>
      </c>
      <c r="AA162" s="23">
        <f t="shared" si="39"/>
        <v>70.666666666665975</v>
      </c>
      <c r="AB162" s="23">
        <f t="shared" si="39"/>
        <v>75.083333333332064</v>
      </c>
      <c r="AC162" s="24">
        <f t="shared" si="39"/>
        <v>59.18333333333355</v>
      </c>
      <c r="AD162" s="24">
        <f t="shared" si="39"/>
        <v>66.249999999999787</v>
      </c>
      <c r="AE162" s="24">
        <f t="shared" si="39"/>
        <v>70.666666666665975</v>
      </c>
      <c r="AF162" s="25">
        <f t="shared" si="39"/>
        <v>54.766666666666033</v>
      </c>
      <c r="AG162" s="25">
        <f t="shared" ref="AF162:AK198" si="43">AG163-(AG$363/360)</f>
        <v>61.833333333333968</v>
      </c>
      <c r="AH162" s="25">
        <f t="shared" si="43"/>
        <v>66.249999999999787</v>
      </c>
      <c r="AI162" s="26">
        <f t="shared" si="43"/>
        <v>50.350000000000449</v>
      </c>
      <c r="AJ162" s="26">
        <f t="shared" si="43"/>
        <v>57.416666666666032</v>
      </c>
      <c r="AK162" s="26">
        <f t="shared" si="43"/>
        <v>61.833333333333968</v>
      </c>
    </row>
    <row r="163" spans="4:37" ht="20.100000000000001" customHeight="1">
      <c r="D163" s="27">
        <f t="shared" si="38"/>
        <v>0.44444444444444337</v>
      </c>
      <c r="E163" s="16">
        <f t="shared" si="42"/>
        <v>122.66666666666485</v>
      </c>
      <c r="F163" s="16">
        <f t="shared" si="42"/>
        <v>129.77777777777817</v>
      </c>
      <c r="G163" s="16">
        <f t="shared" si="42"/>
        <v>134.22222222221944</v>
      </c>
      <c r="H163" s="17">
        <f t="shared" si="42"/>
        <v>113.77777777777828</v>
      </c>
      <c r="I163" s="17">
        <f t="shared" si="42"/>
        <v>120.8888888888886</v>
      </c>
      <c r="J163" s="17">
        <f t="shared" si="42"/>
        <v>125.33333333333277</v>
      </c>
      <c r="K163" s="18">
        <f t="shared" si="42"/>
        <v>104.88888888888738</v>
      </c>
      <c r="L163" s="18">
        <f t="shared" si="42"/>
        <v>112.00000000000195</v>
      </c>
      <c r="M163" s="18">
        <f t="shared" si="42"/>
        <v>116.44444444444275</v>
      </c>
      <c r="N163" s="19">
        <f t="shared" si="42"/>
        <v>81.777777777777303</v>
      </c>
      <c r="O163" s="19">
        <f t="shared" si="42"/>
        <v>88.888888888890406</v>
      </c>
      <c r="P163" s="19">
        <f t="shared" si="42"/>
        <v>93.333333333332291</v>
      </c>
      <c r="Q163" s="20">
        <f t="shared" si="42"/>
        <v>77.333333333334494</v>
      </c>
      <c r="R163" s="20">
        <f t="shared" si="42"/>
        <v>84.444444444445708</v>
      </c>
      <c r="S163" s="20">
        <f t="shared" si="42"/>
        <v>88.888888888890406</v>
      </c>
      <c r="T163" s="21">
        <f t="shared" si="42"/>
        <v>72.888888888890278</v>
      </c>
      <c r="U163" s="21">
        <f t="shared" ref="U163:AJ180" si="44">U164-(U$363/360)</f>
        <v>80</v>
      </c>
      <c r="V163" s="21">
        <f t="shared" si="44"/>
        <v>84.444444444445708</v>
      </c>
      <c r="W163" s="22">
        <f t="shared" si="44"/>
        <v>68.444444444444571</v>
      </c>
      <c r="X163" s="22">
        <f t="shared" si="44"/>
        <v>75.555555555554292</v>
      </c>
      <c r="Y163" s="22">
        <f t="shared" si="44"/>
        <v>80</v>
      </c>
      <c r="Z163" s="23">
        <f t="shared" si="44"/>
        <v>63.99999999999887</v>
      </c>
      <c r="AA163" s="23">
        <f t="shared" si="44"/>
        <v>71.111111111110418</v>
      </c>
      <c r="AB163" s="23">
        <f t="shared" si="44"/>
        <v>75.555555555554292</v>
      </c>
      <c r="AC163" s="24">
        <f t="shared" si="44"/>
        <v>59.55555555555577</v>
      </c>
      <c r="AD163" s="24">
        <f t="shared" si="44"/>
        <v>66.666666666666458</v>
      </c>
      <c r="AE163" s="24">
        <f t="shared" si="44"/>
        <v>71.111111111110418</v>
      </c>
      <c r="AF163" s="25">
        <f t="shared" si="44"/>
        <v>55.111111111110475</v>
      </c>
      <c r="AG163" s="25">
        <f t="shared" si="44"/>
        <v>62.222222222222854</v>
      </c>
      <c r="AH163" s="25">
        <f t="shared" si="44"/>
        <v>66.666666666666458</v>
      </c>
      <c r="AI163" s="26">
        <f t="shared" si="44"/>
        <v>50.666666666667119</v>
      </c>
      <c r="AJ163" s="26">
        <f t="shared" si="44"/>
        <v>57.777777777777146</v>
      </c>
      <c r="AK163" s="26">
        <f t="shared" si="43"/>
        <v>62.222222222222854</v>
      </c>
    </row>
    <row r="164" spans="4:37" ht="20.100000000000001" customHeight="1">
      <c r="D164" s="27">
        <f t="shared" si="38"/>
        <v>0.44722222222222113</v>
      </c>
      <c r="E164" s="16">
        <f t="shared" si="42"/>
        <v>123.43333333333152</v>
      </c>
      <c r="F164" s="16">
        <f t="shared" si="42"/>
        <v>130.58888888888927</v>
      </c>
      <c r="G164" s="16">
        <f t="shared" si="42"/>
        <v>135.06111111110835</v>
      </c>
      <c r="H164" s="17">
        <f t="shared" si="42"/>
        <v>114.48888888888939</v>
      </c>
      <c r="I164" s="17">
        <f t="shared" si="42"/>
        <v>121.64444444444416</v>
      </c>
      <c r="J164" s="17">
        <f t="shared" si="42"/>
        <v>126.11666666666611</v>
      </c>
      <c r="K164" s="18">
        <f t="shared" si="42"/>
        <v>105.54444444444293</v>
      </c>
      <c r="L164" s="18">
        <f t="shared" si="42"/>
        <v>112.70000000000195</v>
      </c>
      <c r="M164" s="18">
        <f t="shared" si="42"/>
        <v>117.17222222222053</v>
      </c>
      <c r="N164" s="19">
        <f t="shared" si="42"/>
        <v>82.288888888888408</v>
      </c>
      <c r="O164" s="19">
        <f t="shared" si="42"/>
        <v>89.444444444445963</v>
      </c>
      <c r="P164" s="19">
        <f t="shared" si="42"/>
        <v>93.91666666666562</v>
      </c>
      <c r="Q164" s="20">
        <f t="shared" si="42"/>
        <v>77.816666666667828</v>
      </c>
      <c r="R164" s="20">
        <f t="shared" si="42"/>
        <v>84.972222222223479</v>
      </c>
      <c r="S164" s="20">
        <f t="shared" si="42"/>
        <v>89.444444444445963</v>
      </c>
      <c r="T164" s="21">
        <f t="shared" si="42"/>
        <v>73.344444444445827</v>
      </c>
      <c r="U164" s="21">
        <f t="shared" si="44"/>
        <v>80.5</v>
      </c>
      <c r="V164" s="21">
        <f t="shared" si="44"/>
        <v>84.972222222223479</v>
      </c>
      <c r="W164" s="22">
        <f t="shared" si="44"/>
        <v>68.872222222222348</v>
      </c>
      <c r="X164" s="22">
        <f t="shared" si="44"/>
        <v>76.027777777776521</v>
      </c>
      <c r="Y164" s="22">
        <f t="shared" si="44"/>
        <v>80.5</v>
      </c>
      <c r="Z164" s="23">
        <f t="shared" si="44"/>
        <v>64.399999999998869</v>
      </c>
      <c r="AA164" s="23">
        <f t="shared" si="44"/>
        <v>71.555555555554861</v>
      </c>
      <c r="AB164" s="23">
        <f t="shared" si="44"/>
        <v>76.027777777776521</v>
      </c>
      <c r="AC164" s="24">
        <f t="shared" si="44"/>
        <v>59.92777777777799</v>
      </c>
      <c r="AD164" s="24">
        <f t="shared" si="44"/>
        <v>67.08333333333313</v>
      </c>
      <c r="AE164" s="24">
        <f t="shared" si="44"/>
        <v>71.555555555554861</v>
      </c>
      <c r="AF164" s="25">
        <f t="shared" si="44"/>
        <v>55.455555555554916</v>
      </c>
      <c r="AG164" s="25">
        <f t="shared" si="44"/>
        <v>62.61111111111174</v>
      </c>
      <c r="AH164" s="25">
        <f t="shared" si="44"/>
        <v>67.08333333333313</v>
      </c>
      <c r="AI164" s="26">
        <f t="shared" si="44"/>
        <v>50.983333333333789</v>
      </c>
      <c r="AJ164" s="26">
        <f t="shared" si="44"/>
        <v>58.13888888888826</v>
      </c>
      <c r="AK164" s="26">
        <f t="shared" si="43"/>
        <v>62.61111111111174</v>
      </c>
    </row>
    <row r="165" spans="4:37" ht="20.100000000000001" customHeight="1">
      <c r="D165" s="27">
        <f t="shared" si="38"/>
        <v>0.4499999999999989</v>
      </c>
      <c r="E165" s="16">
        <f t="shared" si="42"/>
        <v>124.19999999999818</v>
      </c>
      <c r="F165" s="16">
        <f t="shared" si="42"/>
        <v>131.40000000000038</v>
      </c>
      <c r="G165" s="16">
        <f t="shared" si="42"/>
        <v>135.89999999999725</v>
      </c>
      <c r="H165" s="17">
        <f t="shared" si="42"/>
        <v>115.2000000000005</v>
      </c>
      <c r="I165" s="17">
        <f t="shared" si="42"/>
        <v>122.39999999999972</v>
      </c>
      <c r="J165" s="17">
        <f t="shared" si="42"/>
        <v>126.89999999999944</v>
      </c>
      <c r="K165" s="18">
        <f t="shared" si="42"/>
        <v>106.19999999999848</v>
      </c>
      <c r="L165" s="18">
        <f t="shared" si="42"/>
        <v>113.40000000000195</v>
      </c>
      <c r="M165" s="18">
        <f t="shared" si="42"/>
        <v>117.8999999999983</v>
      </c>
      <c r="N165" s="19">
        <f t="shared" si="42"/>
        <v>82.799999999999514</v>
      </c>
      <c r="O165" s="19">
        <f t="shared" si="42"/>
        <v>90.000000000001521</v>
      </c>
      <c r="P165" s="19">
        <f t="shared" si="42"/>
        <v>94.499999999998948</v>
      </c>
      <c r="Q165" s="20">
        <f t="shared" si="42"/>
        <v>78.300000000001162</v>
      </c>
      <c r="R165" s="20">
        <f t="shared" si="42"/>
        <v>85.500000000001251</v>
      </c>
      <c r="S165" s="20">
        <f t="shared" si="42"/>
        <v>90.000000000001521</v>
      </c>
      <c r="T165" s="21">
        <f t="shared" si="42"/>
        <v>73.800000000001376</v>
      </c>
      <c r="U165" s="21">
        <f t="shared" si="44"/>
        <v>81</v>
      </c>
      <c r="V165" s="21">
        <f t="shared" si="44"/>
        <v>85.500000000001251</v>
      </c>
      <c r="W165" s="22">
        <f t="shared" si="44"/>
        <v>69.300000000000125</v>
      </c>
      <c r="X165" s="22">
        <f t="shared" si="44"/>
        <v>76.499999999998749</v>
      </c>
      <c r="Y165" s="22">
        <f t="shared" si="44"/>
        <v>81</v>
      </c>
      <c r="Z165" s="23">
        <f t="shared" si="44"/>
        <v>64.799999999998875</v>
      </c>
      <c r="AA165" s="23">
        <f t="shared" si="44"/>
        <v>71.999999999999304</v>
      </c>
      <c r="AB165" s="23">
        <f t="shared" si="44"/>
        <v>76.499999999998749</v>
      </c>
      <c r="AC165" s="24">
        <f t="shared" si="44"/>
        <v>60.30000000000021</v>
      </c>
      <c r="AD165" s="24">
        <f t="shared" si="44"/>
        <v>67.499999999999801</v>
      </c>
      <c r="AE165" s="24">
        <f t="shared" si="44"/>
        <v>71.999999999999304</v>
      </c>
      <c r="AF165" s="25">
        <f t="shared" si="44"/>
        <v>55.799999999999358</v>
      </c>
      <c r="AG165" s="25">
        <f t="shared" si="44"/>
        <v>63.000000000000625</v>
      </c>
      <c r="AH165" s="25">
        <f t="shared" si="44"/>
        <v>67.499999999999801</v>
      </c>
      <c r="AI165" s="26">
        <f t="shared" si="44"/>
        <v>51.300000000000459</v>
      </c>
      <c r="AJ165" s="26">
        <f t="shared" si="44"/>
        <v>58.499999999999375</v>
      </c>
      <c r="AK165" s="26">
        <f t="shared" si="43"/>
        <v>63.000000000000625</v>
      </c>
    </row>
    <row r="166" spans="4:37" ht="20.100000000000001" customHeight="1">
      <c r="D166" s="27">
        <f t="shared" si="38"/>
        <v>0.45277777777777667</v>
      </c>
      <c r="E166" s="16">
        <f t="shared" si="42"/>
        <v>124.96666666666485</v>
      </c>
      <c r="F166" s="16">
        <f t="shared" si="42"/>
        <v>132.21111111111148</v>
      </c>
      <c r="G166" s="16">
        <f t="shared" si="42"/>
        <v>136.73888888888615</v>
      </c>
      <c r="H166" s="17">
        <f t="shared" si="42"/>
        <v>115.91111111111161</v>
      </c>
      <c r="I166" s="17">
        <f t="shared" si="42"/>
        <v>123.15555555555528</v>
      </c>
      <c r="J166" s="17">
        <f t="shared" si="42"/>
        <v>127.68333333333277</v>
      </c>
      <c r="K166" s="18">
        <f t="shared" si="42"/>
        <v>106.85555555555403</v>
      </c>
      <c r="L166" s="18">
        <f t="shared" si="42"/>
        <v>114.10000000000196</v>
      </c>
      <c r="M166" s="18">
        <f t="shared" si="42"/>
        <v>118.62777777777607</v>
      </c>
      <c r="N166" s="19">
        <f t="shared" si="42"/>
        <v>83.31111111111062</v>
      </c>
      <c r="O166" s="19">
        <f t="shared" si="42"/>
        <v>90.555555555557078</v>
      </c>
      <c r="P166" s="19">
        <f t="shared" si="42"/>
        <v>95.083333333332277</v>
      </c>
      <c r="Q166" s="20">
        <f t="shared" si="42"/>
        <v>78.783333333334497</v>
      </c>
      <c r="R166" s="20">
        <f t="shared" si="42"/>
        <v>86.027777777779022</v>
      </c>
      <c r="S166" s="20">
        <f t="shared" si="42"/>
        <v>90.555555555557078</v>
      </c>
      <c r="T166" s="21">
        <f t="shared" si="42"/>
        <v>74.255555555556924</v>
      </c>
      <c r="U166" s="21">
        <f t="shared" si="44"/>
        <v>81.5</v>
      </c>
      <c r="V166" s="21">
        <f t="shared" si="44"/>
        <v>86.027777777779022</v>
      </c>
      <c r="W166" s="22">
        <f t="shared" si="44"/>
        <v>69.727777777777902</v>
      </c>
      <c r="X166" s="22">
        <f t="shared" si="44"/>
        <v>76.972222222220978</v>
      </c>
      <c r="Y166" s="22">
        <f t="shared" si="44"/>
        <v>81.5</v>
      </c>
      <c r="Z166" s="23">
        <f t="shared" si="44"/>
        <v>65.19999999999888</v>
      </c>
      <c r="AA166" s="23">
        <f t="shared" si="44"/>
        <v>72.444444444443747</v>
      </c>
      <c r="AB166" s="23">
        <f t="shared" si="44"/>
        <v>76.972222222220978</v>
      </c>
      <c r="AC166" s="24">
        <f t="shared" si="44"/>
        <v>60.67222222222243</v>
      </c>
      <c r="AD166" s="24">
        <f t="shared" si="44"/>
        <v>67.916666666666472</v>
      </c>
      <c r="AE166" s="24">
        <f t="shared" si="44"/>
        <v>72.444444444443747</v>
      </c>
      <c r="AF166" s="25">
        <f t="shared" si="44"/>
        <v>56.144444444443799</v>
      </c>
      <c r="AG166" s="25">
        <f t="shared" si="44"/>
        <v>63.388888888889511</v>
      </c>
      <c r="AH166" s="25">
        <f t="shared" si="44"/>
        <v>67.916666666666472</v>
      </c>
      <c r="AI166" s="26">
        <f t="shared" si="44"/>
        <v>51.616666666667129</v>
      </c>
      <c r="AJ166" s="26">
        <f t="shared" si="44"/>
        <v>58.861111111110489</v>
      </c>
      <c r="AK166" s="26">
        <f t="shared" si="43"/>
        <v>63.388888888889511</v>
      </c>
    </row>
    <row r="167" spans="4:37" ht="20.100000000000001" customHeight="1">
      <c r="D167" s="27">
        <f t="shared" si="38"/>
        <v>0.45555555555555444</v>
      </c>
      <c r="E167" s="16">
        <f t="shared" si="42"/>
        <v>125.73333333333152</v>
      </c>
      <c r="F167" s="16">
        <f t="shared" si="42"/>
        <v>133.02222222222258</v>
      </c>
      <c r="G167" s="16">
        <f t="shared" si="42"/>
        <v>137.57777777777505</v>
      </c>
      <c r="H167" s="17">
        <f t="shared" si="42"/>
        <v>116.62222222222272</v>
      </c>
      <c r="I167" s="17">
        <f t="shared" si="42"/>
        <v>123.91111111111084</v>
      </c>
      <c r="J167" s="17">
        <f t="shared" si="42"/>
        <v>128.4666666666661</v>
      </c>
      <c r="K167" s="18">
        <f t="shared" si="42"/>
        <v>107.51111111110959</v>
      </c>
      <c r="L167" s="18">
        <f t="shared" si="42"/>
        <v>114.80000000000196</v>
      </c>
      <c r="M167" s="18">
        <f t="shared" si="42"/>
        <v>119.35555555555385</v>
      </c>
      <c r="N167" s="19">
        <f t="shared" si="42"/>
        <v>83.822222222221725</v>
      </c>
      <c r="O167" s="19">
        <f t="shared" si="42"/>
        <v>91.111111111112635</v>
      </c>
      <c r="P167" s="19">
        <f t="shared" si="42"/>
        <v>95.666666666665606</v>
      </c>
      <c r="Q167" s="20">
        <f t="shared" si="42"/>
        <v>79.266666666667831</v>
      </c>
      <c r="R167" s="20">
        <f t="shared" si="42"/>
        <v>86.555555555556793</v>
      </c>
      <c r="S167" s="20">
        <f t="shared" si="42"/>
        <v>91.111111111112635</v>
      </c>
      <c r="T167" s="21">
        <f t="shared" si="42"/>
        <v>74.711111111112473</v>
      </c>
      <c r="U167" s="21">
        <f t="shared" si="44"/>
        <v>82</v>
      </c>
      <c r="V167" s="21">
        <f t="shared" si="44"/>
        <v>86.555555555556793</v>
      </c>
      <c r="W167" s="22">
        <f t="shared" si="44"/>
        <v>70.155555555555679</v>
      </c>
      <c r="X167" s="22">
        <f t="shared" si="44"/>
        <v>77.444444444443207</v>
      </c>
      <c r="Y167" s="22">
        <f t="shared" si="44"/>
        <v>82</v>
      </c>
      <c r="Z167" s="23">
        <f t="shared" si="44"/>
        <v>65.599999999998886</v>
      </c>
      <c r="AA167" s="23">
        <f t="shared" si="44"/>
        <v>72.888888888888189</v>
      </c>
      <c r="AB167" s="23">
        <f t="shared" si="44"/>
        <v>77.444444444443207</v>
      </c>
      <c r="AC167" s="24">
        <f t="shared" si="44"/>
        <v>61.04444444444465</v>
      </c>
      <c r="AD167" s="24">
        <f t="shared" si="44"/>
        <v>68.333333333333144</v>
      </c>
      <c r="AE167" s="24">
        <f t="shared" si="44"/>
        <v>72.888888888888189</v>
      </c>
      <c r="AF167" s="25">
        <f t="shared" si="44"/>
        <v>56.488888888888241</v>
      </c>
      <c r="AG167" s="25">
        <f t="shared" si="44"/>
        <v>63.777777777778397</v>
      </c>
      <c r="AH167" s="25">
        <f t="shared" si="44"/>
        <v>68.333333333333144</v>
      </c>
      <c r="AI167" s="26">
        <f t="shared" si="44"/>
        <v>51.933333333333799</v>
      </c>
      <c r="AJ167" s="26">
        <f t="shared" si="44"/>
        <v>59.222222222221603</v>
      </c>
      <c r="AK167" s="26">
        <f t="shared" si="43"/>
        <v>63.777777777778397</v>
      </c>
    </row>
    <row r="168" spans="4:37" ht="20.100000000000001" customHeight="1">
      <c r="D168" s="27">
        <f t="shared" si="38"/>
        <v>0.4583333333333322</v>
      </c>
      <c r="E168" s="16">
        <f t="shared" si="42"/>
        <v>126.49999999999818</v>
      </c>
      <c r="F168" s="16">
        <f t="shared" si="42"/>
        <v>133.83333333333368</v>
      </c>
      <c r="G168" s="16">
        <f t="shared" si="42"/>
        <v>138.41666666666396</v>
      </c>
      <c r="H168" s="17">
        <f t="shared" si="42"/>
        <v>117.33333333333383</v>
      </c>
      <c r="I168" s="17">
        <f t="shared" si="42"/>
        <v>124.6666666666664</v>
      </c>
      <c r="J168" s="17">
        <f t="shared" si="42"/>
        <v>129.24999999999943</v>
      </c>
      <c r="K168" s="18">
        <f t="shared" si="42"/>
        <v>108.16666666666514</v>
      </c>
      <c r="L168" s="18">
        <f t="shared" si="42"/>
        <v>115.50000000000196</v>
      </c>
      <c r="M168" s="18">
        <f t="shared" si="42"/>
        <v>120.08333333333162</v>
      </c>
      <c r="N168" s="19">
        <f t="shared" si="42"/>
        <v>84.333333333332831</v>
      </c>
      <c r="O168" s="19">
        <f t="shared" si="42"/>
        <v>91.666666666668192</v>
      </c>
      <c r="P168" s="19">
        <f t="shared" si="42"/>
        <v>96.249999999998934</v>
      </c>
      <c r="Q168" s="20">
        <f t="shared" si="42"/>
        <v>79.750000000001165</v>
      </c>
      <c r="R168" s="20">
        <f t="shared" si="42"/>
        <v>87.083333333334565</v>
      </c>
      <c r="S168" s="20">
        <f t="shared" si="42"/>
        <v>91.666666666668192</v>
      </c>
      <c r="T168" s="21">
        <f t="shared" si="42"/>
        <v>75.166666666668021</v>
      </c>
      <c r="U168" s="21">
        <f t="shared" si="44"/>
        <v>82.5</v>
      </c>
      <c r="V168" s="21">
        <f t="shared" si="44"/>
        <v>87.083333333334565</v>
      </c>
      <c r="W168" s="22">
        <f t="shared" si="44"/>
        <v>70.583333333333456</v>
      </c>
      <c r="X168" s="22">
        <f t="shared" si="44"/>
        <v>77.916666666665435</v>
      </c>
      <c r="Y168" s="22">
        <f t="shared" si="44"/>
        <v>82.5</v>
      </c>
      <c r="Z168" s="23">
        <f>Z169-(Z$363/360)</f>
        <v>65.999999999998892</v>
      </c>
      <c r="AA168" s="23">
        <f t="shared" si="44"/>
        <v>73.333333333332632</v>
      </c>
      <c r="AB168" s="23">
        <f t="shared" si="44"/>
        <v>77.916666666665435</v>
      </c>
      <c r="AC168" s="24">
        <f t="shared" si="44"/>
        <v>61.41666666666687</v>
      </c>
      <c r="AD168" s="24">
        <f t="shared" si="44"/>
        <v>68.749999999999815</v>
      </c>
      <c r="AE168" s="24">
        <f t="shared" si="44"/>
        <v>73.333333333332632</v>
      </c>
      <c r="AF168" s="25">
        <f t="shared" si="44"/>
        <v>56.833333333332682</v>
      </c>
      <c r="AG168" s="25">
        <f t="shared" si="44"/>
        <v>64.166666666667282</v>
      </c>
      <c r="AH168" s="25">
        <f t="shared" si="44"/>
        <v>68.749999999999815</v>
      </c>
      <c r="AI168" s="26">
        <f t="shared" si="44"/>
        <v>52.250000000000469</v>
      </c>
      <c r="AJ168" s="26">
        <f t="shared" si="44"/>
        <v>59.583333333332718</v>
      </c>
      <c r="AK168" s="26">
        <f t="shared" si="43"/>
        <v>64.166666666667282</v>
      </c>
    </row>
    <row r="169" spans="4:37" ht="20.100000000000001" customHeight="1">
      <c r="D169" s="27">
        <f t="shared" si="38"/>
        <v>0.46111111111110997</v>
      </c>
      <c r="E169" s="16">
        <f t="shared" si="42"/>
        <v>127.26666666666485</v>
      </c>
      <c r="F169" s="16">
        <f t="shared" si="42"/>
        <v>134.64444444444479</v>
      </c>
      <c r="G169" s="16">
        <f t="shared" si="42"/>
        <v>139.25555555555286</v>
      </c>
      <c r="H169" s="17">
        <f t="shared" si="42"/>
        <v>118.04444444444493</v>
      </c>
      <c r="I169" s="17">
        <f t="shared" si="42"/>
        <v>125.42222222222196</v>
      </c>
      <c r="J169" s="17">
        <f t="shared" si="42"/>
        <v>130.03333333333276</v>
      </c>
      <c r="K169" s="18">
        <f t="shared" si="42"/>
        <v>108.82222222222069</v>
      </c>
      <c r="L169" s="18">
        <f t="shared" si="42"/>
        <v>116.20000000000196</v>
      </c>
      <c r="M169" s="18">
        <f t="shared" si="42"/>
        <v>120.8111111111094</v>
      </c>
      <c r="N169" s="19">
        <f t="shared" si="42"/>
        <v>84.844444444443937</v>
      </c>
      <c r="O169" s="19">
        <f t="shared" si="42"/>
        <v>92.222222222223749</v>
      </c>
      <c r="P169" s="19">
        <f t="shared" si="42"/>
        <v>96.833333333332263</v>
      </c>
      <c r="Q169" s="20">
        <f t="shared" si="42"/>
        <v>80.2333333333345</v>
      </c>
      <c r="R169" s="20">
        <f t="shared" si="42"/>
        <v>87.611111111112336</v>
      </c>
      <c r="S169" s="20">
        <f t="shared" si="42"/>
        <v>92.222222222223749</v>
      </c>
      <c r="T169" s="21">
        <f t="shared" si="42"/>
        <v>75.62222222222357</v>
      </c>
      <c r="U169" s="21">
        <f t="shared" si="44"/>
        <v>83</v>
      </c>
      <c r="V169" s="21">
        <f t="shared" si="44"/>
        <v>87.611111111112336</v>
      </c>
      <c r="W169" s="22">
        <f t="shared" si="44"/>
        <v>71.011111111111234</v>
      </c>
      <c r="X169" s="22">
        <f t="shared" si="44"/>
        <v>78.388888888887664</v>
      </c>
      <c r="Y169" s="22">
        <f t="shared" si="44"/>
        <v>83</v>
      </c>
      <c r="Z169" s="23">
        <f t="shared" si="44"/>
        <v>66.399999999998897</v>
      </c>
      <c r="AA169" s="23">
        <f t="shared" si="44"/>
        <v>73.777777777777075</v>
      </c>
      <c r="AB169" s="23">
        <f t="shared" si="44"/>
        <v>78.388888888887664</v>
      </c>
      <c r="AC169" s="24">
        <f t="shared" si="44"/>
        <v>61.78888888888909</v>
      </c>
      <c r="AD169" s="24">
        <f t="shared" si="44"/>
        <v>69.166666666666487</v>
      </c>
      <c r="AE169" s="24">
        <f t="shared" si="44"/>
        <v>73.777777777777075</v>
      </c>
      <c r="AF169" s="25">
        <f t="shared" si="44"/>
        <v>57.177777777777123</v>
      </c>
      <c r="AG169" s="25">
        <f t="shared" si="44"/>
        <v>64.555555555556168</v>
      </c>
      <c r="AH169" s="25">
        <f t="shared" si="44"/>
        <v>69.166666666666487</v>
      </c>
      <c r="AI169" s="26">
        <f t="shared" si="44"/>
        <v>52.566666666667139</v>
      </c>
      <c r="AJ169" s="26">
        <f t="shared" si="44"/>
        <v>59.944444444443832</v>
      </c>
      <c r="AK169" s="26">
        <f t="shared" si="43"/>
        <v>64.555555555556168</v>
      </c>
    </row>
    <row r="170" spans="4:37" ht="20.100000000000001" customHeight="1">
      <c r="D170" s="27">
        <f t="shared" si="38"/>
        <v>0.46388888888888774</v>
      </c>
      <c r="E170" s="16">
        <f t="shared" si="42"/>
        <v>128.03333333333151</v>
      </c>
      <c r="F170" s="16">
        <f t="shared" si="42"/>
        <v>135.45555555555589</v>
      </c>
      <c r="G170" s="16">
        <f t="shared" si="42"/>
        <v>140.09444444444176</v>
      </c>
      <c r="H170" s="17">
        <f t="shared" si="42"/>
        <v>118.75555555555604</v>
      </c>
      <c r="I170" s="17">
        <f t="shared" si="42"/>
        <v>126.17777777777752</v>
      </c>
      <c r="J170" s="17">
        <f t="shared" si="42"/>
        <v>130.81666666666609</v>
      </c>
      <c r="K170" s="18">
        <f t="shared" si="42"/>
        <v>109.47777777777624</v>
      </c>
      <c r="L170" s="18">
        <f t="shared" si="42"/>
        <v>116.90000000000197</v>
      </c>
      <c r="M170" s="18">
        <f t="shared" si="42"/>
        <v>121.53888888888717</v>
      </c>
      <c r="N170" s="19">
        <f t="shared" si="42"/>
        <v>85.355555555555043</v>
      </c>
      <c r="O170" s="19">
        <f t="shared" si="42"/>
        <v>92.777777777779306</v>
      </c>
      <c r="P170" s="19">
        <f t="shared" si="42"/>
        <v>97.416666666665591</v>
      </c>
      <c r="Q170" s="20">
        <f t="shared" si="42"/>
        <v>80.716666666667834</v>
      </c>
      <c r="R170" s="20">
        <f t="shared" si="42"/>
        <v>88.138888888890108</v>
      </c>
      <c r="S170" s="20">
        <f t="shared" si="42"/>
        <v>92.777777777779306</v>
      </c>
      <c r="T170" s="21">
        <f t="shared" si="42"/>
        <v>76.077777777779119</v>
      </c>
      <c r="U170" s="21">
        <f t="shared" si="44"/>
        <v>83.5</v>
      </c>
      <c r="V170" s="21">
        <f t="shared" si="44"/>
        <v>88.138888888890108</v>
      </c>
      <c r="W170" s="22">
        <f t="shared" si="44"/>
        <v>71.438888888889011</v>
      </c>
      <c r="X170" s="22">
        <f t="shared" si="44"/>
        <v>78.861111111109892</v>
      </c>
      <c r="Y170" s="22">
        <f t="shared" si="44"/>
        <v>83.5</v>
      </c>
      <c r="Z170" s="23">
        <f t="shared" si="44"/>
        <v>66.799999999998903</v>
      </c>
      <c r="AA170" s="23">
        <f t="shared" si="44"/>
        <v>74.222222222221518</v>
      </c>
      <c r="AB170" s="23">
        <f t="shared" si="44"/>
        <v>78.861111111109892</v>
      </c>
      <c r="AC170" s="24">
        <f t="shared" si="44"/>
        <v>62.16111111111131</v>
      </c>
      <c r="AD170" s="24">
        <f t="shared" si="44"/>
        <v>69.583333333333158</v>
      </c>
      <c r="AE170" s="24">
        <f t="shared" si="44"/>
        <v>74.222222222221518</v>
      </c>
      <c r="AF170" s="25">
        <f t="shared" si="44"/>
        <v>57.522222222221565</v>
      </c>
      <c r="AG170" s="25">
        <f t="shared" si="44"/>
        <v>64.944444444445054</v>
      </c>
      <c r="AH170" s="25">
        <f t="shared" si="44"/>
        <v>69.583333333333158</v>
      </c>
      <c r="AI170" s="26">
        <f t="shared" si="44"/>
        <v>52.883333333333809</v>
      </c>
      <c r="AJ170" s="26">
        <f t="shared" si="44"/>
        <v>60.305555555554946</v>
      </c>
      <c r="AK170" s="26">
        <f t="shared" si="43"/>
        <v>64.944444444445054</v>
      </c>
    </row>
    <row r="171" spans="4:37" ht="20.100000000000001" customHeight="1">
      <c r="D171" s="27">
        <f t="shared" si="38"/>
        <v>0.46666666666666551</v>
      </c>
      <c r="E171" s="16">
        <f t="shared" si="42"/>
        <v>128.79999999999819</v>
      </c>
      <c r="F171" s="16">
        <f t="shared" si="42"/>
        <v>136.26666666666699</v>
      </c>
      <c r="G171" s="16">
        <f t="shared" si="42"/>
        <v>140.93333333333067</v>
      </c>
      <c r="H171" s="17">
        <f t="shared" si="42"/>
        <v>119.46666666666715</v>
      </c>
      <c r="I171" s="17">
        <f t="shared" si="42"/>
        <v>126.93333333333308</v>
      </c>
      <c r="J171" s="17">
        <f t="shared" si="42"/>
        <v>131.59999999999943</v>
      </c>
      <c r="K171" s="18">
        <f t="shared" si="42"/>
        <v>110.13333333333179</v>
      </c>
      <c r="L171" s="18">
        <f t="shared" si="42"/>
        <v>117.60000000000197</v>
      </c>
      <c r="M171" s="18">
        <f t="shared" si="42"/>
        <v>122.26666666666495</v>
      </c>
      <c r="N171" s="19">
        <f t="shared" si="42"/>
        <v>85.866666666666148</v>
      </c>
      <c r="O171" s="19">
        <f t="shared" si="42"/>
        <v>93.333333333334863</v>
      </c>
      <c r="P171" s="19">
        <f t="shared" si="42"/>
        <v>97.99999999999892</v>
      </c>
      <c r="Q171" s="20">
        <f t="shared" si="42"/>
        <v>81.200000000001168</v>
      </c>
      <c r="R171" s="20">
        <f t="shared" si="42"/>
        <v>88.666666666667879</v>
      </c>
      <c r="S171" s="20">
        <f t="shared" si="42"/>
        <v>93.333333333334863</v>
      </c>
      <c r="T171" s="21">
        <f t="shared" si="42"/>
        <v>76.533333333334667</v>
      </c>
      <c r="U171" s="21">
        <f t="shared" si="44"/>
        <v>84</v>
      </c>
      <c r="V171" s="21">
        <f t="shared" si="44"/>
        <v>88.666666666667879</v>
      </c>
      <c r="W171" s="22">
        <f t="shared" si="44"/>
        <v>71.866666666666788</v>
      </c>
      <c r="X171" s="22">
        <f t="shared" si="44"/>
        <v>79.333333333332121</v>
      </c>
      <c r="Y171" s="22">
        <f t="shared" si="44"/>
        <v>84</v>
      </c>
      <c r="Z171" s="23">
        <f t="shared" si="44"/>
        <v>67.199999999998909</v>
      </c>
      <c r="AA171" s="23">
        <f t="shared" si="44"/>
        <v>74.666666666665961</v>
      </c>
      <c r="AB171" s="23">
        <f t="shared" si="44"/>
        <v>79.333333333332121</v>
      </c>
      <c r="AC171" s="24">
        <f t="shared" si="44"/>
        <v>62.53333333333353</v>
      </c>
      <c r="AD171" s="24">
        <f t="shared" si="44"/>
        <v>69.999999999999829</v>
      </c>
      <c r="AE171" s="24">
        <f t="shared" si="44"/>
        <v>74.666666666665961</v>
      </c>
      <c r="AF171" s="25">
        <f t="shared" si="44"/>
        <v>57.866666666666006</v>
      </c>
      <c r="AG171" s="25">
        <f t="shared" si="44"/>
        <v>65.33333333333394</v>
      </c>
      <c r="AH171" s="25">
        <f t="shared" si="44"/>
        <v>69.999999999999829</v>
      </c>
      <c r="AI171" s="26">
        <f t="shared" si="44"/>
        <v>53.200000000000479</v>
      </c>
      <c r="AJ171" s="26">
        <f t="shared" si="44"/>
        <v>60.66666666666606</v>
      </c>
      <c r="AK171" s="26">
        <f t="shared" si="43"/>
        <v>65.33333333333394</v>
      </c>
    </row>
    <row r="172" spans="4:37" ht="20.100000000000001" customHeight="1">
      <c r="D172" s="27">
        <f t="shared" si="38"/>
        <v>0.46944444444444328</v>
      </c>
      <c r="E172" s="16">
        <f t="shared" si="42"/>
        <v>129.56666666666487</v>
      </c>
      <c r="F172" s="16">
        <f t="shared" si="42"/>
        <v>137.0777777777781</v>
      </c>
      <c r="G172" s="16">
        <f t="shared" si="42"/>
        <v>141.77222222221957</v>
      </c>
      <c r="H172" s="17">
        <f t="shared" si="42"/>
        <v>120.17777777777826</v>
      </c>
      <c r="I172" s="17">
        <f t="shared" si="42"/>
        <v>127.68888888888864</v>
      </c>
      <c r="J172" s="17">
        <f t="shared" si="42"/>
        <v>132.38333333333276</v>
      </c>
      <c r="K172" s="18">
        <f t="shared" si="42"/>
        <v>110.78888888888734</v>
      </c>
      <c r="L172" s="18">
        <f t="shared" si="42"/>
        <v>118.30000000000197</v>
      </c>
      <c r="M172" s="18">
        <f t="shared" si="42"/>
        <v>122.99444444444272</v>
      </c>
      <c r="N172" s="19">
        <f t="shared" si="42"/>
        <v>86.377777777777254</v>
      </c>
      <c r="O172" s="19">
        <f t="shared" si="42"/>
        <v>93.888888888890421</v>
      </c>
      <c r="P172" s="19">
        <f t="shared" si="42"/>
        <v>98.583333333332249</v>
      </c>
      <c r="Q172" s="20">
        <f t="shared" si="42"/>
        <v>81.683333333334502</v>
      </c>
      <c r="R172" s="20">
        <f t="shared" si="42"/>
        <v>89.194444444445651</v>
      </c>
      <c r="S172" s="20">
        <f t="shared" si="42"/>
        <v>93.888888888890421</v>
      </c>
      <c r="T172" s="21">
        <f t="shared" si="42"/>
        <v>76.988888888890216</v>
      </c>
      <c r="U172" s="21">
        <f t="shared" si="44"/>
        <v>84.5</v>
      </c>
      <c r="V172" s="21">
        <f t="shared" si="44"/>
        <v>89.194444444445651</v>
      </c>
      <c r="W172" s="22">
        <f t="shared" si="44"/>
        <v>72.294444444444565</v>
      </c>
      <c r="X172" s="22">
        <f t="shared" si="44"/>
        <v>79.805555555554349</v>
      </c>
      <c r="Y172" s="22">
        <f t="shared" si="44"/>
        <v>84.5</v>
      </c>
      <c r="Z172" s="23">
        <f t="shared" si="44"/>
        <v>67.599999999998914</v>
      </c>
      <c r="AA172" s="23">
        <f t="shared" si="44"/>
        <v>75.111111111110404</v>
      </c>
      <c r="AB172" s="23">
        <f t="shared" si="44"/>
        <v>79.805555555554349</v>
      </c>
      <c r="AC172" s="24">
        <f t="shared" si="44"/>
        <v>62.90555555555575</v>
      </c>
      <c r="AD172" s="24">
        <f t="shared" si="44"/>
        <v>70.416666666666501</v>
      </c>
      <c r="AE172" s="24">
        <f t="shared" si="44"/>
        <v>75.111111111110404</v>
      </c>
      <c r="AF172" s="25">
        <f t="shared" si="44"/>
        <v>58.211111111110448</v>
      </c>
      <c r="AG172" s="25">
        <f t="shared" si="44"/>
        <v>65.722222222222825</v>
      </c>
      <c r="AH172" s="25">
        <f t="shared" si="44"/>
        <v>70.416666666666501</v>
      </c>
      <c r="AI172" s="26">
        <f t="shared" si="44"/>
        <v>53.516666666667149</v>
      </c>
      <c r="AJ172" s="26">
        <f t="shared" si="44"/>
        <v>61.027777777777175</v>
      </c>
      <c r="AK172" s="26">
        <f t="shared" si="43"/>
        <v>65.722222222222825</v>
      </c>
    </row>
    <row r="173" spans="4:37" ht="20.100000000000001" customHeight="1">
      <c r="D173" s="27">
        <f t="shared" si="38"/>
        <v>0.47222222222222104</v>
      </c>
      <c r="E173" s="16">
        <f t="shared" si="42"/>
        <v>130.33333333333155</v>
      </c>
      <c r="F173" s="16">
        <f t="shared" si="42"/>
        <v>137.8888888888892</v>
      </c>
      <c r="G173" s="16">
        <f t="shared" si="42"/>
        <v>142.61111111110847</v>
      </c>
      <c r="H173" s="17">
        <f t="shared" si="42"/>
        <v>120.88888888888937</v>
      </c>
      <c r="I173" s="17">
        <f t="shared" si="42"/>
        <v>128.4444444444442</v>
      </c>
      <c r="J173" s="17">
        <f t="shared" si="42"/>
        <v>133.16666666666609</v>
      </c>
      <c r="K173" s="18">
        <f t="shared" si="42"/>
        <v>111.44444444444289</v>
      </c>
      <c r="L173" s="18">
        <f t="shared" si="42"/>
        <v>119.00000000000198</v>
      </c>
      <c r="M173" s="18">
        <f t="shared" si="42"/>
        <v>123.72222222222049</v>
      </c>
      <c r="N173" s="19">
        <f t="shared" si="42"/>
        <v>86.88888888888836</v>
      </c>
      <c r="O173" s="19">
        <f t="shared" si="42"/>
        <v>94.444444444445978</v>
      </c>
      <c r="P173" s="19">
        <f t="shared" si="42"/>
        <v>99.166666666665577</v>
      </c>
      <c r="Q173" s="20">
        <f t="shared" si="42"/>
        <v>82.166666666667837</v>
      </c>
      <c r="R173" s="20">
        <f t="shared" si="42"/>
        <v>89.722222222223422</v>
      </c>
      <c r="S173" s="20">
        <f t="shared" si="42"/>
        <v>94.444444444445978</v>
      </c>
      <c r="T173" s="21">
        <f t="shared" si="42"/>
        <v>77.444444444445764</v>
      </c>
      <c r="U173" s="21">
        <f t="shared" si="44"/>
        <v>85</v>
      </c>
      <c r="V173" s="21">
        <f t="shared" si="44"/>
        <v>89.722222222223422</v>
      </c>
      <c r="W173" s="22">
        <f t="shared" si="44"/>
        <v>72.722222222222342</v>
      </c>
      <c r="X173" s="22">
        <f t="shared" si="44"/>
        <v>80.277777777776578</v>
      </c>
      <c r="Y173" s="22">
        <f t="shared" si="44"/>
        <v>85</v>
      </c>
      <c r="Z173" s="23">
        <f t="shared" si="44"/>
        <v>67.99999999999892</v>
      </c>
      <c r="AA173" s="23">
        <f t="shared" si="44"/>
        <v>75.555555555554847</v>
      </c>
      <c r="AB173" s="23">
        <f t="shared" si="44"/>
        <v>80.277777777776578</v>
      </c>
      <c r="AC173" s="24">
        <f t="shared" si="44"/>
        <v>63.27777777777797</v>
      </c>
      <c r="AD173" s="24">
        <f t="shared" si="44"/>
        <v>70.833333333333172</v>
      </c>
      <c r="AE173" s="24">
        <f t="shared" si="44"/>
        <v>75.555555555554847</v>
      </c>
      <c r="AF173" s="25">
        <f t="shared" si="44"/>
        <v>58.555555555554889</v>
      </c>
      <c r="AG173" s="25">
        <f t="shared" si="44"/>
        <v>66.111111111111711</v>
      </c>
      <c r="AH173" s="25">
        <f t="shared" si="44"/>
        <v>70.833333333333172</v>
      </c>
      <c r="AI173" s="26">
        <f t="shared" si="44"/>
        <v>53.833333333333819</v>
      </c>
      <c r="AJ173" s="26">
        <f t="shared" si="44"/>
        <v>61.388888888888289</v>
      </c>
      <c r="AK173" s="26">
        <f t="shared" si="43"/>
        <v>66.111111111111711</v>
      </c>
    </row>
    <row r="174" spans="4:37" ht="20.100000000000001" customHeight="1">
      <c r="D174" s="27">
        <f t="shared" si="38"/>
        <v>0.47499999999999881</v>
      </c>
      <c r="E174" s="16">
        <f t="shared" si="42"/>
        <v>131.09999999999823</v>
      </c>
      <c r="F174" s="16">
        <f t="shared" si="42"/>
        <v>138.7000000000003</v>
      </c>
      <c r="G174" s="16">
        <f t="shared" si="42"/>
        <v>143.44999999999737</v>
      </c>
      <c r="H174" s="17">
        <f t="shared" si="42"/>
        <v>121.60000000000048</v>
      </c>
      <c r="I174" s="17">
        <f t="shared" si="42"/>
        <v>129.19999999999976</v>
      </c>
      <c r="J174" s="17">
        <f t="shared" si="42"/>
        <v>133.94999999999942</v>
      </c>
      <c r="K174" s="18">
        <f t="shared" si="42"/>
        <v>112.09999999999845</v>
      </c>
      <c r="L174" s="18">
        <f t="shared" si="42"/>
        <v>119.70000000000198</v>
      </c>
      <c r="M174" s="18">
        <f t="shared" si="42"/>
        <v>124.44999999999827</v>
      </c>
      <c r="N174" s="19">
        <f t="shared" si="42"/>
        <v>87.399999999999466</v>
      </c>
      <c r="O174" s="19">
        <f t="shared" si="42"/>
        <v>95.000000000001535</v>
      </c>
      <c r="P174" s="19">
        <f t="shared" si="42"/>
        <v>99.749999999998906</v>
      </c>
      <c r="Q174" s="20">
        <f t="shared" si="42"/>
        <v>82.650000000001171</v>
      </c>
      <c r="R174" s="20">
        <f t="shared" si="42"/>
        <v>90.250000000001194</v>
      </c>
      <c r="S174" s="20">
        <f t="shared" si="42"/>
        <v>95.000000000001535</v>
      </c>
      <c r="T174" s="21">
        <f t="shared" si="42"/>
        <v>77.900000000001313</v>
      </c>
      <c r="U174" s="21">
        <f t="shared" si="44"/>
        <v>85.5</v>
      </c>
      <c r="V174" s="21">
        <f t="shared" si="44"/>
        <v>90.250000000001194</v>
      </c>
      <c r="W174" s="22">
        <f t="shared" si="44"/>
        <v>73.150000000000119</v>
      </c>
      <c r="X174" s="22">
        <f t="shared" si="44"/>
        <v>80.749999999998806</v>
      </c>
      <c r="Y174" s="22">
        <f t="shared" si="44"/>
        <v>85.5</v>
      </c>
      <c r="Z174" s="23">
        <f t="shared" si="44"/>
        <v>68.399999999998926</v>
      </c>
      <c r="AA174" s="23">
        <f t="shared" si="44"/>
        <v>75.999999999999289</v>
      </c>
      <c r="AB174" s="23">
        <f t="shared" si="44"/>
        <v>80.749999999998806</v>
      </c>
      <c r="AC174" s="24">
        <f t="shared" si="44"/>
        <v>63.65000000000019</v>
      </c>
      <c r="AD174" s="24">
        <f t="shared" si="44"/>
        <v>71.249999999999844</v>
      </c>
      <c r="AE174" s="24">
        <f t="shared" si="44"/>
        <v>75.999999999999289</v>
      </c>
      <c r="AF174" s="25">
        <f t="shared" si="44"/>
        <v>58.899999999999331</v>
      </c>
      <c r="AG174" s="25">
        <f t="shared" si="44"/>
        <v>66.500000000000597</v>
      </c>
      <c r="AH174" s="25">
        <f t="shared" si="44"/>
        <v>71.249999999999844</v>
      </c>
      <c r="AI174" s="26">
        <f t="shared" si="44"/>
        <v>54.150000000000489</v>
      </c>
      <c r="AJ174" s="26">
        <f t="shared" si="44"/>
        <v>61.749999999999403</v>
      </c>
      <c r="AK174" s="26">
        <f t="shared" si="43"/>
        <v>66.500000000000597</v>
      </c>
    </row>
    <row r="175" spans="4:37" ht="20.100000000000001" customHeight="1">
      <c r="D175" s="27">
        <f t="shared" si="38"/>
        <v>0.47777777777777658</v>
      </c>
      <c r="E175" s="16">
        <f t="shared" si="42"/>
        <v>131.86666666666491</v>
      </c>
      <c r="F175" s="16">
        <f t="shared" si="42"/>
        <v>139.5111111111114</v>
      </c>
      <c r="G175" s="16">
        <f t="shared" si="42"/>
        <v>144.28888888888628</v>
      </c>
      <c r="H175" s="17">
        <f t="shared" si="42"/>
        <v>122.31111111111159</v>
      </c>
      <c r="I175" s="17">
        <f t="shared" si="42"/>
        <v>129.95555555555532</v>
      </c>
      <c r="J175" s="17">
        <f t="shared" si="42"/>
        <v>134.73333333333275</v>
      </c>
      <c r="K175" s="18">
        <f t="shared" si="42"/>
        <v>112.755555555554</v>
      </c>
      <c r="L175" s="18">
        <f t="shared" si="42"/>
        <v>120.40000000000198</v>
      </c>
      <c r="M175" s="18">
        <f t="shared" si="42"/>
        <v>125.17777777777604</v>
      </c>
      <c r="N175" s="19">
        <f t="shared" si="42"/>
        <v>87.911111111110571</v>
      </c>
      <c r="O175" s="19">
        <f t="shared" si="42"/>
        <v>95.555555555557092</v>
      </c>
      <c r="P175" s="19">
        <f t="shared" si="42"/>
        <v>100.33333333333223</v>
      </c>
      <c r="Q175" s="20">
        <f t="shared" si="42"/>
        <v>83.133333333334505</v>
      </c>
      <c r="R175" s="20">
        <f t="shared" si="42"/>
        <v>90.777777777778965</v>
      </c>
      <c r="S175" s="20">
        <f t="shared" si="42"/>
        <v>95.555555555557092</v>
      </c>
      <c r="T175" s="21">
        <f t="shared" si="42"/>
        <v>78.355555555556862</v>
      </c>
      <c r="U175" s="21">
        <f t="shared" si="44"/>
        <v>86</v>
      </c>
      <c r="V175" s="21">
        <f t="shared" si="44"/>
        <v>90.777777777778965</v>
      </c>
      <c r="W175" s="22">
        <f t="shared" si="44"/>
        <v>73.577777777777897</v>
      </c>
      <c r="X175" s="22">
        <f t="shared" si="44"/>
        <v>81.222222222221035</v>
      </c>
      <c r="Y175" s="22">
        <f t="shared" si="44"/>
        <v>86</v>
      </c>
      <c r="Z175" s="23">
        <f t="shared" si="44"/>
        <v>68.799999999998931</v>
      </c>
      <c r="AA175" s="23">
        <f t="shared" si="44"/>
        <v>76.444444444443732</v>
      </c>
      <c r="AB175" s="23">
        <f t="shared" si="44"/>
        <v>81.222222222221035</v>
      </c>
      <c r="AC175" s="24">
        <f t="shared" si="44"/>
        <v>64.02222222222241</v>
      </c>
      <c r="AD175" s="24">
        <f t="shared" si="44"/>
        <v>71.666666666666515</v>
      </c>
      <c r="AE175" s="24">
        <f t="shared" si="44"/>
        <v>76.444444444443732</v>
      </c>
      <c r="AF175" s="25">
        <f t="shared" si="43"/>
        <v>59.244444444443772</v>
      </c>
      <c r="AG175" s="25">
        <f t="shared" si="43"/>
        <v>66.888888888889483</v>
      </c>
      <c r="AH175" s="25">
        <f t="shared" si="43"/>
        <v>71.666666666666515</v>
      </c>
      <c r="AI175" s="26">
        <f t="shared" si="43"/>
        <v>54.466666666667159</v>
      </c>
      <c r="AJ175" s="26">
        <f t="shared" si="43"/>
        <v>62.111111111110517</v>
      </c>
      <c r="AK175" s="26">
        <f t="shared" si="43"/>
        <v>66.888888888889483</v>
      </c>
    </row>
    <row r="176" spans="4:37" ht="20.100000000000001" customHeight="1">
      <c r="D176" s="27">
        <f t="shared" si="38"/>
        <v>0.48055555555555435</v>
      </c>
      <c r="E176" s="16">
        <f t="shared" si="42"/>
        <v>132.63333333333159</v>
      </c>
      <c r="F176" s="16">
        <f t="shared" si="42"/>
        <v>140.32222222222251</v>
      </c>
      <c r="G176" s="16">
        <f t="shared" si="42"/>
        <v>145.12777777777518</v>
      </c>
      <c r="H176" s="17">
        <f t="shared" si="42"/>
        <v>123.02222222222269</v>
      </c>
      <c r="I176" s="17">
        <f t="shared" si="42"/>
        <v>130.71111111111088</v>
      </c>
      <c r="J176" s="17">
        <f t="shared" si="42"/>
        <v>135.51666666666608</v>
      </c>
      <c r="K176" s="18">
        <f t="shared" si="42"/>
        <v>113.41111111110955</v>
      </c>
      <c r="L176" s="18">
        <f t="shared" si="42"/>
        <v>121.10000000000198</v>
      </c>
      <c r="M176" s="18">
        <f t="shared" si="42"/>
        <v>125.90555555555382</v>
      </c>
      <c r="N176" s="19">
        <f t="shared" si="42"/>
        <v>88.422222222221677</v>
      </c>
      <c r="O176" s="19">
        <f t="shared" si="42"/>
        <v>96.111111111112649</v>
      </c>
      <c r="P176" s="19">
        <f t="shared" si="42"/>
        <v>100.91666666666556</v>
      </c>
      <c r="Q176" s="20">
        <f t="shared" si="42"/>
        <v>83.61666666666784</v>
      </c>
      <c r="R176" s="20">
        <f t="shared" si="42"/>
        <v>91.305555555556737</v>
      </c>
      <c r="S176" s="20">
        <f t="shared" si="42"/>
        <v>96.111111111112649</v>
      </c>
      <c r="T176" s="21">
        <f t="shared" si="42"/>
        <v>78.81111111111241</v>
      </c>
      <c r="U176" s="21">
        <f t="shared" si="44"/>
        <v>86.5</v>
      </c>
      <c r="V176" s="21">
        <f t="shared" si="44"/>
        <v>91.305555555556737</v>
      </c>
      <c r="W176" s="22">
        <f t="shared" si="44"/>
        <v>74.005555555555674</v>
      </c>
      <c r="X176" s="22">
        <f t="shared" si="44"/>
        <v>81.694444444443263</v>
      </c>
      <c r="Y176" s="22">
        <f t="shared" si="44"/>
        <v>86.5</v>
      </c>
      <c r="Z176" s="23">
        <f t="shared" si="44"/>
        <v>69.199999999998937</v>
      </c>
      <c r="AA176" s="23">
        <f t="shared" si="44"/>
        <v>76.888888888888175</v>
      </c>
      <c r="AB176" s="23">
        <f t="shared" si="44"/>
        <v>81.694444444443263</v>
      </c>
      <c r="AC176" s="24">
        <f t="shared" si="44"/>
        <v>64.39444444444463</v>
      </c>
      <c r="AD176" s="24">
        <f t="shared" si="44"/>
        <v>72.083333333333186</v>
      </c>
      <c r="AE176" s="24">
        <f t="shared" si="44"/>
        <v>76.888888888888175</v>
      </c>
      <c r="AF176" s="25">
        <f t="shared" si="43"/>
        <v>59.588888888888214</v>
      </c>
      <c r="AG176" s="25">
        <f t="shared" si="43"/>
        <v>67.277777777778368</v>
      </c>
      <c r="AH176" s="25">
        <f t="shared" si="43"/>
        <v>72.083333333333186</v>
      </c>
      <c r="AI176" s="26">
        <f t="shared" si="43"/>
        <v>54.783333333333829</v>
      </c>
      <c r="AJ176" s="26">
        <f t="shared" si="43"/>
        <v>62.472222222221632</v>
      </c>
      <c r="AK176" s="26">
        <f t="shared" si="43"/>
        <v>67.277777777778368</v>
      </c>
    </row>
    <row r="177" spans="4:37" ht="20.100000000000001" customHeight="1">
      <c r="D177" s="27">
        <f t="shared" si="38"/>
        <v>0.48333333333333212</v>
      </c>
      <c r="E177" s="16">
        <f t="shared" si="42"/>
        <v>133.39999999999827</v>
      </c>
      <c r="F177" s="16">
        <f t="shared" si="42"/>
        <v>141.13333333333361</v>
      </c>
      <c r="G177" s="16">
        <f t="shared" si="42"/>
        <v>145.96666666666408</v>
      </c>
      <c r="H177" s="17">
        <f t="shared" si="42"/>
        <v>123.7333333333338</v>
      </c>
      <c r="I177" s="17">
        <f t="shared" si="42"/>
        <v>131.46666666666644</v>
      </c>
      <c r="J177" s="17">
        <f t="shared" si="42"/>
        <v>136.29999999999941</v>
      </c>
      <c r="K177" s="18">
        <f t="shared" si="42"/>
        <v>114.0666666666651</v>
      </c>
      <c r="L177" s="18">
        <f t="shared" si="42"/>
        <v>121.80000000000199</v>
      </c>
      <c r="M177" s="18">
        <f t="shared" si="42"/>
        <v>126.63333333333159</v>
      </c>
      <c r="N177" s="19">
        <f t="shared" si="42"/>
        <v>88.933333333332783</v>
      </c>
      <c r="O177" s="19">
        <f t="shared" si="42"/>
        <v>96.666666666668206</v>
      </c>
      <c r="P177" s="19">
        <f t="shared" si="42"/>
        <v>101.49999999999889</v>
      </c>
      <c r="Q177" s="20">
        <f t="shared" si="42"/>
        <v>84.100000000001174</v>
      </c>
      <c r="R177" s="20">
        <f t="shared" si="42"/>
        <v>91.833333333334508</v>
      </c>
      <c r="S177" s="20">
        <f t="shared" si="42"/>
        <v>96.666666666668206</v>
      </c>
      <c r="T177" s="21">
        <f>T178-(T$363/360)</f>
        <v>79.266666666667959</v>
      </c>
      <c r="U177" s="21">
        <f t="shared" si="44"/>
        <v>87</v>
      </c>
      <c r="V177" s="21">
        <f t="shared" si="44"/>
        <v>91.833333333334508</v>
      </c>
      <c r="W177" s="22">
        <f t="shared" si="44"/>
        <v>74.433333333333451</v>
      </c>
      <c r="X177" s="22">
        <f t="shared" si="44"/>
        <v>82.166666666665492</v>
      </c>
      <c r="Y177" s="22">
        <f t="shared" si="44"/>
        <v>87</v>
      </c>
      <c r="Z177" s="23">
        <f t="shared" si="44"/>
        <v>69.599999999998943</v>
      </c>
      <c r="AA177" s="23">
        <f t="shared" si="44"/>
        <v>77.333333333332618</v>
      </c>
      <c r="AB177" s="23">
        <f t="shared" si="44"/>
        <v>82.166666666665492</v>
      </c>
      <c r="AC177" s="24">
        <f t="shared" si="44"/>
        <v>64.76666666666685</v>
      </c>
      <c r="AD177" s="24">
        <f t="shared" si="44"/>
        <v>72.499999999999858</v>
      </c>
      <c r="AE177" s="24">
        <f t="shared" si="44"/>
        <v>77.333333333332618</v>
      </c>
      <c r="AF177" s="25">
        <f t="shared" si="43"/>
        <v>59.933333333332655</v>
      </c>
      <c r="AG177" s="25">
        <f t="shared" si="43"/>
        <v>67.666666666667254</v>
      </c>
      <c r="AH177" s="25">
        <f t="shared" si="43"/>
        <v>72.499999999999858</v>
      </c>
      <c r="AI177" s="26">
        <f t="shared" si="43"/>
        <v>55.100000000000499</v>
      </c>
      <c r="AJ177" s="26">
        <f t="shared" si="43"/>
        <v>62.833333333332746</v>
      </c>
      <c r="AK177" s="26">
        <f t="shared" si="43"/>
        <v>67.666666666667254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134.16666666666495</v>
      </c>
      <c r="F178" s="16">
        <f t="shared" si="45"/>
        <v>141.94444444444471</v>
      </c>
      <c r="G178" s="16">
        <f t="shared" si="45"/>
        <v>146.80555555555298</v>
      </c>
      <c r="H178" s="17">
        <f t="shared" si="45"/>
        <v>124.44444444444491</v>
      </c>
      <c r="I178" s="17">
        <f t="shared" si="45"/>
        <v>132.222222222222</v>
      </c>
      <c r="J178" s="17">
        <f t="shared" si="45"/>
        <v>137.08333333333275</v>
      </c>
      <c r="K178" s="18">
        <f t="shared" si="45"/>
        <v>114.72222222222065</v>
      </c>
      <c r="L178" s="18">
        <f t="shared" si="45"/>
        <v>122.50000000000199</v>
      </c>
      <c r="M178" s="18">
        <f t="shared" si="45"/>
        <v>127.36111111110937</v>
      </c>
      <c r="N178" s="19">
        <f t="shared" si="45"/>
        <v>89.444444444443889</v>
      </c>
      <c r="O178" s="19">
        <f t="shared" si="45"/>
        <v>97.222222222223763</v>
      </c>
      <c r="P178" s="19">
        <f t="shared" si="45"/>
        <v>102.08333333333222</v>
      </c>
      <c r="Q178" s="20">
        <f t="shared" si="45"/>
        <v>84.583333333334508</v>
      </c>
      <c r="R178" s="20">
        <f t="shared" si="45"/>
        <v>92.36111111111228</v>
      </c>
      <c r="S178" s="20">
        <f t="shared" si="45"/>
        <v>97.222222222223763</v>
      </c>
      <c r="T178" s="21">
        <f t="shared" si="45"/>
        <v>79.722222222223508</v>
      </c>
      <c r="U178" s="21">
        <f t="shared" si="44"/>
        <v>87.5</v>
      </c>
      <c r="V178" s="21">
        <f t="shared" si="44"/>
        <v>92.36111111111228</v>
      </c>
      <c r="W178" s="22">
        <f t="shared" si="44"/>
        <v>74.861111111111228</v>
      </c>
      <c r="X178" s="22">
        <f t="shared" si="44"/>
        <v>82.63888888888772</v>
      </c>
      <c r="Y178" s="22">
        <f t="shared" si="44"/>
        <v>87.5</v>
      </c>
      <c r="Z178" s="23">
        <f t="shared" si="44"/>
        <v>69.999999999998948</v>
      </c>
      <c r="AA178" s="23">
        <f t="shared" si="44"/>
        <v>77.777777777777061</v>
      </c>
      <c r="AB178" s="23">
        <f t="shared" si="44"/>
        <v>82.63888888888772</v>
      </c>
      <c r="AC178" s="24">
        <f t="shared" si="44"/>
        <v>65.13888888888907</v>
      </c>
      <c r="AD178" s="24">
        <f t="shared" si="44"/>
        <v>72.916666666666529</v>
      </c>
      <c r="AE178" s="24">
        <f t="shared" si="44"/>
        <v>77.777777777777061</v>
      </c>
      <c r="AF178" s="25">
        <f t="shared" si="43"/>
        <v>60.277777777777096</v>
      </c>
      <c r="AG178" s="25">
        <f t="shared" si="43"/>
        <v>68.05555555555614</v>
      </c>
      <c r="AH178" s="25">
        <f t="shared" si="43"/>
        <v>72.916666666666529</v>
      </c>
      <c r="AI178" s="26">
        <f t="shared" si="43"/>
        <v>55.416666666667169</v>
      </c>
      <c r="AJ178" s="26">
        <f t="shared" si="43"/>
        <v>63.19444444444386</v>
      </c>
      <c r="AK178" s="26">
        <f t="shared" si="43"/>
        <v>68.05555555555614</v>
      </c>
    </row>
    <row r="179" spans="4:37" ht="20.100000000000001" customHeight="1">
      <c r="D179" s="27">
        <f t="shared" si="38"/>
        <v>0.48888888888888765</v>
      </c>
      <c r="E179" s="16">
        <f t="shared" si="45"/>
        <v>134.93333333333163</v>
      </c>
      <c r="F179" s="16">
        <f t="shared" si="45"/>
        <v>142.75555555555582</v>
      </c>
      <c r="G179" s="16">
        <f t="shared" si="45"/>
        <v>147.64444444444189</v>
      </c>
      <c r="H179" s="17">
        <f t="shared" si="45"/>
        <v>125.15555555555602</v>
      </c>
      <c r="I179" s="17">
        <f t="shared" si="45"/>
        <v>132.97777777777756</v>
      </c>
      <c r="J179" s="17">
        <f t="shared" si="45"/>
        <v>137.86666666666608</v>
      </c>
      <c r="K179" s="18">
        <f t="shared" si="45"/>
        <v>115.3777777777762</v>
      </c>
      <c r="L179" s="18">
        <f t="shared" si="45"/>
        <v>123.20000000000199</v>
      </c>
      <c r="M179" s="18">
        <f t="shared" si="45"/>
        <v>128.08888888888714</v>
      </c>
      <c r="N179" s="19">
        <f t="shared" si="45"/>
        <v>89.955555555554994</v>
      </c>
      <c r="O179" s="19">
        <f t="shared" si="45"/>
        <v>97.77777777777932</v>
      </c>
      <c r="P179" s="19">
        <f t="shared" si="45"/>
        <v>102.66666666666555</v>
      </c>
      <c r="Q179" s="20">
        <f t="shared" si="45"/>
        <v>85.066666666667842</v>
      </c>
      <c r="R179" s="20">
        <f t="shared" si="45"/>
        <v>92.888888888890051</v>
      </c>
      <c r="S179" s="20">
        <f t="shared" si="45"/>
        <v>97.77777777777932</v>
      </c>
      <c r="T179" s="21">
        <f t="shared" si="45"/>
        <v>80.177777777779056</v>
      </c>
      <c r="U179" s="21">
        <f t="shared" si="44"/>
        <v>88</v>
      </c>
      <c r="V179" s="21">
        <f t="shared" si="44"/>
        <v>92.888888888890051</v>
      </c>
      <c r="W179" s="22">
        <f t="shared" si="44"/>
        <v>75.288888888889005</v>
      </c>
      <c r="X179" s="22">
        <f t="shared" si="44"/>
        <v>83.111111111109949</v>
      </c>
      <c r="Y179" s="22">
        <f t="shared" si="44"/>
        <v>88</v>
      </c>
      <c r="Z179" s="23">
        <f t="shared" si="44"/>
        <v>70.399999999998954</v>
      </c>
      <c r="AA179" s="23">
        <f t="shared" si="44"/>
        <v>78.222222222221504</v>
      </c>
      <c r="AB179" s="23">
        <f t="shared" si="44"/>
        <v>83.111111111109949</v>
      </c>
      <c r="AC179" s="24">
        <f t="shared" si="44"/>
        <v>65.51111111111129</v>
      </c>
      <c r="AD179" s="24">
        <f t="shared" si="44"/>
        <v>73.333333333333201</v>
      </c>
      <c r="AE179" s="24">
        <f t="shared" si="44"/>
        <v>78.222222222221504</v>
      </c>
      <c r="AF179" s="25">
        <f t="shared" si="43"/>
        <v>60.622222222221538</v>
      </c>
      <c r="AG179" s="25">
        <f t="shared" si="43"/>
        <v>68.444444444445026</v>
      </c>
      <c r="AH179" s="25">
        <f t="shared" si="43"/>
        <v>73.333333333333201</v>
      </c>
      <c r="AI179" s="26">
        <f t="shared" si="43"/>
        <v>55.733333333333839</v>
      </c>
      <c r="AJ179" s="26">
        <f t="shared" si="43"/>
        <v>63.555555555554974</v>
      </c>
      <c r="AK179" s="26">
        <f t="shared" si="43"/>
        <v>68.444444444445026</v>
      </c>
    </row>
    <row r="180" spans="4:37" ht="20.100000000000001" customHeight="1">
      <c r="D180" s="27">
        <f t="shared" si="38"/>
        <v>0.49166666666666542</v>
      </c>
      <c r="E180" s="16">
        <f t="shared" si="45"/>
        <v>135.69999999999831</v>
      </c>
      <c r="F180" s="16">
        <f t="shared" si="45"/>
        <v>143.56666666666692</v>
      </c>
      <c r="G180" s="16">
        <f t="shared" si="45"/>
        <v>148.48333333333079</v>
      </c>
      <c r="H180" s="17">
        <f t="shared" si="45"/>
        <v>125.86666666666713</v>
      </c>
      <c r="I180" s="17">
        <f t="shared" si="45"/>
        <v>133.73333333333312</v>
      </c>
      <c r="J180" s="17">
        <f t="shared" si="45"/>
        <v>138.64999999999941</v>
      </c>
      <c r="K180" s="18">
        <f t="shared" si="45"/>
        <v>116.03333333333175</v>
      </c>
      <c r="L180" s="18">
        <f t="shared" si="45"/>
        <v>123.900000000002</v>
      </c>
      <c r="M180" s="18">
        <f t="shared" si="45"/>
        <v>128.81666666666493</v>
      </c>
      <c r="N180" s="19">
        <f t="shared" si="45"/>
        <v>90.4666666666661</v>
      </c>
      <c r="O180" s="19">
        <f t="shared" si="45"/>
        <v>98.333333333334878</v>
      </c>
      <c r="P180" s="19">
        <f t="shared" si="45"/>
        <v>103.24999999999888</v>
      </c>
      <c r="Q180" s="20">
        <f t="shared" si="45"/>
        <v>85.550000000001177</v>
      </c>
      <c r="R180" s="20">
        <f t="shared" si="45"/>
        <v>93.416666666667822</v>
      </c>
      <c r="S180" s="20">
        <f t="shared" si="45"/>
        <v>98.333333333334878</v>
      </c>
      <c r="T180" s="21">
        <f t="shared" si="45"/>
        <v>80.633333333334605</v>
      </c>
      <c r="U180" s="21">
        <f t="shared" si="44"/>
        <v>88.5</v>
      </c>
      <c r="V180" s="21">
        <f t="shared" si="44"/>
        <v>93.416666666667822</v>
      </c>
      <c r="W180" s="22">
        <f t="shared" si="44"/>
        <v>75.716666666666782</v>
      </c>
      <c r="X180" s="22">
        <f t="shared" si="44"/>
        <v>83.583333333332178</v>
      </c>
      <c r="Y180" s="22">
        <f t="shared" si="44"/>
        <v>88.5</v>
      </c>
      <c r="Z180" s="23">
        <f t="shared" si="44"/>
        <v>70.79999999999896</v>
      </c>
      <c r="AA180" s="23">
        <f t="shared" si="44"/>
        <v>78.666666666665947</v>
      </c>
      <c r="AB180" s="23">
        <f t="shared" si="44"/>
        <v>83.583333333332178</v>
      </c>
      <c r="AC180" s="24">
        <f t="shared" si="44"/>
        <v>65.88333333333351</v>
      </c>
      <c r="AD180" s="24">
        <f>AD181-(AD$363/360)</f>
        <v>73.749999999999872</v>
      </c>
      <c r="AE180" s="24">
        <f>AE181-(AE$363/360)</f>
        <v>78.666666666665947</v>
      </c>
      <c r="AF180" s="25">
        <f t="shared" si="43"/>
        <v>60.966666666665979</v>
      </c>
      <c r="AG180" s="25">
        <f t="shared" si="43"/>
        <v>68.833333333333911</v>
      </c>
      <c r="AH180" s="25">
        <f t="shared" si="43"/>
        <v>73.749999999999872</v>
      </c>
      <c r="AI180" s="26">
        <f t="shared" si="43"/>
        <v>56.050000000000509</v>
      </c>
      <c r="AJ180" s="26">
        <f t="shared" si="43"/>
        <v>63.916666666666089</v>
      </c>
      <c r="AK180" s="26">
        <f t="shared" si="43"/>
        <v>68.833333333333911</v>
      </c>
    </row>
    <row r="181" spans="4:37" ht="20.100000000000001" customHeight="1">
      <c r="D181" s="27">
        <f t="shared" si="38"/>
        <v>0.49444444444444319</v>
      </c>
      <c r="E181" s="16">
        <f t="shared" si="45"/>
        <v>136.46666666666499</v>
      </c>
      <c r="F181" s="16">
        <f t="shared" si="45"/>
        <v>144.37777777777802</v>
      </c>
      <c r="G181" s="16">
        <f t="shared" si="45"/>
        <v>149.32222222221969</v>
      </c>
      <c r="H181" s="17">
        <f t="shared" si="45"/>
        <v>126.57777777777824</v>
      </c>
      <c r="I181" s="17">
        <f t="shared" si="45"/>
        <v>134.48888888888868</v>
      </c>
      <c r="J181" s="17">
        <f t="shared" si="45"/>
        <v>139.43333333333274</v>
      </c>
      <c r="K181" s="18">
        <f t="shared" si="45"/>
        <v>116.68888888888731</v>
      </c>
      <c r="L181" s="18">
        <f t="shared" si="45"/>
        <v>124.600000000002</v>
      </c>
      <c r="M181" s="18">
        <f t="shared" si="45"/>
        <v>129.54444444444272</v>
      </c>
      <c r="N181" s="19">
        <f t="shared" si="45"/>
        <v>90.977777777777206</v>
      </c>
      <c r="O181" s="19">
        <f t="shared" si="45"/>
        <v>98.888888888890435</v>
      </c>
      <c r="P181" s="19">
        <f t="shared" si="45"/>
        <v>103.83333333333221</v>
      </c>
      <c r="Q181" s="20">
        <f t="shared" si="45"/>
        <v>86.033333333334511</v>
      </c>
      <c r="R181" s="20">
        <f t="shared" si="45"/>
        <v>93.944444444445594</v>
      </c>
      <c r="S181" s="20">
        <f t="shared" si="45"/>
        <v>98.888888888890435</v>
      </c>
      <c r="T181" s="21">
        <f t="shared" si="45"/>
        <v>81.088888888890153</v>
      </c>
      <c r="U181" s="21">
        <f t="shared" ref="U181:AJ202" si="46">U182-(U$363/360)</f>
        <v>89</v>
      </c>
      <c r="V181" s="21">
        <f t="shared" si="46"/>
        <v>93.944444444445594</v>
      </c>
      <c r="W181" s="22">
        <f t="shared" si="46"/>
        <v>76.144444444444559</v>
      </c>
      <c r="X181" s="22">
        <f t="shared" si="46"/>
        <v>84.055555555554406</v>
      </c>
      <c r="Y181" s="22">
        <f t="shared" si="46"/>
        <v>89</v>
      </c>
      <c r="Z181" s="23">
        <f t="shared" si="46"/>
        <v>71.199999999998965</v>
      </c>
      <c r="AA181" s="23">
        <f t="shared" si="46"/>
        <v>79.11111111111039</v>
      </c>
      <c r="AB181" s="23">
        <f t="shared" si="46"/>
        <v>84.055555555554406</v>
      </c>
      <c r="AC181" s="24">
        <f t="shared" si="46"/>
        <v>66.255555555555731</v>
      </c>
      <c r="AD181" s="24">
        <f t="shared" si="46"/>
        <v>74.166666666666544</v>
      </c>
      <c r="AE181" s="24">
        <f t="shared" si="46"/>
        <v>79.11111111111039</v>
      </c>
      <c r="AF181" s="25">
        <f t="shared" si="43"/>
        <v>61.311111111110421</v>
      </c>
      <c r="AG181" s="25">
        <f t="shared" si="43"/>
        <v>69.222222222222797</v>
      </c>
      <c r="AH181" s="25">
        <f t="shared" si="43"/>
        <v>74.166666666666544</v>
      </c>
      <c r="AI181" s="26">
        <f t="shared" si="43"/>
        <v>56.366666666667179</v>
      </c>
      <c r="AJ181" s="26">
        <f t="shared" si="43"/>
        <v>64.277777777777203</v>
      </c>
      <c r="AK181" s="26">
        <f t="shared" si="43"/>
        <v>69.222222222222797</v>
      </c>
    </row>
    <row r="182" spans="4:37" ht="20.100000000000001" customHeight="1">
      <c r="D182" s="27">
        <f t="shared" si="38"/>
        <v>0.49722222222222096</v>
      </c>
      <c r="E182" s="16">
        <f t="shared" si="45"/>
        <v>137.23333333333167</v>
      </c>
      <c r="F182" s="16">
        <f t="shared" si="45"/>
        <v>145.18888888888912</v>
      </c>
      <c r="G182" s="16">
        <f t="shared" si="45"/>
        <v>150.1611111111086</v>
      </c>
      <c r="H182" s="17">
        <f t="shared" si="45"/>
        <v>127.28888888888935</v>
      </c>
      <c r="I182" s="17">
        <f t="shared" si="45"/>
        <v>135.24444444444424</v>
      </c>
      <c r="J182" s="17">
        <f t="shared" si="45"/>
        <v>140.21666666666607</v>
      </c>
      <c r="K182" s="18">
        <f t="shared" si="45"/>
        <v>117.34444444444286</v>
      </c>
      <c r="L182" s="18">
        <f t="shared" si="45"/>
        <v>125.300000000002</v>
      </c>
      <c r="M182" s="18">
        <f t="shared" si="45"/>
        <v>130.27222222222051</v>
      </c>
      <c r="N182" s="19">
        <f t="shared" si="45"/>
        <v>91.488888888888312</v>
      </c>
      <c r="O182" s="19">
        <f t="shared" si="45"/>
        <v>99.444444444445992</v>
      </c>
      <c r="P182" s="19">
        <f t="shared" si="45"/>
        <v>104.41666666666553</v>
      </c>
      <c r="Q182" s="20">
        <f t="shared" si="45"/>
        <v>86.516666666667845</v>
      </c>
      <c r="R182" s="20">
        <f t="shared" si="45"/>
        <v>94.472222222223365</v>
      </c>
      <c r="S182" s="20">
        <f t="shared" si="45"/>
        <v>99.444444444445992</v>
      </c>
      <c r="T182" s="21">
        <f t="shared" si="45"/>
        <v>81.544444444445702</v>
      </c>
      <c r="U182" s="21">
        <f t="shared" si="46"/>
        <v>89.5</v>
      </c>
      <c r="V182" s="21">
        <f t="shared" si="46"/>
        <v>94.472222222223365</v>
      </c>
      <c r="W182" s="22">
        <f t="shared" si="46"/>
        <v>76.572222222222337</v>
      </c>
      <c r="X182" s="22">
        <f t="shared" si="46"/>
        <v>84.527777777776635</v>
      </c>
      <c r="Y182" s="22">
        <f t="shared" si="46"/>
        <v>89.5</v>
      </c>
      <c r="Z182" s="23">
        <f t="shared" si="46"/>
        <v>71.599999999998971</v>
      </c>
      <c r="AA182" s="23">
        <f t="shared" si="46"/>
        <v>79.555555555554832</v>
      </c>
      <c r="AB182" s="23">
        <f t="shared" si="46"/>
        <v>84.527777777776635</v>
      </c>
      <c r="AC182" s="24">
        <f t="shared" si="46"/>
        <v>66.627777777777951</v>
      </c>
      <c r="AD182" s="24">
        <f t="shared" si="46"/>
        <v>74.583333333333215</v>
      </c>
      <c r="AE182" s="24">
        <f t="shared" si="46"/>
        <v>79.555555555554832</v>
      </c>
      <c r="AF182" s="25">
        <f t="shared" si="43"/>
        <v>61.655555555554862</v>
      </c>
      <c r="AG182" s="25">
        <f t="shared" si="43"/>
        <v>69.611111111111683</v>
      </c>
      <c r="AH182" s="25">
        <f t="shared" si="43"/>
        <v>74.583333333333215</v>
      </c>
      <c r="AI182" s="26">
        <f t="shared" si="43"/>
        <v>56.683333333333849</v>
      </c>
      <c r="AJ182" s="26">
        <f t="shared" si="43"/>
        <v>64.638888888888317</v>
      </c>
      <c r="AK182" s="26">
        <f t="shared" si="43"/>
        <v>69.611111111111683</v>
      </c>
    </row>
    <row r="183" spans="4:37" ht="20.100000000000001" customHeight="1">
      <c r="D183" s="27">
        <f t="shared" si="38"/>
        <v>0.49999999999999872</v>
      </c>
      <c r="E183" s="16">
        <f t="shared" si="45"/>
        <v>137.99999999999835</v>
      </c>
      <c r="F183" s="16">
        <f t="shared" si="45"/>
        <v>146.00000000000023</v>
      </c>
      <c r="G183" s="16">
        <f t="shared" si="45"/>
        <v>150.9999999999975</v>
      </c>
      <c r="H183" s="17">
        <f t="shared" si="45"/>
        <v>128.00000000000045</v>
      </c>
      <c r="I183" s="17">
        <f t="shared" si="45"/>
        <v>135.9999999999998</v>
      </c>
      <c r="J183" s="17">
        <f t="shared" si="45"/>
        <v>140.9999999999994</v>
      </c>
      <c r="K183" s="18">
        <f t="shared" si="45"/>
        <v>117.99999999999841</v>
      </c>
      <c r="L183" s="18">
        <f t="shared" si="45"/>
        <v>126.000000000002</v>
      </c>
      <c r="M183" s="18">
        <f t="shared" si="45"/>
        <v>130.99999999999829</v>
      </c>
      <c r="N183" s="19">
        <f t="shared" si="45"/>
        <v>91.999999999999417</v>
      </c>
      <c r="O183" s="19">
        <f t="shared" si="45"/>
        <v>100.00000000000155</v>
      </c>
      <c r="P183" s="19">
        <f t="shared" si="45"/>
        <v>104.99999999999886</v>
      </c>
      <c r="Q183" s="20">
        <f t="shared" si="45"/>
        <v>87.00000000000118</v>
      </c>
      <c r="R183" s="20">
        <f t="shared" si="45"/>
        <v>95.000000000001137</v>
      </c>
      <c r="S183" s="20">
        <f t="shared" si="45"/>
        <v>100.00000000000155</v>
      </c>
      <c r="T183" s="21">
        <f t="shared" si="45"/>
        <v>82.000000000001251</v>
      </c>
      <c r="U183" s="21">
        <f t="shared" si="46"/>
        <v>90</v>
      </c>
      <c r="V183" s="21">
        <f t="shared" si="46"/>
        <v>95.000000000001137</v>
      </c>
      <c r="W183" s="22">
        <f t="shared" si="46"/>
        <v>77.000000000000114</v>
      </c>
      <c r="X183" s="22">
        <f t="shared" si="46"/>
        <v>84.999999999998863</v>
      </c>
      <c r="Y183" s="22">
        <f t="shared" si="46"/>
        <v>90</v>
      </c>
      <c r="Z183" s="23">
        <f t="shared" si="46"/>
        <v>71.999999999998977</v>
      </c>
      <c r="AA183" s="23">
        <f t="shared" si="46"/>
        <v>79.999999999999275</v>
      </c>
      <c r="AB183" s="23">
        <f t="shared" si="46"/>
        <v>84.999999999998863</v>
      </c>
      <c r="AC183" s="24">
        <f t="shared" si="46"/>
        <v>67.000000000000171</v>
      </c>
      <c r="AD183" s="24">
        <f t="shared" si="46"/>
        <v>74.999999999999886</v>
      </c>
      <c r="AE183" s="24">
        <f t="shared" si="46"/>
        <v>79.999999999999275</v>
      </c>
      <c r="AF183" s="25">
        <f t="shared" si="43"/>
        <v>61.999999999999304</v>
      </c>
      <c r="AG183" s="25">
        <f t="shared" si="43"/>
        <v>70.000000000000568</v>
      </c>
      <c r="AH183" s="25">
        <f t="shared" si="43"/>
        <v>74.999999999999886</v>
      </c>
      <c r="AI183" s="26">
        <f t="shared" si="43"/>
        <v>57.000000000000519</v>
      </c>
      <c r="AJ183" s="26">
        <f t="shared" si="43"/>
        <v>64.999999999999432</v>
      </c>
      <c r="AK183" s="26">
        <f t="shared" si="43"/>
        <v>70.000000000000568</v>
      </c>
    </row>
    <row r="184" spans="4:37" ht="20.100000000000001" customHeight="1">
      <c r="D184" s="27">
        <f t="shared" si="38"/>
        <v>0.50277777777777655</v>
      </c>
      <c r="E184" s="16">
        <f t="shared" si="45"/>
        <v>138.76666666666503</v>
      </c>
      <c r="F184" s="16">
        <f t="shared" si="45"/>
        <v>146.81111111111133</v>
      </c>
      <c r="G184" s="16">
        <f t="shared" si="45"/>
        <v>151.8388888888864</v>
      </c>
      <c r="H184" s="17">
        <f t="shared" si="45"/>
        <v>128.71111111111156</v>
      </c>
      <c r="I184" s="17">
        <f t="shared" si="45"/>
        <v>136.75555555555536</v>
      </c>
      <c r="J184" s="17">
        <f t="shared" si="45"/>
        <v>141.78333333333273</v>
      </c>
      <c r="K184" s="18">
        <f t="shared" si="45"/>
        <v>118.65555555555396</v>
      </c>
      <c r="L184" s="18">
        <f t="shared" si="45"/>
        <v>126.70000000000201</v>
      </c>
      <c r="M184" s="18">
        <f t="shared" si="45"/>
        <v>131.72777777777608</v>
      </c>
      <c r="N184" s="19">
        <f t="shared" si="45"/>
        <v>92.511111111110523</v>
      </c>
      <c r="O184" s="19">
        <f t="shared" si="45"/>
        <v>100.55555555555711</v>
      </c>
      <c r="P184" s="19">
        <f t="shared" si="45"/>
        <v>105.58333333333219</v>
      </c>
      <c r="Q184" s="20">
        <f t="shared" si="45"/>
        <v>87.483333333334514</v>
      </c>
      <c r="R184" s="20">
        <f t="shared" si="45"/>
        <v>95.527777777778908</v>
      </c>
      <c r="S184" s="20">
        <f t="shared" si="45"/>
        <v>100.55555555555711</v>
      </c>
      <c r="T184" s="21">
        <f t="shared" si="45"/>
        <v>82.455555555556799</v>
      </c>
      <c r="U184" s="21">
        <f t="shared" si="46"/>
        <v>90.5</v>
      </c>
      <c r="V184" s="21">
        <f t="shared" si="46"/>
        <v>95.527777777778908</v>
      </c>
      <c r="W184" s="22">
        <f t="shared" si="46"/>
        <v>77.427777777777891</v>
      </c>
      <c r="X184" s="22">
        <f t="shared" si="46"/>
        <v>85.472222222221092</v>
      </c>
      <c r="Y184" s="22">
        <f t="shared" si="46"/>
        <v>90.5</v>
      </c>
      <c r="Z184" s="23">
        <f t="shared" si="46"/>
        <v>72.399999999998983</v>
      </c>
      <c r="AA184" s="23">
        <f t="shared" si="46"/>
        <v>80.444444444443718</v>
      </c>
      <c r="AB184" s="23">
        <f t="shared" si="46"/>
        <v>85.472222222221092</v>
      </c>
      <c r="AC184" s="24">
        <f t="shared" si="46"/>
        <v>67.372222222222391</v>
      </c>
      <c r="AD184" s="24">
        <f t="shared" si="46"/>
        <v>75.416666666666558</v>
      </c>
      <c r="AE184" s="24">
        <f t="shared" si="46"/>
        <v>80.444444444443718</v>
      </c>
      <c r="AF184" s="25">
        <f t="shared" si="43"/>
        <v>62.344444444443745</v>
      </c>
      <c r="AG184" s="25">
        <f t="shared" si="43"/>
        <v>70.388888888889454</v>
      </c>
      <c r="AH184" s="25">
        <f t="shared" si="43"/>
        <v>75.416666666666558</v>
      </c>
      <c r="AI184" s="26">
        <f t="shared" si="43"/>
        <v>57.316666666667189</v>
      </c>
      <c r="AJ184" s="26">
        <f t="shared" si="43"/>
        <v>65.361111111110546</v>
      </c>
      <c r="AK184" s="26">
        <f t="shared" si="43"/>
        <v>70.388888888889454</v>
      </c>
    </row>
    <row r="185" spans="4:37" ht="20.100000000000001" customHeight="1">
      <c r="D185" s="27">
        <f t="shared" si="38"/>
        <v>0.50555555555555431</v>
      </c>
      <c r="E185" s="16">
        <f t="shared" si="45"/>
        <v>139.53333333333171</v>
      </c>
      <c r="F185" s="16">
        <f t="shared" si="45"/>
        <v>147.62222222222243</v>
      </c>
      <c r="G185" s="16">
        <f t="shared" si="45"/>
        <v>152.6777777777753</v>
      </c>
      <c r="H185" s="17">
        <f t="shared" si="45"/>
        <v>129.42222222222267</v>
      </c>
      <c r="I185" s="17">
        <f t="shared" si="45"/>
        <v>137.51111111111092</v>
      </c>
      <c r="J185" s="17">
        <f t="shared" si="45"/>
        <v>142.56666666666607</v>
      </c>
      <c r="K185" s="18">
        <f t="shared" si="45"/>
        <v>119.31111111110951</v>
      </c>
      <c r="L185" s="18">
        <f t="shared" si="45"/>
        <v>127.40000000000201</v>
      </c>
      <c r="M185" s="18">
        <f t="shared" si="45"/>
        <v>132.45555555555387</v>
      </c>
      <c r="N185" s="19">
        <f t="shared" si="45"/>
        <v>93.022222222221629</v>
      </c>
      <c r="O185" s="19">
        <f t="shared" si="45"/>
        <v>101.11111111111266</v>
      </c>
      <c r="P185" s="19">
        <f t="shared" si="45"/>
        <v>106.16666666666552</v>
      </c>
      <c r="Q185" s="20">
        <f t="shared" si="45"/>
        <v>87.966666666667848</v>
      </c>
      <c r="R185" s="20">
        <f t="shared" si="45"/>
        <v>96.05555555555668</v>
      </c>
      <c r="S185" s="20">
        <f t="shared" si="45"/>
        <v>101.11111111111266</v>
      </c>
      <c r="T185" s="21">
        <f t="shared" si="45"/>
        <v>82.911111111112348</v>
      </c>
      <c r="U185" s="21">
        <f t="shared" si="46"/>
        <v>91</v>
      </c>
      <c r="V185" s="21">
        <f t="shared" si="46"/>
        <v>96.05555555555668</v>
      </c>
      <c r="W185" s="22">
        <f t="shared" si="46"/>
        <v>77.855555555555668</v>
      </c>
      <c r="X185" s="22">
        <f t="shared" si="46"/>
        <v>85.94444444444332</v>
      </c>
      <c r="Y185" s="22">
        <f t="shared" si="46"/>
        <v>91</v>
      </c>
      <c r="Z185" s="23">
        <f t="shared" si="46"/>
        <v>72.799999999998988</v>
      </c>
      <c r="AA185" s="23">
        <f t="shared" si="46"/>
        <v>80.888888888888161</v>
      </c>
      <c r="AB185" s="23">
        <f t="shared" si="46"/>
        <v>85.94444444444332</v>
      </c>
      <c r="AC185" s="24">
        <f t="shared" si="46"/>
        <v>67.744444444444611</v>
      </c>
      <c r="AD185" s="24">
        <f t="shared" si="46"/>
        <v>75.833333333333229</v>
      </c>
      <c r="AE185" s="24">
        <f t="shared" si="46"/>
        <v>80.888888888888161</v>
      </c>
      <c r="AF185" s="25">
        <f t="shared" si="43"/>
        <v>62.688888888888187</v>
      </c>
      <c r="AG185" s="25">
        <f t="shared" si="43"/>
        <v>70.77777777777834</v>
      </c>
      <c r="AH185" s="25">
        <f t="shared" si="43"/>
        <v>75.833333333333229</v>
      </c>
      <c r="AI185" s="26">
        <f t="shared" si="43"/>
        <v>57.633333333333859</v>
      </c>
      <c r="AJ185" s="26">
        <f t="shared" si="43"/>
        <v>65.72222222222166</v>
      </c>
      <c r="AK185" s="26">
        <f t="shared" si="43"/>
        <v>70.77777777777834</v>
      </c>
    </row>
    <row r="186" spans="4:37" ht="20.100000000000001" customHeight="1">
      <c r="D186" s="27">
        <f t="shared" si="38"/>
        <v>0.50833333333333208</v>
      </c>
      <c r="E186" s="16">
        <f t="shared" si="45"/>
        <v>140.29999999999839</v>
      </c>
      <c r="F186" s="16">
        <f t="shared" si="45"/>
        <v>148.43333333333354</v>
      </c>
      <c r="G186" s="16">
        <f t="shared" si="45"/>
        <v>153.51666666666421</v>
      </c>
      <c r="H186" s="17">
        <f t="shared" si="45"/>
        <v>130.13333333333378</v>
      </c>
      <c r="I186" s="17">
        <f t="shared" si="45"/>
        <v>138.26666666666648</v>
      </c>
      <c r="J186" s="17">
        <f t="shared" si="45"/>
        <v>143.3499999999994</v>
      </c>
      <c r="K186" s="18">
        <f t="shared" si="45"/>
        <v>119.96666666666506</v>
      </c>
      <c r="L186" s="18">
        <f t="shared" si="45"/>
        <v>128.10000000000201</v>
      </c>
      <c r="M186" s="18">
        <f t="shared" si="45"/>
        <v>133.18333333333166</v>
      </c>
      <c r="N186" s="19">
        <f t="shared" si="45"/>
        <v>93.533333333332735</v>
      </c>
      <c r="O186" s="19">
        <f t="shared" si="45"/>
        <v>101.66666666666822</v>
      </c>
      <c r="P186" s="19">
        <f t="shared" si="45"/>
        <v>106.74999999999885</v>
      </c>
      <c r="Q186" s="20">
        <f t="shared" si="45"/>
        <v>88.450000000001182</v>
      </c>
      <c r="R186" s="20">
        <f t="shared" si="45"/>
        <v>96.583333333334451</v>
      </c>
      <c r="S186" s="20">
        <f t="shared" si="45"/>
        <v>101.66666666666822</v>
      </c>
      <c r="T186" s="21">
        <f t="shared" si="45"/>
        <v>83.366666666667896</v>
      </c>
      <c r="U186" s="21">
        <f t="shared" si="46"/>
        <v>91.5</v>
      </c>
      <c r="V186" s="21">
        <f t="shared" si="46"/>
        <v>96.583333333334451</v>
      </c>
      <c r="W186" s="22">
        <f t="shared" si="46"/>
        <v>78.283333333333445</v>
      </c>
      <c r="X186" s="22">
        <f t="shared" si="46"/>
        <v>86.416666666665549</v>
      </c>
      <c r="Y186" s="22">
        <f t="shared" si="46"/>
        <v>91.5</v>
      </c>
      <c r="Z186" s="23">
        <f t="shared" si="46"/>
        <v>73.199999999998994</v>
      </c>
      <c r="AA186" s="23">
        <f t="shared" si="46"/>
        <v>81.333333333332604</v>
      </c>
      <c r="AB186" s="23">
        <f t="shared" si="46"/>
        <v>86.416666666665549</v>
      </c>
      <c r="AC186" s="24">
        <f t="shared" si="46"/>
        <v>68.116666666666831</v>
      </c>
      <c r="AD186" s="24">
        <f t="shared" si="46"/>
        <v>76.249999999999901</v>
      </c>
      <c r="AE186" s="24">
        <f t="shared" si="46"/>
        <v>81.333333333332604</v>
      </c>
      <c r="AF186" s="25">
        <f t="shared" si="43"/>
        <v>63.033333333332628</v>
      </c>
      <c r="AG186" s="25">
        <f t="shared" si="43"/>
        <v>71.166666666667226</v>
      </c>
      <c r="AH186" s="25">
        <f t="shared" si="43"/>
        <v>76.249999999999901</v>
      </c>
      <c r="AI186" s="26">
        <f t="shared" si="43"/>
        <v>57.950000000000529</v>
      </c>
      <c r="AJ186" s="26">
        <f t="shared" si="43"/>
        <v>66.083333333332774</v>
      </c>
      <c r="AK186" s="26">
        <f t="shared" si="43"/>
        <v>71.166666666667226</v>
      </c>
    </row>
    <row r="187" spans="4:37" ht="20.100000000000001" customHeight="1">
      <c r="D187" s="27">
        <f t="shared" si="38"/>
        <v>0.51111111111110985</v>
      </c>
      <c r="E187" s="16">
        <f t="shared" si="45"/>
        <v>141.06666666666507</v>
      </c>
      <c r="F187" s="16">
        <f t="shared" si="45"/>
        <v>149.24444444444464</v>
      </c>
      <c r="G187" s="16">
        <f t="shared" si="45"/>
        <v>154.35555555555311</v>
      </c>
      <c r="H187" s="17">
        <f t="shared" si="45"/>
        <v>130.84444444444489</v>
      </c>
      <c r="I187" s="17">
        <f t="shared" si="45"/>
        <v>139.02222222222204</v>
      </c>
      <c r="J187" s="17">
        <f t="shared" si="45"/>
        <v>144.13333333333273</v>
      </c>
      <c r="K187" s="18">
        <f t="shared" si="45"/>
        <v>120.62222222222061</v>
      </c>
      <c r="L187" s="18">
        <f t="shared" si="45"/>
        <v>128.800000000002</v>
      </c>
      <c r="M187" s="18">
        <f t="shared" si="45"/>
        <v>133.91111111110945</v>
      </c>
      <c r="N187" s="19">
        <f t="shared" si="45"/>
        <v>94.04444444444384</v>
      </c>
      <c r="O187" s="19">
        <f t="shared" si="45"/>
        <v>102.22222222222378</v>
      </c>
      <c r="P187" s="19">
        <f t="shared" si="45"/>
        <v>107.33333333333218</v>
      </c>
      <c r="Q187" s="20">
        <f t="shared" si="45"/>
        <v>88.933333333334517</v>
      </c>
      <c r="R187" s="20">
        <f t="shared" si="45"/>
        <v>97.111111111112223</v>
      </c>
      <c r="S187" s="20">
        <f t="shared" si="45"/>
        <v>102.22222222222378</v>
      </c>
      <c r="T187" s="21">
        <f t="shared" si="45"/>
        <v>83.822222222223445</v>
      </c>
      <c r="U187" s="21">
        <f t="shared" si="46"/>
        <v>92</v>
      </c>
      <c r="V187" s="21">
        <f t="shared" si="46"/>
        <v>97.111111111112223</v>
      </c>
      <c r="W187" s="22">
        <f t="shared" si="46"/>
        <v>78.711111111111222</v>
      </c>
      <c r="X187" s="22">
        <f t="shared" si="46"/>
        <v>86.888888888887777</v>
      </c>
      <c r="Y187" s="22">
        <f t="shared" si="46"/>
        <v>92</v>
      </c>
      <c r="Z187" s="23">
        <f t="shared" si="46"/>
        <v>73.599999999999</v>
      </c>
      <c r="AA187" s="23">
        <f t="shared" si="46"/>
        <v>81.777777777777047</v>
      </c>
      <c r="AB187" s="23">
        <f t="shared" si="46"/>
        <v>86.888888888887777</v>
      </c>
      <c r="AC187" s="24">
        <f t="shared" si="46"/>
        <v>68.488888888889051</v>
      </c>
      <c r="AD187" s="24">
        <f t="shared" si="46"/>
        <v>76.666666666666572</v>
      </c>
      <c r="AE187" s="24">
        <f t="shared" si="46"/>
        <v>81.777777777777047</v>
      </c>
      <c r="AF187" s="25">
        <f t="shared" si="43"/>
        <v>63.377777777777069</v>
      </c>
      <c r="AG187" s="25">
        <f t="shared" si="43"/>
        <v>71.555555555556111</v>
      </c>
      <c r="AH187" s="25">
        <f t="shared" si="43"/>
        <v>76.666666666666572</v>
      </c>
      <c r="AI187" s="26">
        <f t="shared" si="43"/>
        <v>58.266666666667199</v>
      </c>
      <c r="AJ187" s="26">
        <f t="shared" si="43"/>
        <v>66.444444444443889</v>
      </c>
      <c r="AK187" s="26">
        <f t="shared" si="43"/>
        <v>71.555555555556111</v>
      </c>
    </row>
    <row r="188" spans="4:37" ht="20.100000000000001" customHeight="1">
      <c r="D188" s="27">
        <f t="shared" si="38"/>
        <v>0.51388888888888762</v>
      </c>
      <c r="E188" s="16">
        <f t="shared" si="45"/>
        <v>141.83333333333175</v>
      </c>
      <c r="F188" s="16">
        <f t="shared" si="45"/>
        <v>150.05555555555574</v>
      </c>
      <c r="G188" s="16">
        <f t="shared" si="45"/>
        <v>155.19444444444201</v>
      </c>
      <c r="H188" s="17">
        <f t="shared" si="45"/>
        <v>131.555555555556</v>
      </c>
      <c r="I188" s="17">
        <f t="shared" si="45"/>
        <v>139.7777777777776</v>
      </c>
      <c r="J188" s="17">
        <f t="shared" si="45"/>
        <v>144.91666666666606</v>
      </c>
      <c r="K188" s="18">
        <f t="shared" si="45"/>
        <v>121.27777777777617</v>
      </c>
      <c r="L188" s="18">
        <f t="shared" si="45"/>
        <v>129.50000000000199</v>
      </c>
      <c r="M188" s="18">
        <f t="shared" si="45"/>
        <v>134.63888888888724</v>
      </c>
      <c r="N188" s="19">
        <f t="shared" si="45"/>
        <v>94.555555555554946</v>
      </c>
      <c r="O188" s="19">
        <f t="shared" si="45"/>
        <v>102.77777777777933</v>
      </c>
      <c r="P188" s="19">
        <f t="shared" si="45"/>
        <v>107.91666666666551</v>
      </c>
      <c r="Q188" s="20">
        <f t="shared" si="45"/>
        <v>89.416666666667851</v>
      </c>
      <c r="R188" s="20">
        <f t="shared" si="45"/>
        <v>97.638888888889994</v>
      </c>
      <c r="S188" s="20">
        <f t="shared" si="45"/>
        <v>102.77777777777933</v>
      </c>
      <c r="T188" s="21">
        <f t="shared" si="45"/>
        <v>84.277777777778994</v>
      </c>
      <c r="U188" s="21">
        <f t="shared" si="46"/>
        <v>92.5</v>
      </c>
      <c r="V188" s="21">
        <f t="shared" si="46"/>
        <v>97.638888888889994</v>
      </c>
      <c r="W188" s="22">
        <f t="shared" si="46"/>
        <v>79.138888888888999</v>
      </c>
      <c r="X188" s="22">
        <f t="shared" si="46"/>
        <v>87.361111111110006</v>
      </c>
      <c r="Y188" s="22">
        <f t="shared" si="46"/>
        <v>92.5</v>
      </c>
      <c r="Z188" s="23">
        <f t="shared" si="46"/>
        <v>73.999999999999005</v>
      </c>
      <c r="AA188" s="23">
        <f t="shared" si="46"/>
        <v>82.22222222222149</v>
      </c>
      <c r="AB188" s="23">
        <f t="shared" si="46"/>
        <v>87.361111111110006</v>
      </c>
      <c r="AC188" s="24">
        <f t="shared" si="46"/>
        <v>68.861111111111271</v>
      </c>
      <c r="AD188" s="24">
        <f t="shared" si="46"/>
        <v>77.083333333333243</v>
      </c>
      <c r="AE188" s="24">
        <f t="shared" si="46"/>
        <v>82.22222222222149</v>
      </c>
      <c r="AF188" s="25">
        <f t="shared" si="43"/>
        <v>63.722222222221511</v>
      </c>
      <c r="AG188" s="25">
        <f t="shared" si="43"/>
        <v>71.944444444444997</v>
      </c>
      <c r="AH188" s="25">
        <f t="shared" si="43"/>
        <v>77.083333333333243</v>
      </c>
      <c r="AI188" s="26">
        <f t="shared" si="43"/>
        <v>58.583333333333869</v>
      </c>
      <c r="AJ188" s="26">
        <f t="shared" si="43"/>
        <v>66.805555555555003</v>
      </c>
      <c r="AK188" s="26">
        <f t="shared" si="43"/>
        <v>71.944444444444997</v>
      </c>
    </row>
    <row r="189" spans="4:37" ht="20.100000000000001" customHeight="1">
      <c r="D189" s="27">
        <f t="shared" si="38"/>
        <v>0.51666666666666539</v>
      </c>
      <c r="E189" s="16">
        <f t="shared" si="45"/>
        <v>142.59999999999843</v>
      </c>
      <c r="F189" s="16">
        <f t="shared" si="45"/>
        <v>150.86666666666684</v>
      </c>
      <c r="G189" s="16">
        <f t="shared" si="45"/>
        <v>156.03333333333092</v>
      </c>
      <c r="H189" s="17">
        <f t="shared" si="45"/>
        <v>132.26666666666711</v>
      </c>
      <c r="I189" s="17">
        <f t="shared" si="45"/>
        <v>140.53333333333316</v>
      </c>
      <c r="J189" s="17">
        <f t="shared" si="45"/>
        <v>145.69999999999939</v>
      </c>
      <c r="K189" s="18">
        <f t="shared" si="45"/>
        <v>121.93333333333172</v>
      </c>
      <c r="L189" s="18">
        <f t="shared" si="45"/>
        <v>130.20000000000198</v>
      </c>
      <c r="M189" s="18">
        <f t="shared" si="45"/>
        <v>135.36666666666503</v>
      </c>
      <c r="N189" s="19">
        <f t="shared" si="45"/>
        <v>95.066666666666052</v>
      </c>
      <c r="O189" s="19">
        <f t="shared" si="45"/>
        <v>103.33333333333489</v>
      </c>
      <c r="P189" s="19">
        <f t="shared" si="45"/>
        <v>108.49999999999883</v>
      </c>
      <c r="Q189" s="20">
        <f t="shared" si="45"/>
        <v>89.900000000001185</v>
      </c>
      <c r="R189" s="20">
        <f t="shared" si="45"/>
        <v>98.166666666667766</v>
      </c>
      <c r="S189" s="20">
        <f t="shared" si="45"/>
        <v>103.33333333333489</v>
      </c>
      <c r="T189" s="21">
        <f t="shared" si="45"/>
        <v>84.733333333334542</v>
      </c>
      <c r="U189" s="21">
        <f t="shared" si="46"/>
        <v>93</v>
      </c>
      <c r="V189" s="21">
        <f t="shared" si="46"/>
        <v>98.166666666667766</v>
      </c>
      <c r="W189" s="22">
        <f t="shared" si="46"/>
        <v>79.566666666666777</v>
      </c>
      <c r="X189" s="22">
        <f t="shared" si="46"/>
        <v>87.833333333332234</v>
      </c>
      <c r="Y189" s="22">
        <f t="shared" si="46"/>
        <v>93</v>
      </c>
      <c r="Z189" s="23">
        <f t="shared" si="46"/>
        <v>74.399999999999011</v>
      </c>
      <c r="AA189" s="23">
        <f t="shared" si="46"/>
        <v>82.666666666665932</v>
      </c>
      <c r="AB189" s="23">
        <f t="shared" si="46"/>
        <v>87.833333333332234</v>
      </c>
      <c r="AC189" s="24">
        <f t="shared" si="46"/>
        <v>69.233333333333491</v>
      </c>
      <c r="AD189" s="24">
        <f t="shared" si="46"/>
        <v>77.499999999999915</v>
      </c>
      <c r="AE189" s="24">
        <f t="shared" si="46"/>
        <v>82.666666666665932</v>
      </c>
      <c r="AF189" s="25">
        <f t="shared" si="43"/>
        <v>64.066666666665952</v>
      </c>
      <c r="AG189" s="25">
        <f t="shared" si="43"/>
        <v>72.333333333333883</v>
      </c>
      <c r="AH189" s="25">
        <f t="shared" si="43"/>
        <v>77.499999999999915</v>
      </c>
      <c r="AI189" s="26">
        <f t="shared" si="43"/>
        <v>58.900000000000539</v>
      </c>
      <c r="AJ189" s="26">
        <f t="shared" si="43"/>
        <v>67.166666666666117</v>
      </c>
      <c r="AK189" s="26">
        <f t="shared" si="43"/>
        <v>72.333333333333883</v>
      </c>
    </row>
    <row r="190" spans="4:37" ht="20.100000000000001" customHeight="1">
      <c r="D190" s="27">
        <f t="shared" si="38"/>
        <v>0.51944444444444315</v>
      </c>
      <c r="E190" s="16">
        <f t="shared" si="45"/>
        <v>143.36666666666511</v>
      </c>
      <c r="F190" s="16">
        <f t="shared" si="45"/>
        <v>151.67777777777795</v>
      </c>
      <c r="G190" s="16">
        <f t="shared" si="45"/>
        <v>156.87222222221982</v>
      </c>
      <c r="H190" s="17">
        <f t="shared" si="45"/>
        <v>132.97777777777821</v>
      </c>
      <c r="I190" s="17">
        <f t="shared" si="45"/>
        <v>141.28888888888872</v>
      </c>
      <c r="J190" s="17">
        <f t="shared" si="45"/>
        <v>146.48333333333272</v>
      </c>
      <c r="K190" s="18">
        <f t="shared" si="45"/>
        <v>122.58888888888727</v>
      </c>
      <c r="L190" s="18">
        <f t="shared" si="45"/>
        <v>130.90000000000197</v>
      </c>
      <c r="M190" s="18">
        <f t="shared" si="45"/>
        <v>136.09444444444281</v>
      </c>
      <c r="N190" s="19">
        <f t="shared" si="45"/>
        <v>95.577777777777158</v>
      </c>
      <c r="O190" s="19">
        <f t="shared" si="45"/>
        <v>103.88888888889045</v>
      </c>
      <c r="P190" s="19">
        <f t="shared" si="45"/>
        <v>109.08333333333216</v>
      </c>
      <c r="Q190" s="20">
        <f t="shared" si="45"/>
        <v>90.383333333334519</v>
      </c>
      <c r="R190" s="20">
        <f t="shared" si="45"/>
        <v>98.694444444445537</v>
      </c>
      <c r="S190" s="20">
        <f t="shared" si="45"/>
        <v>103.88888888889045</v>
      </c>
      <c r="T190" s="21">
        <f t="shared" si="45"/>
        <v>85.188888888890091</v>
      </c>
      <c r="U190" s="21">
        <f t="shared" si="46"/>
        <v>93.5</v>
      </c>
      <c r="V190" s="21">
        <f t="shared" si="46"/>
        <v>98.694444444445537</v>
      </c>
      <c r="W190" s="22">
        <f t="shared" si="46"/>
        <v>79.994444444444554</v>
      </c>
      <c r="X190" s="22">
        <f t="shared" si="46"/>
        <v>88.305555555554463</v>
      </c>
      <c r="Y190" s="22">
        <f t="shared" si="46"/>
        <v>93.5</v>
      </c>
      <c r="Z190" s="23">
        <f t="shared" si="46"/>
        <v>74.799999999999017</v>
      </c>
      <c r="AA190" s="23">
        <f t="shared" si="46"/>
        <v>83.111111111110375</v>
      </c>
      <c r="AB190" s="23">
        <f t="shared" si="46"/>
        <v>88.305555555554463</v>
      </c>
      <c r="AC190" s="24">
        <f t="shared" si="46"/>
        <v>69.605555555555711</v>
      </c>
      <c r="AD190" s="24">
        <f t="shared" si="46"/>
        <v>77.916666666666586</v>
      </c>
      <c r="AE190" s="24">
        <f t="shared" si="46"/>
        <v>83.111111111110375</v>
      </c>
      <c r="AF190" s="25">
        <f t="shared" si="43"/>
        <v>64.411111111110401</v>
      </c>
      <c r="AG190" s="25">
        <f t="shared" si="43"/>
        <v>72.722222222222769</v>
      </c>
      <c r="AH190" s="25">
        <f t="shared" si="43"/>
        <v>77.916666666666586</v>
      </c>
      <c r="AI190" s="26">
        <f t="shared" si="43"/>
        <v>59.216666666667209</v>
      </c>
      <c r="AJ190" s="26">
        <f t="shared" si="43"/>
        <v>67.527777777777231</v>
      </c>
      <c r="AK190" s="26">
        <f t="shared" si="43"/>
        <v>72.722222222222769</v>
      </c>
    </row>
    <row r="191" spans="4:37" ht="20.100000000000001" customHeight="1">
      <c r="D191" s="27">
        <f t="shared" si="38"/>
        <v>0.52222222222222092</v>
      </c>
      <c r="E191" s="16">
        <f t="shared" si="45"/>
        <v>144.13333333333179</v>
      </c>
      <c r="F191" s="16">
        <f t="shared" si="45"/>
        <v>152.48888888888905</v>
      </c>
      <c r="G191" s="16">
        <f t="shared" si="45"/>
        <v>157.71111111110872</v>
      </c>
      <c r="H191" s="17">
        <f t="shared" si="45"/>
        <v>133.68888888888932</v>
      </c>
      <c r="I191" s="17">
        <f t="shared" si="45"/>
        <v>142.04444444444428</v>
      </c>
      <c r="J191" s="17">
        <f t="shared" si="45"/>
        <v>147.26666666666605</v>
      </c>
      <c r="K191" s="18">
        <f t="shared" si="45"/>
        <v>123.24444444444282</v>
      </c>
      <c r="L191" s="18">
        <f t="shared" si="45"/>
        <v>131.60000000000196</v>
      </c>
      <c r="M191" s="18">
        <f t="shared" si="45"/>
        <v>136.8222222222206</v>
      </c>
      <c r="N191" s="19">
        <f t="shared" si="45"/>
        <v>96.088888888888263</v>
      </c>
      <c r="O191" s="19">
        <f t="shared" si="45"/>
        <v>104.44444444444601</v>
      </c>
      <c r="P191" s="19">
        <f t="shared" si="45"/>
        <v>109.66666666666549</v>
      </c>
      <c r="Q191" s="20">
        <f t="shared" si="45"/>
        <v>90.866666666667854</v>
      </c>
      <c r="R191" s="20">
        <f t="shared" si="45"/>
        <v>99.222222222223309</v>
      </c>
      <c r="S191" s="20">
        <f t="shared" si="45"/>
        <v>104.44444444444601</v>
      </c>
      <c r="T191" s="21">
        <f t="shared" si="45"/>
        <v>85.644444444445639</v>
      </c>
      <c r="U191" s="21">
        <f t="shared" si="46"/>
        <v>94</v>
      </c>
      <c r="V191" s="21">
        <f t="shared" si="46"/>
        <v>99.222222222223309</v>
      </c>
      <c r="W191" s="22">
        <f t="shared" si="46"/>
        <v>80.422222222222331</v>
      </c>
      <c r="X191" s="22">
        <f t="shared" si="46"/>
        <v>88.777777777776691</v>
      </c>
      <c r="Y191" s="22">
        <f t="shared" si="46"/>
        <v>94</v>
      </c>
      <c r="Z191" s="23">
        <f t="shared" si="46"/>
        <v>75.199999999999022</v>
      </c>
      <c r="AA191" s="23">
        <f t="shared" si="46"/>
        <v>83.555555555554818</v>
      </c>
      <c r="AB191" s="23">
        <f t="shared" si="46"/>
        <v>88.777777777776691</v>
      </c>
      <c r="AC191" s="24">
        <f t="shared" si="46"/>
        <v>69.977777777777931</v>
      </c>
      <c r="AD191" s="24">
        <f t="shared" si="46"/>
        <v>78.333333333333258</v>
      </c>
      <c r="AE191" s="24">
        <f t="shared" si="46"/>
        <v>83.555555555554818</v>
      </c>
      <c r="AF191" s="25">
        <f t="shared" si="43"/>
        <v>64.755555555554849</v>
      </c>
      <c r="AG191" s="25">
        <f t="shared" si="43"/>
        <v>73.111111111111654</v>
      </c>
      <c r="AH191" s="25">
        <f t="shared" si="43"/>
        <v>78.333333333333258</v>
      </c>
      <c r="AI191" s="26">
        <f t="shared" si="43"/>
        <v>59.533333333333879</v>
      </c>
      <c r="AJ191" s="26">
        <f t="shared" si="43"/>
        <v>67.888888888888346</v>
      </c>
      <c r="AK191" s="26">
        <f t="shared" si="43"/>
        <v>73.111111111111654</v>
      </c>
    </row>
    <row r="192" spans="4:37" ht="20.100000000000001" customHeight="1">
      <c r="D192" s="27">
        <f t="shared" si="38"/>
        <v>0.52499999999999869</v>
      </c>
      <c r="E192" s="16">
        <f t="shared" si="45"/>
        <v>144.89999999999847</v>
      </c>
      <c r="F192" s="16">
        <f t="shared" si="45"/>
        <v>153.30000000000015</v>
      </c>
      <c r="G192" s="16">
        <f t="shared" si="45"/>
        <v>158.54999999999762</v>
      </c>
      <c r="H192" s="17">
        <f t="shared" si="45"/>
        <v>134.40000000000043</v>
      </c>
      <c r="I192" s="17">
        <f t="shared" si="45"/>
        <v>142.79999999999984</v>
      </c>
      <c r="J192" s="17">
        <f t="shared" si="45"/>
        <v>148.04999999999939</v>
      </c>
      <c r="K192" s="18">
        <f t="shared" si="45"/>
        <v>123.89999999999837</v>
      </c>
      <c r="L192" s="18">
        <f t="shared" si="45"/>
        <v>132.30000000000194</v>
      </c>
      <c r="M192" s="18">
        <f t="shared" si="45"/>
        <v>137.54999999999839</v>
      </c>
      <c r="N192" s="19">
        <f t="shared" si="45"/>
        <v>96.599999999999369</v>
      </c>
      <c r="O192" s="19">
        <f t="shared" si="45"/>
        <v>105.00000000000156</v>
      </c>
      <c r="P192" s="19">
        <f t="shared" si="45"/>
        <v>110.24999999999882</v>
      </c>
      <c r="Q192" s="20">
        <f t="shared" si="45"/>
        <v>91.350000000001188</v>
      </c>
      <c r="R192" s="20">
        <f t="shared" si="45"/>
        <v>99.75000000000108</v>
      </c>
      <c r="S192" s="20">
        <f t="shared" si="45"/>
        <v>105.00000000000156</v>
      </c>
      <c r="T192" s="21">
        <f t="shared" si="45"/>
        <v>86.100000000001188</v>
      </c>
      <c r="U192" s="21">
        <f t="shared" si="46"/>
        <v>94.5</v>
      </c>
      <c r="V192" s="21">
        <f t="shared" si="46"/>
        <v>99.75000000000108</v>
      </c>
      <c r="W192" s="22">
        <f t="shared" si="46"/>
        <v>80.850000000000108</v>
      </c>
      <c r="X192" s="22">
        <f t="shared" si="46"/>
        <v>89.24999999999892</v>
      </c>
      <c r="Y192" s="22">
        <f t="shared" si="46"/>
        <v>94.5</v>
      </c>
      <c r="Z192" s="23">
        <f t="shared" si="46"/>
        <v>75.599999999999028</v>
      </c>
      <c r="AA192" s="23">
        <f t="shared" si="46"/>
        <v>83.999999999999261</v>
      </c>
      <c r="AB192" s="23">
        <f t="shared" si="46"/>
        <v>89.24999999999892</v>
      </c>
      <c r="AC192" s="24">
        <f t="shared" si="46"/>
        <v>70.350000000000151</v>
      </c>
      <c r="AD192" s="24">
        <f t="shared" si="46"/>
        <v>78.749999999999929</v>
      </c>
      <c r="AE192" s="24">
        <f t="shared" si="46"/>
        <v>83.999999999999261</v>
      </c>
      <c r="AF192" s="25">
        <f t="shared" si="43"/>
        <v>65.099999999999298</v>
      </c>
      <c r="AG192" s="25">
        <f t="shared" si="43"/>
        <v>73.50000000000054</v>
      </c>
      <c r="AH192" s="25">
        <f t="shared" si="43"/>
        <v>78.749999999999929</v>
      </c>
      <c r="AI192" s="26">
        <f t="shared" si="43"/>
        <v>59.850000000000549</v>
      </c>
      <c r="AJ192" s="26">
        <f t="shared" si="43"/>
        <v>68.24999999999946</v>
      </c>
      <c r="AK192" s="26">
        <f t="shared" si="43"/>
        <v>73.50000000000054</v>
      </c>
    </row>
    <row r="193" spans="4:37" ht="20.100000000000001" customHeight="1">
      <c r="D193" s="27">
        <f t="shared" si="38"/>
        <v>0.52777777777777646</v>
      </c>
      <c r="E193" s="16">
        <f t="shared" si="45"/>
        <v>145.66666666666515</v>
      </c>
      <c r="F193" s="16">
        <f t="shared" si="45"/>
        <v>154.11111111111126</v>
      </c>
      <c r="G193" s="16">
        <f t="shared" si="45"/>
        <v>159.38888888888653</v>
      </c>
      <c r="H193" s="17">
        <f t="shared" si="45"/>
        <v>135.11111111111154</v>
      </c>
      <c r="I193" s="17">
        <f t="shared" si="45"/>
        <v>143.5555555555554</v>
      </c>
      <c r="J193" s="17">
        <f t="shared" si="45"/>
        <v>148.83333333333272</v>
      </c>
      <c r="K193" s="18">
        <f t="shared" si="45"/>
        <v>124.55555555555392</v>
      </c>
      <c r="L193" s="18">
        <f t="shared" si="45"/>
        <v>133.00000000000193</v>
      </c>
      <c r="M193" s="18">
        <f t="shared" si="45"/>
        <v>138.27777777777618</v>
      </c>
      <c r="N193" s="19">
        <f t="shared" si="45"/>
        <v>97.111111111110475</v>
      </c>
      <c r="O193" s="19">
        <f t="shared" si="45"/>
        <v>105.55555555555712</v>
      </c>
      <c r="P193" s="19">
        <f t="shared" si="45"/>
        <v>110.83333333333215</v>
      </c>
      <c r="Q193" s="20">
        <f t="shared" si="45"/>
        <v>91.833333333334522</v>
      </c>
      <c r="R193" s="20">
        <f t="shared" si="45"/>
        <v>100.27777777777885</v>
      </c>
      <c r="S193" s="20">
        <f t="shared" si="45"/>
        <v>105.55555555555712</v>
      </c>
      <c r="T193" s="21">
        <f>T194-(T$363/360)</f>
        <v>86.555555555556737</v>
      </c>
      <c r="U193" s="21">
        <f t="shared" si="46"/>
        <v>95</v>
      </c>
      <c r="V193" s="21">
        <f t="shared" si="46"/>
        <v>100.27777777777885</v>
      </c>
      <c r="W193" s="22">
        <f t="shared" si="46"/>
        <v>81.277777777777885</v>
      </c>
      <c r="X193" s="22">
        <f t="shared" si="46"/>
        <v>89.722222222221149</v>
      </c>
      <c r="Y193" s="22">
        <f t="shared" si="46"/>
        <v>95</v>
      </c>
      <c r="Z193" s="23">
        <f t="shared" si="46"/>
        <v>75.999999999999034</v>
      </c>
      <c r="AA193" s="23">
        <f t="shared" si="46"/>
        <v>84.444444444443704</v>
      </c>
      <c r="AB193" s="23">
        <f t="shared" si="46"/>
        <v>89.722222222221149</v>
      </c>
      <c r="AC193" s="24">
        <f t="shared" si="46"/>
        <v>70.722222222222371</v>
      </c>
      <c r="AD193" s="24">
        <f t="shared" si="46"/>
        <v>79.1666666666666</v>
      </c>
      <c r="AE193" s="24">
        <f t="shared" si="46"/>
        <v>84.444444444443704</v>
      </c>
      <c r="AF193" s="25">
        <f t="shared" si="43"/>
        <v>65.444444444443747</v>
      </c>
      <c r="AG193" s="25">
        <f t="shared" si="43"/>
        <v>73.888888888889426</v>
      </c>
      <c r="AH193" s="25">
        <f t="shared" si="43"/>
        <v>79.1666666666666</v>
      </c>
      <c r="AI193" s="26">
        <f t="shared" si="43"/>
        <v>60.166666666667219</v>
      </c>
      <c r="AJ193" s="26">
        <f t="shared" si="43"/>
        <v>68.611111111110574</v>
      </c>
      <c r="AK193" s="26">
        <f t="shared" si="43"/>
        <v>73.888888888889426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146.43333333333183</v>
      </c>
      <c r="F194" s="16">
        <f t="shared" si="47"/>
        <v>154.92222222222236</v>
      </c>
      <c r="G194" s="16">
        <f t="shared" si="47"/>
        <v>160.22777777777543</v>
      </c>
      <c r="H194" s="17">
        <f t="shared" si="47"/>
        <v>135.82222222222265</v>
      </c>
      <c r="I194" s="17">
        <f t="shared" si="47"/>
        <v>144.31111111111096</v>
      </c>
      <c r="J194" s="17">
        <f t="shared" si="47"/>
        <v>149.61666666666605</v>
      </c>
      <c r="K194" s="18">
        <f t="shared" si="47"/>
        <v>125.21111111110947</v>
      </c>
      <c r="L194" s="18">
        <f t="shared" si="47"/>
        <v>133.70000000000192</v>
      </c>
      <c r="M194" s="18">
        <f t="shared" si="47"/>
        <v>139.00555555555397</v>
      </c>
      <c r="N194" s="19">
        <f t="shared" si="47"/>
        <v>97.622222222221581</v>
      </c>
      <c r="O194" s="19">
        <f t="shared" si="47"/>
        <v>106.11111111111268</v>
      </c>
      <c r="P194" s="19">
        <f t="shared" si="47"/>
        <v>111.41666666666548</v>
      </c>
      <c r="Q194" s="20">
        <f t="shared" si="47"/>
        <v>92.316666666667857</v>
      </c>
      <c r="R194" s="20">
        <f t="shared" si="47"/>
        <v>100.80555555555662</v>
      </c>
      <c r="S194" s="20">
        <f t="shared" si="47"/>
        <v>106.11111111111268</v>
      </c>
      <c r="T194" s="21">
        <f t="shared" si="47"/>
        <v>87.011111111112285</v>
      </c>
      <c r="U194" s="21">
        <f t="shared" si="46"/>
        <v>95.5</v>
      </c>
      <c r="V194" s="21">
        <f t="shared" si="46"/>
        <v>100.80555555555662</v>
      </c>
      <c r="W194" s="22">
        <f t="shared" si="46"/>
        <v>81.705555555555662</v>
      </c>
      <c r="X194" s="22">
        <f t="shared" si="46"/>
        <v>90.194444444443377</v>
      </c>
      <c r="Y194" s="22">
        <f t="shared" si="46"/>
        <v>95.5</v>
      </c>
      <c r="Z194" s="23">
        <f t="shared" si="46"/>
        <v>76.399999999999039</v>
      </c>
      <c r="AA194" s="23">
        <f t="shared" si="46"/>
        <v>84.888888888888147</v>
      </c>
      <c r="AB194" s="23">
        <f t="shared" si="46"/>
        <v>90.194444444443377</v>
      </c>
      <c r="AC194" s="24">
        <f t="shared" si="46"/>
        <v>71.094444444444591</v>
      </c>
      <c r="AD194" s="24">
        <f t="shared" si="46"/>
        <v>79.583333333333272</v>
      </c>
      <c r="AE194" s="24">
        <f t="shared" si="46"/>
        <v>84.888888888888147</v>
      </c>
      <c r="AF194" s="25">
        <f t="shared" si="46"/>
        <v>65.788888888888195</v>
      </c>
      <c r="AG194" s="25">
        <f t="shared" si="46"/>
        <v>74.277777777778311</v>
      </c>
      <c r="AH194" s="25">
        <f t="shared" si="46"/>
        <v>79.583333333333272</v>
      </c>
      <c r="AI194" s="26">
        <f t="shared" si="46"/>
        <v>60.483333333333889</v>
      </c>
      <c r="AJ194" s="26">
        <f t="shared" si="46"/>
        <v>68.972222222221689</v>
      </c>
      <c r="AK194" s="26">
        <f t="shared" si="43"/>
        <v>74.277777777778311</v>
      </c>
    </row>
    <row r="195" spans="4:37" ht="20.100000000000001" customHeight="1">
      <c r="D195" s="27">
        <f t="shared" si="38"/>
        <v>0.53333333333333199</v>
      </c>
      <c r="E195" s="16">
        <f t="shared" si="47"/>
        <v>147.19999999999851</v>
      </c>
      <c r="F195" s="16">
        <f t="shared" si="47"/>
        <v>155.73333333333346</v>
      </c>
      <c r="G195" s="16">
        <f t="shared" si="47"/>
        <v>161.06666666666433</v>
      </c>
      <c r="H195" s="17">
        <f t="shared" si="47"/>
        <v>136.53333333333376</v>
      </c>
      <c r="I195" s="17">
        <f t="shared" si="47"/>
        <v>145.06666666666652</v>
      </c>
      <c r="J195" s="17">
        <f t="shared" si="47"/>
        <v>150.39999999999938</v>
      </c>
      <c r="K195" s="18">
        <f t="shared" si="47"/>
        <v>125.86666666666503</v>
      </c>
      <c r="L195" s="18">
        <f t="shared" si="47"/>
        <v>134.40000000000191</v>
      </c>
      <c r="M195" s="18">
        <f t="shared" si="47"/>
        <v>139.73333333333176</v>
      </c>
      <c r="N195" s="19">
        <f t="shared" si="47"/>
        <v>98.133333333332686</v>
      </c>
      <c r="O195" s="19">
        <f t="shared" si="47"/>
        <v>106.66666666666823</v>
      </c>
      <c r="P195" s="19">
        <f t="shared" si="47"/>
        <v>111.99999999999881</v>
      </c>
      <c r="Q195" s="20">
        <f t="shared" si="47"/>
        <v>92.800000000001191</v>
      </c>
      <c r="R195" s="20">
        <f t="shared" si="47"/>
        <v>101.33333333333439</v>
      </c>
      <c r="S195" s="20">
        <f t="shared" si="47"/>
        <v>106.66666666666823</v>
      </c>
      <c r="T195" s="21">
        <f t="shared" si="47"/>
        <v>87.466666666667834</v>
      </c>
      <c r="U195" s="21">
        <f t="shared" si="46"/>
        <v>96</v>
      </c>
      <c r="V195" s="21">
        <f t="shared" si="46"/>
        <v>101.33333333333439</v>
      </c>
      <c r="W195" s="22">
        <f t="shared" si="46"/>
        <v>82.133333333333439</v>
      </c>
      <c r="X195" s="22">
        <f t="shared" si="46"/>
        <v>90.666666666665606</v>
      </c>
      <c r="Y195" s="22">
        <f t="shared" si="46"/>
        <v>96</v>
      </c>
      <c r="Z195" s="23">
        <f t="shared" si="46"/>
        <v>76.799999999999045</v>
      </c>
      <c r="AA195" s="23">
        <f t="shared" si="46"/>
        <v>85.33333333333259</v>
      </c>
      <c r="AB195" s="23">
        <f t="shared" si="46"/>
        <v>90.666666666665606</v>
      </c>
      <c r="AC195" s="24">
        <f t="shared" si="46"/>
        <v>71.466666666666811</v>
      </c>
      <c r="AD195" s="24">
        <f t="shared" si="46"/>
        <v>79.999999999999943</v>
      </c>
      <c r="AE195" s="24">
        <f t="shared" si="46"/>
        <v>85.33333333333259</v>
      </c>
      <c r="AF195" s="25">
        <f t="shared" si="43"/>
        <v>66.133333333332644</v>
      </c>
      <c r="AG195" s="25">
        <f t="shared" si="43"/>
        <v>74.666666666667197</v>
      </c>
      <c r="AH195" s="25">
        <f t="shared" si="43"/>
        <v>79.999999999999943</v>
      </c>
      <c r="AI195" s="26">
        <f t="shared" si="43"/>
        <v>60.800000000000558</v>
      </c>
      <c r="AJ195" s="26">
        <f t="shared" si="43"/>
        <v>69.333333333332803</v>
      </c>
      <c r="AK195" s="26">
        <f t="shared" si="43"/>
        <v>74.666666666667197</v>
      </c>
    </row>
    <row r="196" spans="4:37" ht="20.100000000000001" customHeight="1">
      <c r="D196" s="27">
        <f t="shared" si="38"/>
        <v>0.53611111111110976</v>
      </c>
      <c r="E196" s="16">
        <f t="shared" si="47"/>
        <v>147.96666666666519</v>
      </c>
      <c r="F196" s="16">
        <f t="shared" si="47"/>
        <v>156.54444444444457</v>
      </c>
      <c r="G196" s="16">
        <f t="shared" si="47"/>
        <v>161.90555555555324</v>
      </c>
      <c r="H196" s="17">
        <f t="shared" si="47"/>
        <v>137.24444444444487</v>
      </c>
      <c r="I196" s="17">
        <f t="shared" si="47"/>
        <v>145.82222222222208</v>
      </c>
      <c r="J196" s="17">
        <f t="shared" si="47"/>
        <v>151.18333333333271</v>
      </c>
      <c r="K196" s="18">
        <f t="shared" si="47"/>
        <v>126.52222222222058</v>
      </c>
      <c r="L196" s="18">
        <f t="shared" si="47"/>
        <v>135.1000000000019</v>
      </c>
      <c r="M196" s="18">
        <f t="shared" si="47"/>
        <v>140.46111111110955</v>
      </c>
      <c r="N196" s="19">
        <f t="shared" si="47"/>
        <v>98.644444444443792</v>
      </c>
      <c r="O196" s="19">
        <f t="shared" si="47"/>
        <v>107.22222222222379</v>
      </c>
      <c r="P196" s="19">
        <f t="shared" si="47"/>
        <v>112.58333333333213</v>
      </c>
      <c r="Q196" s="20">
        <f t="shared" si="47"/>
        <v>93.283333333334525</v>
      </c>
      <c r="R196" s="20">
        <f t="shared" si="47"/>
        <v>101.86111111111217</v>
      </c>
      <c r="S196" s="20">
        <f t="shared" si="47"/>
        <v>107.22222222222379</v>
      </c>
      <c r="T196" s="21">
        <f t="shared" si="47"/>
        <v>87.922222222223382</v>
      </c>
      <c r="U196" s="21">
        <f t="shared" si="46"/>
        <v>96.5</v>
      </c>
      <c r="V196" s="21">
        <f t="shared" si="46"/>
        <v>101.86111111111217</v>
      </c>
      <c r="W196" s="22">
        <f t="shared" si="46"/>
        <v>82.561111111111217</v>
      </c>
      <c r="X196" s="22">
        <f t="shared" si="46"/>
        <v>91.138888888887834</v>
      </c>
      <c r="Y196" s="22">
        <f t="shared" si="46"/>
        <v>96.5</v>
      </c>
      <c r="Z196" s="23">
        <f t="shared" si="46"/>
        <v>77.199999999999051</v>
      </c>
      <c r="AA196" s="23">
        <f t="shared" si="46"/>
        <v>85.777777777777032</v>
      </c>
      <c r="AB196" s="23">
        <f t="shared" si="46"/>
        <v>91.138888888887834</v>
      </c>
      <c r="AC196" s="24">
        <f t="shared" si="46"/>
        <v>71.838888888889031</v>
      </c>
      <c r="AD196" s="24">
        <f t="shared" si="46"/>
        <v>80.416666666666615</v>
      </c>
      <c r="AE196" s="24">
        <f t="shared" si="46"/>
        <v>85.777777777777032</v>
      </c>
      <c r="AF196" s="25">
        <f t="shared" si="43"/>
        <v>66.477777777777092</v>
      </c>
      <c r="AG196" s="25">
        <f t="shared" si="43"/>
        <v>75.055555555556083</v>
      </c>
      <c r="AH196" s="25">
        <f t="shared" si="43"/>
        <v>80.416666666666615</v>
      </c>
      <c r="AI196" s="26">
        <f t="shared" si="43"/>
        <v>61.116666666667228</v>
      </c>
      <c r="AJ196" s="26">
        <f t="shared" si="43"/>
        <v>69.694444444443917</v>
      </c>
      <c r="AK196" s="26">
        <f t="shared" si="43"/>
        <v>75.055555555556083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148.73333333333187</v>
      </c>
      <c r="F197" s="16">
        <f t="shared" si="47"/>
        <v>157.35555555555567</v>
      </c>
      <c r="G197" s="16">
        <f t="shared" si="47"/>
        <v>162.74444444444214</v>
      </c>
      <c r="H197" s="17">
        <f t="shared" si="47"/>
        <v>137.95555555555597</v>
      </c>
      <c r="I197" s="17">
        <f t="shared" si="47"/>
        <v>146.57777777777764</v>
      </c>
      <c r="J197" s="17">
        <f t="shared" si="47"/>
        <v>151.96666666666604</v>
      </c>
      <c r="K197" s="18">
        <f t="shared" si="47"/>
        <v>127.17777777777613</v>
      </c>
      <c r="L197" s="18">
        <f t="shared" si="47"/>
        <v>135.80000000000189</v>
      </c>
      <c r="M197" s="18">
        <f t="shared" si="47"/>
        <v>141.18888888888733</v>
      </c>
      <c r="N197" s="19">
        <f t="shared" si="47"/>
        <v>99.155555555554898</v>
      </c>
      <c r="O197" s="19">
        <f t="shared" si="47"/>
        <v>107.77777777777935</v>
      </c>
      <c r="P197" s="19">
        <f t="shared" si="47"/>
        <v>113.16666666666546</v>
      </c>
      <c r="Q197" s="20">
        <f t="shared" si="47"/>
        <v>93.766666666667859</v>
      </c>
      <c r="R197" s="20">
        <f t="shared" si="47"/>
        <v>102.38888888888994</v>
      </c>
      <c r="S197" s="20">
        <f t="shared" si="47"/>
        <v>107.77777777777935</v>
      </c>
      <c r="T197" s="21">
        <f t="shared" si="47"/>
        <v>88.377777777778931</v>
      </c>
      <c r="U197" s="21">
        <f t="shared" si="46"/>
        <v>97</v>
      </c>
      <c r="V197" s="21">
        <f t="shared" si="46"/>
        <v>102.38888888888994</v>
      </c>
      <c r="W197" s="22">
        <f t="shared" si="46"/>
        <v>82.988888888888994</v>
      </c>
      <c r="X197" s="22">
        <f t="shared" si="46"/>
        <v>91.611111111110063</v>
      </c>
      <c r="Y197" s="22">
        <f t="shared" si="46"/>
        <v>97</v>
      </c>
      <c r="Z197" s="23">
        <f t="shared" si="46"/>
        <v>77.599999999999056</v>
      </c>
      <c r="AA197" s="23">
        <f t="shared" si="46"/>
        <v>86.222222222221475</v>
      </c>
      <c r="AB197" s="23">
        <f t="shared" si="46"/>
        <v>91.611111111110063</v>
      </c>
      <c r="AC197" s="24">
        <f t="shared" si="46"/>
        <v>72.211111111111251</v>
      </c>
      <c r="AD197" s="24">
        <f t="shared" si="46"/>
        <v>80.833333333333286</v>
      </c>
      <c r="AE197" s="24">
        <f t="shared" si="46"/>
        <v>86.222222222221475</v>
      </c>
      <c r="AF197" s="25">
        <f t="shared" si="43"/>
        <v>66.822222222221541</v>
      </c>
      <c r="AG197" s="25">
        <f t="shared" si="43"/>
        <v>75.444444444444969</v>
      </c>
      <c r="AH197" s="25">
        <f t="shared" si="43"/>
        <v>80.833333333333286</v>
      </c>
      <c r="AI197" s="26">
        <f t="shared" si="43"/>
        <v>61.433333333333898</v>
      </c>
      <c r="AJ197" s="26">
        <f t="shared" si="43"/>
        <v>70.055555555555031</v>
      </c>
      <c r="AK197" s="26">
        <f t="shared" si="43"/>
        <v>75.444444444444969</v>
      </c>
    </row>
    <row r="198" spans="4:37" ht="20.100000000000001" customHeight="1">
      <c r="D198" s="27">
        <f t="shared" si="48"/>
        <v>0.5416666666666653</v>
      </c>
      <c r="E198" s="16">
        <f t="shared" si="47"/>
        <v>149.49999999999855</v>
      </c>
      <c r="F198" s="16">
        <f t="shared" si="47"/>
        <v>158.16666666666677</v>
      </c>
      <c r="G198" s="16">
        <f t="shared" si="47"/>
        <v>163.58333333333104</v>
      </c>
      <c r="H198" s="17">
        <f t="shared" si="47"/>
        <v>138.66666666666708</v>
      </c>
      <c r="I198" s="17">
        <f t="shared" si="47"/>
        <v>147.3333333333332</v>
      </c>
      <c r="J198" s="17">
        <f t="shared" si="47"/>
        <v>152.74999999999937</v>
      </c>
      <c r="K198" s="18">
        <f t="shared" si="47"/>
        <v>127.83333333333168</v>
      </c>
      <c r="L198" s="18">
        <f t="shared" si="47"/>
        <v>136.50000000000188</v>
      </c>
      <c r="M198" s="18">
        <f t="shared" si="47"/>
        <v>141.91666666666512</v>
      </c>
      <c r="N198" s="19">
        <f t="shared" si="47"/>
        <v>99.666666666666003</v>
      </c>
      <c r="O198" s="19">
        <f t="shared" si="47"/>
        <v>108.33333333333491</v>
      </c>
      <c r="P198" s="19">
        <f t="shared" si="47"/>
        <v>113.74999999999879</v>
      </c>
      <c r="Q198" s="20">
        <f t="shared" si="47"/>
        <v>94.250000000001194</v>
      </c>
      <c r="R198" s="20">
        <f t="shared" si="47"/>
        <v>102.91666666666771</v>
      </c>
      <c r="S198" s="20">
        <f t="shared" si="47"/>
        <v>108.33333333333491</v>
      </c>
      <c r="T198" s="21">
        <f t="shared" si="47"/>
        <v>88.83333333333448</v>
      </c>
      <c r="U198" s="21">
        <f t="shared" si="46"/>
        <v>97.5</v>
      </c>
      <c r="V198" s="21">
        <f t="shared" si="46"/>
        <v>102.91666666666771</v>
      </c>
      <c r="W198" s="22">
        <f t="shared" si="46"/>
        <v>83.416666666666771</v>
      </c>
      <c r="X198" s="22">
        <f t="shared" si="46"/>
        <v>92.083333333332291</v>
      </c>
      <c r="Y198" s="22">
        <f t="shared" si="46"/>
        <v>97.5</v>
      </c>
      <c r="Z198" s="23">
        <f t="shared" si="46"/>
        <v>77.999999999999062</v>
      </c>
      <c r="AA198" s="23">
        <f t="shared" si="46"/>
        <v>86.666666666665918</v>
      </c>
      <c r="AB198" s="23">
        <f t="shared" si="46"/>
        <v>92.083333333332291</v>
      </c>
      <c r="AC198" s="24">
        <f t="shared" si="46"/>
        <v>72.583333333333471</v>
      </c>
      <c r="AD198" s="24">
        <f t="shared" si="46"/>
        <v>81.249999999999957</v>
      </c>
      <c r="AE198" s="24">
        <f t="shared" si="46"/>
        <v>86.666666666665918</v>
      </c>
      <c r="AF198" s="25">
        <f t="shared" si="43"/>
        <v>67.166666666665989</v>
      </c>
      <c r="AG198" s="25">
        <f t="shared" si="43"/>
        <v>75.833333333333854</v>
      </c>
      <c r="AH198" s="25">
        <f t="shared" si="43"/>
        <v>81.249999999999957</v>
      </c>
      <c r="AI198" s="26">
        <f t="shared" si="43"/>
        <v>61.750000000000568</v>
      </c>
      <c r="AJ198" s="26">
        <f t="shared" si="43"/>
        <v>70.416666666666146</v>
      </c>
      <c r="AK198" s="26">
        <f t="shared" si="43"/>
        <v>75.833333333333854</v>
      </c>
    </row>
    <row r="199" spans="4:37" ht="20.100000000000001" customHeight="1">
      <c r="D199" s="27">
        <f t="shared" si="48"/>
        <v>0.54444444444444307</v>
      </c>
      <c r="E199" s="16">
        <f t="shared" si="47"/>
        <v>150.26666666666523</v>
      </c>
      <c r="F199" s="16">
        <f t="shared" si="47"/>
        <v>158.97777777777787</v>
      </c>
      <c r="G199" s="16">
        <f t="shared" si="47"/>
        <v>164.42222222221994</v>
      </c>
      <c r="H199" s="17">
        <f t="shared" si="47"/>
        <v>139.37777777777819</v>
      </c>
      <c r="I199" s="17">
        <f t="shared" si="47"/>
        <v>148.08888888888876</v>
      </c>
      <c r="J199" s="17">
        <f t="shared" si="47"/>
        <v>153.53333333333271</v>
      </c>
      <c r="K199" s="18">
        <f t="shared" si="47"/>
        <v>128.48888888888723</v>
      </c>
      <c r="L199" s="18">
        <f t="shared" si="47"/>
        <v>137.20000000000186</v>
      </c>
      <c r="M199" s="18">
        <f t="shared" si="47"/>
        <v>142.64444444444291</v>
      </c>
      <c r="N199" s="19">
        <f t="shared" si="47"/>
        <v>100.17777777777711</v>
      </c>
      <c r="O199" s="19">
        <f t="shared" si="47"/>
        <v>108.88888888889046</v>
      </c>
      <c r="P199" s="19">
        <f t="shared" si="47"/>
        <v>114.33333333333212</v>
      </c>
      <c r="Q199" s="20">
        <f t="shared" si="47"/>
        <v>94.733333333334528</v>
      </c>
      <c r="R199" s="20">
        <f t="shared" si="47"/>
        <v>103.44444444444548</v>
      </c>
      <c r="S199" s="20">
        <f t="shared" si="47"/>
        <v>108.88888888889046</v>
      </c>
      <c r="T199" s="21">
        <f t="shared" si="47"/>
        <v>89.288888888890028</v>
      </c>
      <c r="U199" s="21">
        <f t="shared" si="46"/>
        <v>98</v>
      </c>
      <c r="V199" s="21">
        <f t="shared" si="46"/>
        <v>103.44444444444548</v>
      </c>
      <c r="W199" s="22">
        <f t="shared" si="46"/>
        <v>83.844444444444548</v>
      </c>
      <c r="X199" s="22">
        <f t="shared" si="46"/>
        <v>92.55555555555452</v>
      </c>
      <c r="Y199" s="22">
        <f t="shared" si="46"/>
        <v>98</v>
      </c>
      <c r="Z199" s="23">
        <f t="shared" si="46"/>
        <v>78.399999999999068</v>
      </c>
      <c r="AA199" s="23">
        <f t="shared" si="46"/>
        <v>87.111111111110361</v>
      </c>
      <c r="AB199" s="23">
        <f t="shared" si="46"/>
        <v>92.55555555555452</v>
      </c>
      <c r="AC199" s="24">
        <f t="shared" si="46"/>
        <v>72.955555555555691</v>
      </c>
      <c r="AD199" s="24">
        <f t="shared" si="46"/>
        <v>81.666666666666629</v>
      </c>
      <c r="AE199" s="24">
        <f t="shared" si="46"/>
        <v>87.111111111110361</v>
      </c>
      <c r="AF199" s="25">
        <f t="shared" si="46"/>
        <v>67.511111111110438</v>
      </c>
      <c r="AG199" s="25">
        <f t="shared" si="46"/>
        <v>76.22222222222274</v>
      </c>
      <c r="AH199" s="25">
        <f t="shared" si="46"/>
        <v>81.666666666666629</v>
      </c>
      <c r="AI199" s="26">
        <f t="shared" si="46"/>
        <v>62.066666666667238</v>
      </c>
      <c r="AJ199" s="26">
        <f t="shared" si="46"/>
        <v>70.77777777777726</v>
      </c>
      <c r="AK199" s="26">
        <f t="shared" ref="AK199:AK233" si="49">AK200-(AK$363/360)</f>
        <v>76.22222222222274</v>
      </c>
    </row>
    <row r="200" spans="4:37" ht="20.100000000000001" customHeight="1">
      <c r="D200" s="27">
        <f t="shared" si="48"/>
        <v>0.54722222222222083</v>
      </c>
      <c r="E200" s="16">
        <f t="shared" si="47"/>
        <v>151.03333333333191</v>
      </c>
      <c r="F200" s="16">
        <f t="shared" si="47"/>
        <v>159.78888888888898</v>
      </c>
      <c r="G200" s="16">
        <f t="shared" si="47"/>
        <v>165.26111111110885</v>
      </c>
      <c r="H200" s="17">
        <f t="shared" si="47"/>
        <v>140.0888888888893</v>
      </c>
      <c r="I200" s="17">
        <f t="shared" si="47"/>
        <v>148.84444444444432</v>
      </c>
      <c r="J200" s="17">
        <f t="shared" si="47"/>
        <v>154.31666666666604</v>
      </c>
      <c r="K200" s="18">
        <f t="shared" si="47"/>
        <v>129.1444444444428</v>
      </c>
      <c r="L200" s="18">
        <f t="shared" si="47"/>
        <v>137.90000000000185</v>
      </c>
      <c r="M200" s="18">
        <f t="shared" si="47"/>
        <v>143.3722222222207</v>
      </c>
      <c r="N200" s="19">
        <f t="shared" si="47"/>
        <v>100.68888888888821</v>
      </c>
      <c r="O200" s="19">
        <f t="shared" si="47"/>
        <v>109.44444444444602</v>
      </c>
      <c r="P200" s="19">
        <f t="shared" si="47"/>
        <v>114.91666666666545</v>
      </c>
      <c r="Q200" s="20">
        <f t="shared" si="47"/>
        <v>95.216666666667862</v>
      </c>
      <c r="R200" s="20">
        <f t="shared" si="47"/>
        <v>103.97222222222325</v>
      </c>
      <c r="S200" s="20">
        <f t="shared" si="47"/>
        <v>109.44444444444602</v>
      </c>
      <c r="T200" s="21">
        <f t="shared" si="47"/>
        <v>89.744444444445577</v>
      </c>
      <c r="U200" s="21">
        <f t="shared" si="46"/>
        <v>98.5</v>
      </c>
      <c r="V200" s="21">
        <f t="shared" si="46"/>
        <v>103.97222222222325</v>
      </c>
      <c r="W200" s="22">
        <f t="shared" si="46"/>
        <v>84.272222222222325</v>
      </c>
      <c r="X200" s="22">
        <f t="shared" si="46"/>
        <v>93.027777777776748</v>
      </c>
      <c r="Y200" s="22">
        <f t="shared" si="46"/>
        <v>98.5</v>
      </c>
      <c r="Z200" s="23">
        <f t="shared" si="46"/>
        <v>78.799999999999073</v>
      </c>
      <c r="AA200" s="23">
        <f t="shared" si="46"/>
        <v>87.555555555554804</v>
      </c>
      <c r="AB200" s="23">
        <f t="shared" si="46"/>
        <v>93.027777777776748</v>
      </c>
      <c r="AC200" s="24">
        <f t="shared" si="46"/>
        <v>73.327777777777911</v>
      </c>
      <c r="AD200" s="24">
        <f t="shared" si="46"/>
        <v>82.0833333333333</v>
      </c>
      <c r="AE200" s="24">
        <f t="shared" si="46"/>
        <v>87.555555555554804</v>
      </c>
      <c r="AF200" s="25">
        <f t="shared" si="46"/>
        <v>67.855555555554886</v>
      </c>
      <c r="AG200" s="25">
        <f t="shared" si="46"/>
        <v>76.611111111111626</v>
      </c>
      <c r="AH200" s="25">
        <f t="shared" si="46"/>
        <v>82.0833333333333</v>
      </c>
      <c r="AI200" s="26">
        <f t="shared" si="46"/>
        <v>62.383333333333908</v>
      </c>
      <c r="AJ200" s="26">
        <f t="shared" si="46"/>
        <v>71.138888888888374</v>
      </c>
      <c r="AK200" s="26">
        <f t="shared" si="49"/>
        <v>76.611111111111626</v>
      </c>
    </row>
    <row r="201" spans="4:37" ht="20.100000000000001" customHeight="1">
      <c r="D201" s="27">
        <f t="shared" si="48"/>
        <v>0.5499999999999986</v>
      </c>
      <c r="E201" s="16">
        <f t="shared" si="47"/>
        <v>151.79999999999859</v>
      </c>
      <c r="F201" s="16">
        <f t="shared" si="47"/>
        <v>160.60000000000008</v>
      </c>
      <c r="G201" s="16">
        <f t="shared" si="47"/>
        <v>166.09999999999775</v>
      </c>
      <c r="H201" s="17">
        <f t="shared" si="47"/>
        <v>140.80000000000041</v>
      </c>
      <c r="I201" s="17">
        <f t="shared" si="47"/>
        <v>149.59999999999988</v>
      </c>
      <c r="J201" s="17">
        <f t="shared" si="47"/>
        <v>155.09999999999937</v>
      </c>
      <c r="K201" s="18">
        <f t="shared" si="47"/>
        <v>129.79999999999836</v>
      </c>
      <c r="L201" s="18">
        <f t="shared" si="47"/>
        <v>138.60000000000184</v>
      </c>
      <c r="M201" s="18">
        <f t="shared" si="47"/>
        <v>144.09999999999849</v>
      </c>
      <c r="N201" s="19">
        <f t="shared" si="47"/>
        <v>101.19999999999932</v>
      </c>
      <c r="O201" s="19">
        <f t="shared" si="47"/>
        <v>110.00000000000158</v>
      </c>
      <c r="P201" s="19">
        <f t="shared" si="47"/>
        <v>115.49999999999878</v>
      </c>
      <c r="Q201" s="20">
        <f t="shared" si="47"/>
        <v>95.700000000001197</v>
      </c>
      <c r="R201" s="20">
        <f t="shared" si="47"/>
        <v>104.50000000000102</v>
      </c>
      <c r="S201" s="20">
        <f t="shared" si="47"/>
        <v>110.00000000000158</v>
      </c>
      <c r="T201" s="21">
        <f t="shared" si="47"/>
        <v>90.200000000001125</v>
      </c>
      <c r="U201" s="21">
        <f t="shared" si="46"/>
        <v>99</v>
      </c>
      <c r="V201" s="21">
        <f t="shared" si="46"/>
        <v>104.50000000000102</v>
      </c>
      <c r="W201" s="22">
        <f t="shared" si="46"/>
        <v>84.700000000000102</v>
      </c>
      <c r="X201" s="22">
        <f t="shared" si="46"/>
        <v>93.499999999998977</v>
      </c>
      <c r="Y201" s="22">
        <f t="shared" si="46"/>
        <v>99</v>
      </c>
      <c r="Z201" s="23">
        <f t="shared" si="46"/>
        <v>79.199999999999079</v>
      </c>
      <c r="AA201" s="23">
        <f t="shared" si="46"/>
        <v>87.999999999999247</v>
      </c>
      <c r="AB201" s="23">
        <f t="shared" si="46"/>
        <v>93.499999999998977</v>
      </c>
      <c r="AC201" s="24">
        <f t="shared" si="46"/>
        <v>73.700000000000131</v>
      </c>
      <c r="AD201" s="24">
        <f t="shared" si="46"/>
        <v>82.499999999999972</v>
      </c>
      <c r="AE201" s="24">
        <f t="shared" si="46"/>
        <v>87.999999999999247</v>
      </c>
      <c r="AF201" s="25">
        <f t="shared" si="46"/>
        <v>68.199999999999335</v>
      </c>
      <c r="AG201" s="25">
        <f t="shared" si="46"/>
        <v>77.000000000000512</v>
      </c>
      <c r="AH201" s="25">
        <f t="shared" si="46"/>
        <v>82.499999999999972</v>
      </c>
      <c r="AI201" s="26">
        <f t="shared" si="46"/>
        <v>62.700000000000578</v>
      </c>
      <c r="AJ201" s="26">
        <f t="shared" si="46"/>
        <v>71.499999999999488</v>
      </c>
      <c r="AK201" s="26">
        <f t="shared" si="49"/>
        <v>77.000000000000512</v>
      </c>
    </row>
    <row r="202" spans="4:37" ht="20.100000000000001" customHeight="1">
      <c r="D202" s="27">
        <f t="shared" si="48"/>
        <v>0.55277777777777637</v>
      </c>
      <c r="E202" s="16">
        <f t="shared" si="47"/>
        <v>152.56666666666527</v>
      </c>
      <c r="F202" s="16">
        <f t="shared" si="47"/>
        <v>161.41111111111118</v>
      </c>
      <c r="G202" s="16">
        <f t="shared" si="47"/>
        <v>166.93888888888665</v>
      </c>
      <c r="H202" s="17">
        <f t="shared" si="47"/>
        <v>141.51111111111152</v>
      </c>
      <c r="I202" s="17">
        <f t="shared" si="47"/>
        <v>150.35555555555544</v>
      </c>
      <c r="J202" s="17">
        <f t="shared" si="47"/>
        <v>155.8833333333327</v>
      </c>
      <c r="K202" s="18">
        <f t="shared" si="47"/>
        <v>130.45555555555393</v>
      </c>
      <c r="L202" s="18">
        <f t="shared" si="47"/>
        <v>139.30000000000183</v>
      </c>
      <c r="M202" s="18">
        <f t="shared" si="47"/>
        <v>144.82777777777628</v>
      </c>
      <c r="N202" s="19">
        <f t="shared" si="47"/>
        <v>101.71111111111043</v>
      </c>
      <c r="O202" s="19">
        <f t="shared" si="47"/>
        <v>110.55555555555713</v>
      </c>
      <c r="P202" s="19">
        <f t="shared" si="47"/>
        <v>116.08333333333211</v>
      </c>
      <c r="Q202" s="20">
        <f t="shared" si="47"/>
        <v>96.183333333334531</v>
      </c>
      <c r="R202" s="20">
        <f t="shared" si="47"/>
        <v>105.02777777777879</v>
      </c>
      <c r="S202" s="20">
        <f t="shared" si="47"/>
        <v>110.55555555555713</v>
      </c>
      <c r="T202" s="21">
        <f t="shared" si="47"/>
        <v>90.655555555556674</v>
      </c>
      <c r="U202" s="21">
        <f t="shared" si="46"/>
        <v>99.5</v>
      </c>
      <c r="V202" s="21">
        <f t="shared" si="46"/>
        <v>105.02777777777879</v>
      </c>
      <c r="W202" s="22">
        <f t="shared" si="46"/>
        <v>85.127777777777879</v>
      </c>
      <c r="X202" s="22">
        <f t="shared" si="46"/>
        <v>93.972222222221205</v>
      </c>
      <c r="Y202" s="22">
        <f t="shared" ref="Y202:AJ202" si="50">Y203-(Y$363/360)</f>
        <v>99.5</v>
      </c>
      <c r="Z202" s="23">
        <f t="shared" si="50"/>
        <v>79.599999999999085</v>
      </c>
      <c r="AA202" s="23">
        <f t="shared" si="50"/>
        <v>88.44444444444369</v>
      </c>
      <c r="AB202" s="23">
        <f t="shared" si="50"/>
        <v>93.972222222221205</v>
      </c>
      <c r="AC202" s="24">
        <f t="shared" si="50"/>
        <v>74.072222222222351</v>
      </c>
      <c r="AD202" s="24">
        <f t="shared" si="50"/>
        <v>82.916666666666643</v>
      </c>
      <c r="AE202" s="24">
        <f t="shared" si="50"/>
        <v>88.44444444444369</v>
      </c>
      <c r="AF202" s="25">
        <f t="shared" si="50"/>
        <v>68.544444444443783</v>
      </c>
      <c r="AG202" s="25">
        <f t="shared" si="50"/>
        <v>77.388888888889397</v>
      </c>
      <c r="AH202" s="25">
        <f t="shared" si="50"/>
        <v>82.916666666666643</v>
      </c>
      <c r="AI202" s="26">
        <f t="shared" si="50"/>
        <v>63.016666666667248</v>
      </c>
      <c r="AJ202" s="26">
        <f t="shared" si="50"/>
        <v>71.861111111110603</v>
      </c>
      <c r="AK202" s="26">
        <f t="shared" si="49"/>
        <v>77.388888888889397</v>
      </c>
    </row>
    <row r="203" spans="4:37" ht="20.100000000000001" customHeight="1">
      <c r="D203" s="27">
        <f t="shared" si="48"/>
        <v>0.55555555555555414</v>
      </c>
      <c r="E203" s="16">
        <f t="shared" si="47"/>
        <v>153.33333333333195</v>
      </c>
      <c r="F203" s="16">
        <f t="shared" si="47"/>
        <v>162.22222222222229</v>
      </c>
      <c r="G203" s="16">
        <f t="shared" si="47"/>
        <v>167.77777777777555</v>
      </c>
      <c r="H203" s="17">
        <f t="shared" si="47"/>
        <v>142.22222222222263</v>
      </c>
      <c r="I203" s="17">
        <f t="shared" si="47"/>
        <v>151.111111111111</v>
      </c>
      <c r="J203" s="17">
        <f t="shared" si="47"/>
        <v>156.66666666666603</v>
      </c>
      <c r="K203" s="18">
        <f t="shared" si="47"/>
        <v>131.11111111110949</v>
      </c>
      <c r="L203" s="18">
        <f t="shared" si="47"/>
        <v>140.00000000000182</v>
      </c>
      <c r="M203" s="18">
        <f t="shared" si="47"/>
        <v>145.55555555555406</v>
      </c>
      <c r="N203" s="19">
        <f t="shared" si="47"/>
        <v>102.22222222222153</v>
      </c>
      <c r="O203" s="19">
        <f t="shared" si="47"/>
        <v>111.11111111111269</v>
      </c>
      <c r="P203" s="19">
        <f t="shared" si="47"/>
        <v>116.66666666666544</v>
      </c>
      <c r="Q203" s="20">
        <f t="shared" si="47"/>
        <v>96.666666666667865</v>
      </c>
      <c r="R203" s="20">
        <f t="shared" si="47"/>
        <v>105.55555555555657</v>
      </c>
      <c r="S203" s="20">
        <f t="shared" si="47"/>
        <v>111.11111111111269</v>
      </c>
      <c r="T203" s="21">
        <f t="shared" si="47"/>
        <v>91.111111111112223</v>
      </c>
      <c r="U203" s="21">
        <f t="shared" ref="U203:AI223" si="51">U204-(U$363/360)</f>
        <v>100</v>
      </c>
      <c r="V203" s="21">
        <f t="shared" si="51"/>
        <v>105.55555555555657</v>
      </c>
      <c r="W203" s="22">
        <f t="shared" si="51"/>
        <v>85.555555555555657</v>
      </c>
      <c r="X203" s="22">
        <f t="shared" si="51"/>
        <v>94.444444444443434</v>
      </c>
      <c r="Y203" s="22">
        <f t="shared" si="51"/>
        <v>100</v>
      </c>
      <c r="Z203" s="23">
        <f t="shared" si="51"/>
        <v>79.999999999999091</v>
      </c>
      <c r="AA203" s="23">
        <f t="shared" si="51"/>
        <v>88.888888888888133</v>
      </c>
      <c r="AB203" s="23">
        <f t="shared" si="51"/>
        <v>94.444444444443434</v>
      </c>
      <c r="AC203" s="24">
        <f t="shared" si="51"/>
        <v>74.444444444444571</v>
      </c>
      <c r="AD203" s="24">
        <f t="shared" si="51"/>
        <v>83.333333333333314</v>
      </c>
      <c r="AE203" s="24">
        <f t="shared" si="51"/>
        <v>88.888888888888133</v>
      </c>
      <c r="AF203" s="25">
        <f t="shared" ref="AF203:AF214" si="52">AF204-(AF$363/360)</f>
        <v>68.888888888888232</v>
      </c>
      <c r="AG203" s="25">
        <f t="shared" ref="AG203:AG214" si="53">AG204-(AG$363/360)</f>
        <v>77.777777777778283</v>
      </c>
      <c r="AH203" s="25">
        <f t="shared" ref="AH203:AH214" si="54">AH204-(AH$363/360)</f>
        <v>83.333333333333314</v>
      </c>
      <c r="AI203" s="26">
        <f t="shared" ref="AI203:AI214" si="55">AI204-(AI$363/360)</f>
        <v>63.333333333333918</v>
      </c>
      <c r="AJ203" s="26">
        <f t="shared" ref="AJ203:AJ214" si="56">AJ204-(AJ$363/360)</f>
        <v>72.222222222221717</v>
      </c>
      <c r="AK203" s="26">
        <f t="shared" si="49"/>
        <v>77.777777777778283</v>
      </c>
    </row>
    <row r="204" spans="4:37" ht="20.100000000000001" customHeight="1">
      <c r="D204" s="27">
        <f t="shared" si="48"/>
        <v>0.5583333333333319</v>
      </c>
      <c r="E204" s="16">
        <f t="shared" si="47"/>
        <v>154.09999999999863</v>
      </c>
      <c r="F204" s="16">
        <f t="shared" si="47"/>
        <v>163.03333333333339</v>
      </c>
      <c r="G204" s="16">
        <f t="shared" si="47"/>
        <v>168.61666666666446</v>
      </c>
      <c r="H204" s="17">
        <f t="shared" si="47"/>
        <v>142.93333333333374</v>
      </c>
      <c r="I204" s="17">
        <f t="shared" si="47"/>
        <v>151.86666666666656</v>
      </c>
      <c r="J204" s="17">
        <f t="shared" si="47"/>
        <v>157.44999999999936</v>
      </c>
      <c r="K204" s="18">
        <f t="shared" si="47"/>
        <v>131.76666666666506</v>
      </c>
      <c r="L204" s="18">
        <f t="shared" si="47"/>
        <v>140.70000000000181</v>
      </c>
      <c r="M204" s="18">
        <f t="shared" si="47"/>
        <v>146.28333333333185</v>
      </c>
      <c r="N204" s="19">
        <f t="shared" si="47"/>
        <v>102.73333333333264</v>
      </c>
      <c r="O204" s="19">
        <f t="shared" si="47"/>
        <v>111.66666666666825</v>
      </c>
      <c r="P204" s="19">
        <f t="shared" si="47"/>
        <v>117.24999999999876</v>
      </c>
      <c r="Q204" s="20">
        <f t="shared" si="47"/>
        <v>97.150000000001199</v>
      </c>
      <c r="R204" s="20">
        <f t="shared" si="47"/>
        <v>106.08333333333434</v>
      </c>
      <c r="S204" s="20">
        <f t="shared" si="47"/>
        <v>111.66666666666825</v>
      </c>
      <c r="T204" s="21">
        <f t="shared" si="47"/>
        <v>91.566666666667771</v>
      </c>
      <c r="U204" s="21">
        <f t="shared" si="51"/>
        <v>100.5</v>
      </c>
      <c r="V204" s="21">
        <f t="shared" si="51"/>
        <v>106.08333333333434</v>
      </c>
      <c r="W204" s="22">
        <f t="shared" si="51"/>
        <v>85.983333333333434</v>
      </c>
      <c r="X204" s="22">
        <f t="shared" si="51"/>
        <v>94.916666666665662</v>
      </c>
      <c r="Y204" s="22">
        <f t="shared" si="51"/>
        <v>100.5</v>
      </c>
      <c r="Z204" s="23">
        <f t="shared" si="51"/>
        <v>80.399999999999096</v>
      </c>
      <c r="AA204" s="23">
        <f t="shared" si="51"/>
        <v>89.333333333332575</v>
      </c>
      <c r="AB204" s="23">
        <f t="shared" si="51"/>
        <v>94.916666666665662</v>
      </c>
      <c r="AC204" s="24">
        <f t="shared" si="51"/>
        <v>74.816666666666791</v>
      </c>
      <c r="AD204" s="24">
        <f t="shared" si="51"/>
        <v>83.749999999999986</v>
      </c>
      <c r="AE204" s="24">
        <f t="shared" si="51"/>
        <v>89.333333333332575</v>
      </c>
      <c r="AF204" s="25">
        <f t="shared" si="52"/>
        <v>69.233333333332681</v>
      </c>
      <c r="AG204" s="25">
        <f t="shared" si="53"/>
        <v>78.166666666667169</v>
      </c>
      <c r="AH204" s="25">
        <f t="shared" si="54"/>
        <v>83.749999999999986</v>
      </c>
      <c r="AI204" s="26">
        <f t="shared" si="55"/>
        <v>63.650000000000588</v>
      </c>
      <c r="AJ204" s="26">
        <f t="shared" si="56"/>
        <v>72.583333333332831</v>
      </c>
      <c r="AK204" s="26">
        <f t="shared" si="49"/>
        <v>78.166666666667169</v>
      </c>
    </row>
    <row r="205" spans="4:37" ht="20.100000000000001" customHeight="1">
      <c r="D205" s="27">
        <f t="shared" si="48"/>
        <v>0.56111111111110967</v>
      </c>
      <c r="E205" s="16">
        <f t="shared" si="47"/>
        <v>154.86666666666531</v>
      </c>
      <c r="F205" s="16">
        <f t="shared" si="47"/>
        <v>163.84444444444449</v>
      </c>
      <c r="G205" s="16">
        <f t="shared" si="47"/>
        <v>169.45555555555336</v>
      </c>
      <c r="H205" s="17">
        <f t="shared" si="47"/>
        <v>143.64444444444484</v>
      </c>
      <c r="I205" s="17">
        <f t="shared" si="47"/>
        <v>152.62222222222212</v>
      </c>
      <c r="J205" s="17">
        <f t="shared" si="47"/>
        <v>158.23333333333269</v>
      </c>
      <c r="K205" s="18">
        <f t="shared" si="47"/>
        <v>132.42222222222063</v>
      </c>
      <c r="L205" s="18">
        <f t="shared" si="47"/>
        <v>141.4000000000018</v>
      </c>
      <c r="M205" s="18">
        <f t="shared" si="47"/>
        <v>147.01111111110964</v>
      </c>
      <c r="N205" s="19">
        <f t="shared" si="47"/>
        <v>103.24444444444374</v>
      </c>
      <c r="O205" s="19">
        <f t="shared" si="47"/>
        <v>112.22222222222381</v>
      </c>
      <c r="P205" s="19">
        <f t="shared" si="47"/>
        <v>117.83333333333209</v>
      </c>
      <c r="Q205" s="20">
        <f t="shared" si="47"/>
        <v>97.633333333334534</v>
      </c>
      <c r="R205" s="20">
        <f t="shared" si="47"/>
        <v>106.61111111111211</v>
      </c>
      <c r="S205" s="20">
        <f t="shared" si="47"/>
        <v>112.22222222222381</v>
      </c>
      <c r="T205" s="21">
        <f t="shared" si="47"/>
        <v>92.02222222222332</v>
      </c>
      <c r="U205" s="21">
        <f t="shared" si="51"/>
        <v>101</v>
      </c>
      <c r="V205" s="21">
        <f t="shared" si="51"/>
        <v>106.61111111111211</v>
      </c>
      <c r="W205" s="22">
        <f t="shared" si="51"/>
        <v>86.411111111111211</v>
      </c>
      <c r="X205" s="22">
        <f t="shared" si="51"/>
        <v>95.388888888887891</v>
      </c>
      <c r="Y205" s="22">
        <f t="shared" si="51"/>
        <v>101</v>
      </c>
      <c r="Z205" s="23">
        <f t="shared" si="51"/>
        <v>80.799999999999102</v>
      </c>
      <c r="AA205" s="23">
        <f t="shared" si="51"/>
        <v>89.777777777777018</v>
      </c>
      <c r="AB205" s="23">
        <f t="shared" si="51"/>
        <v>95.388888888887891</v>
      </c>
      <c r="AC205" s="24">
        <f t="shared" si="51"/>
        <v>75.188888888889011</v>
      </c>
      <c r="AD205" s="24">
        <f t="shared" si="51"/>
        <v>84.166666666666657</v>
      </c>
      <c r="AE205" s="24">
        <f t="shared" si="51"/>
        <v>89.777777777777018</v>
      </c>
      <c r="AF205" s="25">
        <f t="shared" si="52"/>
        <v>69.577777777777129</v>
      </c>
      <c r="AG205" s="25">
        <f t="shared" si="53"/>
        <v>78.555555555556055</v>
      </c>
      <c r="AH205" s="25">
        <f t="shared" si="54"/>
        <v>84.166666666666657</v>
      </c>
      <c r="AI205" s="26">
        <f t="shared" si="55"/>
        <v>63.966666666667258</v>
      </c>
      <c r="AJ205" s="26">
        <f t="shared" si="56"/>
        <v>72.944444444443945</v>
      </c>
      <c r="AK205" s="26">
        <f t="shared" si="49"/>
        <v>78.555555555556055</v>
      </c>
    </row>
    <row r="206" spans="4:37" ht="20.100000000000001" customHeight="1">
      <c r="D206" s="27">
        <f t="shared" si="48"/>
        <v>0.56388888888888744</v>
      </c>
      <c r="E206" s="16">
        <f t="shared" si="47"/>
        <v>155.63333333333199</v>
      </c>
      <c r="F206" s="16">
        <f t="shared" si="47"/>
        <v>164.65555555555559</v>
      </c>
      <c r="G206" s="16">
        <f t="shared" si="47"/>
        <v>170.29444444444226</v>
      </c>
      <c r="H206" s="17">
        <f t="shared" si="47"/>
        <v>144.35555555555595</v>
      </c>
      <c r="I206" s="17">
        <f t="shared" si="47"/>
        <v>153.37777777777768</v>
      </c>
      <c r="J206" s="17">
        <f t="shared" si="47"/>
        <v>159.01666666666603</v>
      </c>
      <c r="K206" s="18">
        <f t="shared" si="47"/>
        <v>133.07777777777619</v>
      </c>
      <c r="L206" s="18">
        <f t="shared" si="47"/>
        <v>142.10000000000178</v>
      </c>
      <c r="M206" s="18">
        <f t="shared" si="47"/>
        <v>147.73888888888743</v>
      </c>
      <c r="N206" s="19">
        <f t="shared" si="47"/>
        <v>103.75555555555485</v>
      </c>
      <c r="O206" s="19">
        <f t="shared" si="47"/>
        <v>112.77777777777936</v>
      </c>
      <c r="P206" s="19">
        <f t="shared" si="47"/>
        <v>118.41666666666542</v>
      </c>
      <c r="Q206" s="20">
        <f t="shared" si="47"/>
        <v>98.116666666667868</v>
      </c>
      <c r="R206" s="20">
        <f t="shared" si="47"/>
        <v>107.13888888888988</v>
      </c>
      <c r="S206" s="20">
        <f t="shared" si="47"/>
        <v>112.77777777777936</v>
      </c>
      <c r="T206" s="21">
        <f t="shared" si="47"/>
        <v>92.477777777778869</v>
      </c>
      <c r="U206" s="21">
        <f t="shared" si="51"/>
        <v>101.5</v>
      </c>
      <c r="V206" s="21">
        <f t="shared" si="51"/>
        <v>107.13888888888988</v>
      </c>
      <c r="W206" s="22">
        <f t="shared" si="51"/>
        <v>86.838888888888988</v>
      </c>
      <c r="X206" s="22">
        <f t="shared" si="51"/>
        <v>95.86111111111012</v>
      </c>
      <c r="Y206" s="22">
        <f t="shared" si="51"/>
        <v>101.5</v>
      </c>
      <c r="Z206" s="23">
        <f t="shared" si="51"/>
        <v>81.199999999999108</v>
      </c>
      <c r="AA206" s="23">
        <f t="shared" si="51"/>
        <v>90.222222222221461</v>
      </c>
      <c r="AB206" s="23">
        <f t="shared" si="51"/>
        <v>95.86111111111012</v>
      </c>
      <c r="AC206" s="24">
        <f t="shared" si="51"/>
        <v>75.561111111111231</v>
      </c>
      <c r="AD206" s="24">
        <f t="shared" si="51"/>
        <v>84.583333333333329</v>
      </c>
      <c r="AE206" s="24">
        <f t="shared" si="51"/>
        <v>90.222222222221461</v>
      </c>
      <c r="AF206" s="25">
        <f t="shared" si="52"/>
        <v>69.922222222221578</v>
      </c>
      <c r="AG206" s="25">
        <f t="shared" si="53"/>
        <v>78.94444444444494</v>
      </c>
      <c r="AH206" s="25">
        <f t="shared" si="54"/>
        <v>84.583333333333329</v>
      </c>
      <c r="AI206" s="26">
        <f t="shared" si="55"/>
        <v>64.283333333333928</v>
      </c>
      <c r="AJ206" s="26">
        <f t="shared" si="56"/>
        <v>73.30555555555506</v>
      </c>
      <c r="AK206" s="26">
        <f t="shared" si="49"/>
        <v>78.94444444444494</v>
      </c>
    </row>
    <row r="207" spans="4:37" ht="20.100000000000001" customHeight="1">
      <c r="D207" s="27">
        <f t="shared" si="48"/>
        <v>0.56666666666666521</v>
      </c>
      <c r="E207" s="16">
        <f t="shared" si="47"/>
        <v>156.39999999999867</v>
      </c>
      <c r="F207" s="16">
        <f t="shared" si="47"/>
        <v>165.4666666666667</v>
      </c>
      <c r="G207" s="16">
        <f t="shared" si="47"/>
        <v>171.13333333333117</v>
      </c>
      <c r="H207" s="17">
        <f t="shared" si="47"/>
        <v>145.06666666666706</v>
      </c>
      <c r="I207" s="17">
        <f t="shared" si="47"/>
        <v>154.13333333333324</v>
      </c>
      <c r="J207" s="17">
        <f t="shared" si="47"/>
        <v>159.79999999999936</v>
      </c>
      <c r="K207" s="18">
        <f t="shared" si="47"/>
        <v>133.73333333333176</v>
      </c>
      <c r="L207" s="18">
        <f t="shared" si="47"/>
        <v>142.80000000000177</v>
      </c>
      <c r="M207" s="18">
        <f t="shared" si="47"/>
        <v>148.46666666666522</v>
      </c>
      <c r="N207" s="19">
        <f t="shared" si="47"/>
        <v>104.26666666666596</v>
      </c>
      <c r="O207" s="19">
        <f t="shared" si="47"/>
        <v>113.33333333333492</v>
      </c>
      <c r="P207" s="19">
        <f t="shared" si="47"/>
        <v>118.99999999999875</v>
      </c>
      <c r="Q207" s="20">
        <f t="shared" si="47"/>
        <v>98.600000000001202</v>
      </c>
      <c r="R207" s="20">
        <f t="shared" si="47"/>
        <v>107.66666666666765</v>
      </c>
      <c r="S207" s="20">
        <f t="shared" si="47"/>
        <v>113.33333333333492</v>
      </c>
      <c r="T207" s="21">
        <f t="shared" si="47"/>
        <v>92.933333333334417</v>
      </c>
      <c r="U207" s="21">
        <f t="shared" si="51"/>
        <v>102</v>
      </c>
      <c r="V207" s="21">
        <f t="shared" si="51"/>
        <v>107.66666666666765</v>
      </c>
      <c r="W207" s="22">
        <f t="shared" si="51"/>
        <v>87.266666666666765</v>
      </c>
      <c r="X207" s="22">
        <f t="shared" si="51"/>
        <v>96.333333333332348</v>
      </c>
      <c r="Y207" s="22">
        <f t="shared" si="51"/>
        <v>102</v>
      </c>
      <c r="Z207" s="23">
        <f t="shared" si="51"/>
        <v>81.599999999999113</v>
      </c>
      <c r="AA207" s="23">
        <f t="shared" si="51"/>
        <v>90.666666666665904</v>
      </c>
      <c r="AB207" s="23">
        <f t="shared" si="51"/>
        <v>96.333333333332348</v>
      </c>
      <c r="AC207" s="24">
        <f t="shared" si="51"/>
        <v>75.933333333333451</v>
      </c>
      <c r="AD207" s="24">
        <f t="shared" si="51"/>
        <v>85</v>
      </c>
      <c r="AE207" s="24">
        <f t="shared" si="51"/>
        <v>90.666666666665904</v>
      </c>
      <c r="AF207" s="25">
        <f t="shared" si="52"/>
        <v>70.266666666666026</v>
      </c>
      <c r="AG207" s="25">
        <f t="shared" si="53"/>
        <v>79.333333333333826</v>
      </c>
      <c r="AH207" s="25">
        <f t="shared" si="54"/>
        <v>85</v>
      </c>
      <c r="AI207" s="26">
        <f t="shared" si="55"/>
        <v>64.600000000000591</v>
      </c>
      <c r="AJ207" s="26">
        <f t="shared" si="56"/>
        <v>73.666666666666174</v>
      </c>
      <c r="AK207" s="26">
        <f t="shared" si="49"/>
        <v>79.333333333333826</v>
      </c>
    </row>
    <row r="208" spans="4:37" ht="20.100000000000001" customHeight="1">
      <c r="D208" s="27">
        <f t="shared" si="48"/>
        <v>0.56944444444444298</v>
      </c>
      <c r="E208" s="16">
        <f t="shared" si="47"/>
        <v>157.16666666666535</v>
      </c>
      <c r="F208" s="16">
        <f t="shared" si="47"/>
        <v>166.2777777777778</v>
      </c>
      <c r="G208" s="16">
        <f t="shared" si="47"/>
        <v>171.97222222222007</v>
      </c>
      <c r="H208" s="17">
        <f t="shared" si="47"/>
        <v>145.77777777777817</v>
      </c>
      <c r="I208" s="17">
        <f t="shared" si="47"/>
        <v>154.8888888888888</v>
      </c>
      <c r="J208" s="17">
        <f t="shared" si="47"/>
        <v>160.58333333333269</v>
      </c>
      <c r="K208" s="18">
        <f t="shared" si="47"/>
        <v>134.38888888888732</v>
      </c>
      <c r="L208" s="18">
        <f t="shared" si="47"/>
        <v>143.50000000000176</v>
      </c>
      <c r="M208" s="18">
        <f t="shared" si="47"/>
        <v>149.19444444444301</v>
      </c>
      <c r="N208" s="19">
        <f t="shared" si="47"/>
        <v>104.77777777777706</v>
      </c>
      <c r="O208" s="19">
        <f t="shared" si="47"/>
        <v>113.88888888889048</v>
      </c>
      <c r="P208" s="19">
        <f t="shared" si="47"/>
        <v>119.58333333333208</v>
      </c>
      <c r="Q208" s="20">
        <f t="shared" si="47"/>
        <v>99.083333333334537</v>
      </c>
      <c r="R208" s="20">
        <f t="shared" si="47"/>
        <v>108.19444444444542</v>
      </c>
      <c r="S208" s="20">
        <f t="shared" si="47"/>
        <v>113.88888888889048</v>
      </c>
      <c r="T208" s="21">
        <f t="shared" si="47"/>
        <v>93.388888888889966</v>
      </c>
      <c r="U208" s="21">
        <f t="shared" si="51"/>
        <v>102.5</v>
      </c>
      <c r="V208" s="21">
        <f t="shared" si="51"/>
        <v>108.19444444444542</v>
      </c>
      <c r="W208" s="22">
        <f t="shared" si="51"/>
        <v>87.694444444444542</v>
      </c>
      <c r="X208" s="22">
        <f t="shared" si="51"/>
        <v>96.805555555554577</v>
      </c>
      <c r="Y208" s="22">
        <f t="shared" si="51"/>
        <v>102.5</v>
      </c>
      <c r="Z208" s="23">
        <f t="shared" si="51"/>
        <v>81.999999999999119</v>
      </c>
      <c r="AA208" s="23">
        <f t="shared" si="51"/>
        <v>91.111111111110347</v>
      </c>
      <c r="AB208" s="23">
        <f t="shared" si="51"/>
        <v>96.805555555554577</v>
      </c>
      <c r="AC208" s="24">
        <f t="shared" si="51"/>
        <v>76.305555555555671</v>
      </c>
      <c r="AD208" s="24">
        <f t="shared" si="51"/>
        <v>85.416666666666671</v>
      </c>
      <c r="AE208" s="24">
        <f t="shared" si="51"/>
        <v>91.111111111110347</v>
      </c>
      <c r="AF208" s="25">
        <f t="shared" si="52"/>
        <v>70.611111111110475</v>
      </c>
      <c r="AG208" s="25">
        <f t="shared" si="53"/>
        <v>79.722222222222712</v>
      </c>
      <c r="AH208" s="25">
        <f t="shared" si="54"/>
        <v>85.416666666666671</v>
      </c>
      <c r="AI208" s="26">
        <f t="shared" si="55"/>
        <v>64.916666666667254</v>
      </c>
      <c r="AJ208" s="26">
        <f t="shared" si="56"/>
        <v>74.027777777777288</v>
      </c>
      <c r="AK208" s="26">
        <f t="shared" si="49"/>
        <v>79.722222222222712</v>
      </c>
    </row>
    <row r="209" spans="4:37" ht="20.100000000000001" customHeight="1">
      <c r="D209" s="27">
        <f t="shared" si="48"/>
        <v>0.57222222222222074</v>
      </c>
      <c r="E209" s="16">
        <f t="shared" si="47"/>
        <v>157.93333333333203</v>
      </c>
      <c r="F209" s="16">
        <f t="shared" si="47"/>
        <v>167.0888888888889</v>
      </c>
      <c r="G209" s="16">
        <f t="shared" si="47"/>
        <v>172.81111111110897</v>
      </c>
      <c r="H209" s="17">
        <f t="shared" si="47"/>
        <v>146.48888888888928</v>
      </c>
      <c r="I209" s="17">
        <f t="shared" si="47"/>
        <v>155.64444444444436</v>
      </c>
      <c r="J209" s="17">
        <f t="shared" si="47"/>
        <v>161.36666666666602</v>
      </c>
      <c r="K209" s="18">
        <f t="shared" si="47"/>
        <v>135.04444444444289</v>
      </c>
      <c r="L209" s="18">
        <f t="shared" si="47"/>
        <v>144.20000000000175</v>
      </c>
      <c r="M209" s="18">
        <f t="shared" si="47"/>
        <v>149.9222222222208</v>
      </c>
      <c r="N209" s="19">
        <f t="shared" si="47"/>
        <v>105.28888888888817</v>
      </c>
      <c r="O209" s="19">
        <f t="shared" si="47"/>
        <v>114.44444444444603</v>
      </c>
      <c r="P209" s="19">
        <f t="shared" si="47"/>
        <v>120.16666666666541</v>
      </c>
      <c r="Q209" s="20">
        <f t="shared" si="47"/>
        <v>99.566666666667871</v>
      </c>
      <c r="R209" s="20">
        <f t="shared" si="47"/>
        <v>108.72222222222319</v>
      </c>
      <c r="S209" s="20">
        <f t="shared" si="47"/>
        <v>114.44444444444603</v>
      </c>
      <c r="T209" s="21">
        <f>T210-(T$363/360)</f>
        <v>93.844444444445514</v>
      </c>
      <c r="U209" s="21">
        <f t="shared" si="51"/>
        <v>103</v>
      </c>
      <c r="V209" s="21">
        <f t="shared" si="51"/>
        <v>108.72222222222319</v>
      </c>
      <c r="W209" s="22">
        <f t="shared" si="51"/>
        <v>88.122222222222319</v>
      </c>
      <c r="X209" s="22">
        <f t="shared" si="51"/>
        <v>97.277777777776805</v>
      </c>
      <c r="Y209" s="22">
        <f t="shared" si="51"/>
        <v>103</v>
      </c>
      <c r="Z209" s="23">
        <f t="shared" si="51"/>
        <v>82.399999999999125</v>
      </c>
      <c r="AA209" s="23">
        <f t="shared" si="51"/>
        <v>91.55555555555479</v>
      </c>
      <c r="AB209" s="23">
        <f t="shared" si="51"/>
        <v>97.277777777776805</v>
      </c>
      <c r="AC209" s="24">
        <f t="shared" si="51"/>
        <v>76.677777777777891</v>
      </c>
      <c r="AD209" s="24">
        <f t="shared" si="51"/>
        <v>85.833333333333343</v>
      </c>
      <c r="AE209" s="24">
        <f t="shared" si="51"/>
        <v>91.55555555555479</v>
      </c>
      <c r="AF209" s="25">
        <f t="shared" si="52"/>
        <v>70.955555555554923</v>
      </c>
      <c r="AG209" s="25">
        <f t="shared" si="53"/>
        <v>80.111111111111597</v>
      </c>
      <c r="AH209" s="25">
        <f t="shared" si="54"/>
        <v>85.833333333333343</v>
      </c>
      <c r="AI209" s="26">
        <f t="shared" si="55"/>
        <v>65.233333333333917</v>
      </c>
      <c r="AJ209" s="26">
        <f t="shared" si="56"/>
        <v>74.388888888888403</v>
      </c>
      <c r="AK209" s="26">
        <f t="shared" si="49"/>
        <v>80.111111111111597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158.69999999999871</v>
      </c>
      <c r="F210" s="16">
        <f t="shared" si="57"/>
        <v>167.9</v>
      </c>
      <c r="G210" s="16">
        <f t="shared" si="57"/>
        <v>173.64999999999787</v>
      </c>
      <c r="H210" s="17">
        <f t="shared" si="57"/>
        <v>147.20000000000039</v>
      </c>
      <c r="I210" s="17">
        <f t="shared" si="57"/>
        <v>156.39999999999992</v>
      </c>
      <c r="J210" s="17">
        <f t="shared" si="57"/>
        <v>162.14999999999935</v>
      </c>
      <c r="K210" s="18">
        <f t="shared" si="57"/>
        <v>135.69999999999845</v>
      </c>
      <c r="L210" s="18">
        <f t="shared" si="57"/>
        <v>144.90000000000174</v>
      </c>
      <c r="M210" s="18">
        <f t="shared" si="57"/>
        <v>150.64999999999858</v>
      </c>
      <c r="N210" s="19">
        <f t="shared" si="57"/>
        <v>105.79999999999927</v>
      </c>
      <c r="O210" s="19">
        <f t="shared" si="57"/>
        <v>115.00000000000159</v>
      </c>
      <c r="P210" s="19">
        <f t="shared" si="57"/>
        <v>120.74999999999874</v>
      </c>
      <c r="Q210" s="20">
        <f t="shared" si="57"/>
        <v>100.05000000000121</v>
      </c>
      <c r="R210" s="20">
        <f t="shared" si="57"/>
        <v>109.25000000000097</v>
      </c>
      <c r="S210" s="20">
        <f t="shared" si="57"/>
        <v>115.00000000000159</v>
      </c>
      <c r="T210" s="21">
        <f t="shared" si="57"/>
        <v>94.300000000001063</v>
      </c>
      <c r="U210" s="21">
        <f t="shared" si="51"/>
        <v>103.5</v>
      </c>
      <c r="V210" s="21">
        <f t="shared" si="51"/>
        <v>109.25000000000097</v>
      </c>
      <c r="W210" s="22">
        <f t="shared" si="51"/>
        <v>88.550000000000097</v>
      </c>
      <c r="X210" s="22">
        <f t="shared" si="51"/>
        <v>97.749999999999034</v>
      </c>
      <c r="Y210" s="22">
        <f t="shared" si="51"/>
        <v>103.5</v>
      </c>
      <c r="Z210" s="23">
        <f t="shared" si="51"/>
        <v>82.79999999999913</v>
      </c>
      <c r="AA210" s="23">
        <f t="shared" si="51"/>
        <v>91.999999999999233</v>
      </c>
      <c r="AB210" s="23">
        <f t="shared" si="51"/>
        <v>97.749999999999034</v>
      </c>
      <c r="AC210" s="24">
        <f t="shared" si="51"/>
        <v>77.050000000000111</v>
      </c>
      <c r="AD210" s="24">
        <f t="shared" si="51"/>
        <v>86.250000000000014</v>
      </c>
      <c r="AE210" s="24">
        <f t="shared" si="51"/>
        <v>91.999999999999233</v>
      </c>
      <c r="AF210" s="25">
        <f t="shared" si="52"/>
        <v>71.299999999999372</v>
      </c>
      <c r="AG210" s="25">
        <f t="shared" si="53"/>
        <v>80.500000000000483</v>
      </c>
      <c r="AH210" s="25">
        <f t="shared" si="54"/>
        <v>86.250000000000014</v>
      </c>
      <c r="AI210" s="26">
        <f t="shared" si="55"/>
        <v>65.55000000000058</v>
      </c>
      <c r="AJ210" s="26">
        <f t="shared" si="56"/>
        <v>74.749999999999517</v>
      </c>
      <c r="AK210" s="26">
        <f t="shared" si="49"/>
        <v>80.500000000000483</v>
      </c>
    </row>
    <row r="211" spans="4:37" ht="20.100000000000001" customHeight="1">
      <c r="D211" s="27">
        <f t="shared" si="48"/>
        <v>0.57777777777777628</v>
      </c>
      <c r="E211" s="16">
        <f t="shared" si="57"/>
        <v>159.46666666666539</v>
      </c>
      <c r="F211" s="16">
        <f t="shared" si="57"/>
        <v>168.71111111111111</v>
      </c>
      <c r="G211" s="16">
        <f t="shared" si="57"/>
        <v>174.48888888888678</v>
      </c>
      <c r="H211" s="17">
        <f t="shared" si="57"/>
        <v>147.9111111111115</v>
      </c>
      <c r="I211" s="17">
        <f t="shared" si="57"/>
        <v>157.15555555555548</v>
      </c>
      <c r="J211" s="17">
        <f t="shared" si="57"/>
        <v>162.93333333333268</v>
      </c>
      <c r="K211" s="18">
        <f t="shared" si="57"/>
        <v>136.35555555555402</v>
      </c>
      <c r="L211" s="18">
        <f t="shared" si="57"/>
        <v>145.60000000000173</v>
      </c>
      <c r="M211" s="18">
        <f t="shared" si="57"/>
        <v>151.37777777777637</v>
      </c>
      <c r="N211" s="19">
        <f t="shared" si="57"/>
        <v>106.31111111111038</v>
      </c>
      <c r="O211" s="19">
        <f t="shared" si="57"/>
        <v>115.55555555555715</v>
      </c>
      <c r="P211" s="19">
        <f t="shared" si="57"/>
        <v>121.33333333333206</v>
      </c>
      <c r="Q211" s="20">
        <f t="shared" si="57"/>
        <v>100.53333333333454</v>
      </c>
      <c r="R211" s="20">
        <f t="shared" si="57"/>
        <v>109.77777777777874</v>
      </c>
      <c r="S211" s="20">
        <f t="shared" si="57"/>
        <v>115.55555555555715</v>
      </c>
      <c r="T211" s="21">
        <f t="shared" si="57"/>
        <v>94.755555555556612</v>
      </c>
      <c r="U211" s="21">
        <f t="shared" si="51"/>
        <v>104</v>
      </c>
      <c r="V211" s="21">
        <f t="shared" si="51"/>
        <v>109.77777777777874</v>
      </c>
      <c r="W211" s="22">
        <f t="shared" si="51"/>
        <v>88.977777777777874</v>
      </c>
      <c r="X211" s="22">
        <f t="shared" si="51"/>
        <v>98.222222222221262</v>
      </c>
      <c r="Y211" s="22">
        <f t="shared" si="51"/>
        <v>104</v>
      </c>
      <c r="Z211" s="23">
        <f t="shared" si="51"/>
        <v>83.199999999999136</v>
      </c>
      <c r="AA211" s="23">
        <f t="shared" si="51"/>
        <v>92.444444444443675</v>
      </c>
      <c r="AB211" s="23">
        <f t="shared" si="51"/>
        <v>98.222222222221262</v>
      </c>
      <c r="AC211" s="24">
        <f t="shared" si="51"/>
        <v>77.422222222222331</v>
      </c>
      <c r="AD211" s="24">
        <f t="shared" si="51"/>
        <v>86.666666666666686</v>
      </c>
      <c r="AE211" s="24">
        <f t="shared" si="51"/>
        <v>92.444444444443675</v>
      </c>
      <c r="AF211" s="25">
        <f t="shared" si="52"/>
        <v>71.64444444444382</v>
      </c>
      <c r="AG211" s="25">
        <f t="shared" si="53"/>
        <v>80.888888888889369</v>
      </c>
      <c r="AH211" s="25">
        <f t="shared" si="54"/>
        <v>86.666666666666686</v>
      </c>
      <c r="AI211" s="26">
        <f t="shared" si="55"/>
        <v>65.866666666667243</v>
      </c>
      <c r="AJ211" s="26">
        <f t="shared" si="56"/>
        <v>75.111111111110631</v>
      </c>
      <c r="AK211" s="26">
        <f t="shared" si="49"/>
        <v>80.888888888889369</v>
      </c>
    </row>
    <row r="212" spans="4:37" ht="20.100000000000001" customHeight="1">
      <c r="D212" s="27">
        <f t="shared" si="48"/>
        <v>0.58055555555555405</v>
      </c>
      <c r="E212" s="16">
        <f t="shared" si="57"/>
        <v>160.23333333333207</v>
      </c>
      <c r="F212" s="16">
        <f t="shared" si="57"/>
        <v>169.52222222222221</v>
      </c>
      <c r="G212" s="16">
        <f t="shared" si="57"/>
        <v>175.32777777777568</v>
      </c>
      <c r="H212" s="17">
        <f t="shared" si="57"/>
        <v>148.6222222222226</v>
      </c>
      <c r="I212" s="17">
        <f t="shared" si="57"/>
        <v>157.91111111111104</v>
      </c>
      <c r="J212" s="17">
        <f t="shared" si="57"/>
        <v>163.71666666666601</v>
      </c>
      <c r="K212" s="18">
        <f t="shared" si="57"/>
        <v>137.01111111110959</v>
      </c>
      <c r="L212" s="18">
        <f t="shared" si="57"/>
        <v>146.30000000000172</v>
      </c>
      <c r="M212" s="18">
        <f t="shared" si="57"/>
        <v>152.10555555555416</v>
      </c>
      <c r="N212" s="19">
        <f t="shared" si="57"/>
        <v>106.82222222222148</v>
      </c>
      <c r="O212" s="19">
        <f t="shared" si="57"/>
        <v>116.11111111111271</v>
      </c>
      <c r="P212" s="19">
        <f t="shared" si="57"/>
        <v>121.91666666666539</v>
      </c>
      <c r="Q212" s="20">
        <f t="shared" si="57"/>
        <v>101.01666666666787</v>
      </c>
      <c r="R212" s="20">
        <f t="shared" si="57"/>
        <v>110.30555555555651</v>
      </c>
      <c r="S212" s="20">
        <f t="shared" si="57"/>
        <v>116.11111111111271</v>
      </c>
      <c r="T212" s="21">
        <f t="shared" si="57"/>
        <v>95.21111111111216</v>
      </c>
      <c r="U212" s="21">
        <f t="shared" si="51"/>
        <v>104.5</v>
      </c>
      <c r="V212" s="21">
        <f t="shared" si="51"/>
        <v>110.30555555555651</v>
      </c>
      <c r="W212" s="22">
        <f t="shared" si="51"/>
        <v>89.405555555555651</v>
      </c>
      <c r="X212" s="22">
        <f t="shared" si="51"/>
        <v>98.694444444443491</v>
      </c>
      <c r="Y212" s="22">
        <f t="shared" si="51"/>
        <v>104.5</v>
      </c>
      <c r="Z212" s="23">
        <f t="shared" si="51"/>
        <v>83.599999999999142</v>
      </c>
      <c r="AA212" s="23">
        <f t="shared" si="51"/>
        <v>92.888888888888118</v>
      </c>
      <c r="AB212" s="23">
        <f t="shared" si="51"/>
        <v>98.694444444443491</v>
      </c>
      <c r="AC212" s="24">
        <f t="shared" si="51"/>
        <v>77.794444444444551</v>
      </c>
      <c r="AD212" s="24">
        <f t="shared" si="51"/>
        <v>87.083333333333357</v>
      </c>
      <c r="AE212" s="24">
        <f t="shared" si="51"/>
        <v>92.888888888888118</v>
      </c>
      <c r="AF212" s="25">
        <f t="shared" si="52"/>
        <v>71.988888888888269</v>
      </c>
      <c r="AG212" s="25">
        <f t="shared" si="53"/>
        <v>81.277777777778255</v>
      </c>
      <c r="AH212" s="25">
        <f t="shared" si="54"/>
        <v>87.083333333333357</v>
      </c>
      <c r="AI212" s="26">
        <f t="shared" si="55"/>
        <v>66.183333333333906</v>
      </c>
      <c r="AJ212" s="26">
        <f t="shared" si="56"/>
        <v>75.472222222221745</v>
      </c>
      <c r="AK212" s="26">
        <f t="shared" si="49"/>
        <v>81.277777777778255</v>
      </c>
    </row>
    <row r="213" spans="4:37" ht="20.100000000000001" customHeight="1">
      <c r="D213" s="27">
        <f t="shared" si="48"/>
        <v>0.58333333333333182</v>
      </c>
      <c r="E213" s="16">
        <f t="shared" si="57"/>
        <v>160.99999999999875</v>
      </c>
      <c r="F213" s="16">
        <f t="shared" si="57"/>
        <v>170.33333333333331</v>
      </c>
      <c r="G213" s="16">
        <f t="shared" si="57"/>
        <v>176.16666666666458</v>
      </c>
      <c r="H213" s="17">
        <f t="shared" si="57"/>
        <v>149.33333333333371</v>
      </c>
      <c r="I213" s="17">
        <f t="shared" si="57"/>
        <v>158.6666666666666</v>
      </c>
      <c r="J213" s="17">
        <f t="shared" si="57"/>
        <v>164.49999999999935</v>
      </c>
      <c r="K213" s="18">
        <f t="shared" si="57"/>
        <v>137.66666666666515</v>
      </c>
      <c r="L213" s="18">
        <f t="shared" si="57"/>
        <v>147.00000000000171</v>
      </c>
      <c r="M213" s="18">
        <f t="shared" si="57"/>
        <v>152.83333333333195</v>
      </c>
      <c r="N213" s="19">
        <f t="shared" si="57"/>
        <v>107.33333333333259</v>
      </c>
      <c r="O213" s="19">
        <f t="shared" si="57"/>
        <v>116.66666666666826</v>
      </c>
      <c r="P213" s="19">
        <f t="shared" si="57"/>
        <v>122.49999999999872</v>
      </c>
      <c r="Q213" s="20">
        <f t="shared" si="57"/>
        <v>101.50000000000121</v>
      </c>
      <c r="R213" s="20">
        <f t="shared" si="57"/>
        <v>110.83333333333428</v>
      </c>
      <c r="S213" s="20">
        <f t="shared" si="57"/>
        <v>116.66666666666826</v>
      </c>
      <c r="T213" s="21">
        <f t="shared" si="57"/>
        <v>95.666666666667709</v>
      </c>
      <c r="U213" s="21">
        <f t="shared" si="51"/>
        <v>105</v>
      </c>
      <c r="V213" s="21">
        <f t="shared" si="51"/>
        <v>110.83333333333428</v>
      </c>
      <c r="W213" s="22">
        <f t="shared" si="51"/>
        <v>89.833333333333428</v>
      </c>
      <c r="X213" s="22">
        <f t="shared" si="51"/>
        <v>99.166666666665719</v>
      </c>
      <c r="Y213" s="22">
        <f t="shared" si="51"/>
        <v>105</v>
      </c>
      <c r="Z213" s="23">
        <f t="shared" si="51"/>
        <v>83.999999999999147</v>
      </c>
      <c r="AA213" s="23">
        <f t="shared" si="51"/>
        <v>93.333333333332561</v>
      </c>
      <c r="AB213" s="23">
        <f t="shared" si="51"/>
        <v>99.166666666665719</v>
      </c>
      <c r="AC213" s="24">
        <f t="shared" si="51"/>
        <v>78.166666666666771</v>
      </c>
      <c r="AD213" s="24">
        <f t="shared" si="51"/>
        <v>87.500000000000028</v>
      </c>
      <c r="AE213" s="24">
        <f t="shared" si="51"/>
        <v>93.333333333332561</v>
      </c>
      <c r="AF213" s="25">
        <f t="shared" si="52"/>
        <v>72.333333333332718</v>
      </c>
      <c r="AG213" s="25">
        <f t="shared" si="53"/>
        <v>81.66666666666714</v>
      </c>
      <c r="AH213" s="25">
        <f t="shared" si="54"/>
        <v>87.500000000000028</v>
      </c>
      <c r="AI213" s="26">
        <f t="shared" si="55"/>
        <v>66.500000000000568</v>
      </c>
      <c r="AJ213" s="26">
        <f t="shared" si="56"/>
        <v>75.83333333333286</v>
      </c>
      <c r="AK213" s="26">
        <f t="shared" si="49"/>
        <v>81.66666666666714</v>
      </c>
    </row>
    <row r="214" spans="4:37" ht="20.100000000000001" customHeight="1">
      <c r="D214" s="27">
        <f t="shared" si="48"/>
        <v>0.58611111111110958</v>
      </c>
      <c r="E214" s="16">
        <f t="shared" si="57"/>
        <v>161.76666666666543</v>
      </c>
      <c r="F214" s="16">
        <f t="shared" si="57"/>
        <v>171.14444444444442</v>
      </c>
      <c r="G214" s="16">
        <f t="shared" si="57"/>
        <v>177.00555555555349</v>
      </c>
      <c r="H214" s="17">
        <f t="shared" si="57"/>
        <v>150.04444444444482</v>
      </c>
      <c r="I214" s="17">
        <f t="shared" si="57"/>
        <v>159.42222222222216</v>
      </c>
      <c r="J214" s="17">
        <f t="shared" si="57"/>
        <v>165.28333333333268</v>
      </c>
      <c r="K214" s="18">
        <f t="shared" si="57"/>
        <v>138.32222222222072</v>
      </c>
      <c r="L214" s="18">
        <f t="shared" si="57"/>
        <v>147.70000000000169</v>
      </c>
      <c r="M214" s="18">
        <f t="shared" si="57"/>
        <v>153.56111111110974</v>
      </c>
      <c r="N214" s="19">
        <f t="shared" si="57"/>
        <v>107.8444444444437</v>
      </c>
      <c r="O214" s="19">
        <f t="shared" si="57"/>
        <v>117.22222222222382</v>
      </c>
      <c r="P214" s="19">
        <f t="shared" si="57"/>
        <v>123.08333333333205</v>
      </c>
      <c r="Q214" s="20">
        <f t="shared" si="57"/>
        <v>101.98333333333454</v>
      </c>
      <c r="R214" s="20">
        <f t="shared" si="57"/>
        <v>111.36111111111205</v>
      </c>
      <c r="S214" s="20">
        <f t="shared" si="57"/>
        <v>117.22222222222382</v>
      </c>
      <c r="T214" s="21">
        <f t="shared" si="57"/>
        <v>96.122222222223257</v>
      </c>
      <c r="U214" s="21">
        <f t="shared" si="51"/>
        <v>105.5</v>
      </c>
      <c r="V214" s="21">
        <f t="shared" si="51"/>
        <v>111.36111111111205</v>
      </c>
      <c r="W214" s="22">
        <f t="shared" si="51"/>
        <v>90.261111111111205</v>
      </c>
      <c r="X214" s="22">
        <f t="shared" si="51"/>
        <v>99.638888888887948</v>
      </c>
      <c r="Y214" s="22">
        <f t="shared" si="51"/>
        <v>105.5</v>
      </c>
      <c r="Z214" s="23">
        <f t="shared" si="51"/>
        <v>84.399999999999153</v>
      </c>
      <c r="AA214" s="23">
        <f t="shared" si="51"/>
        <v>93.777777777777004</v>
      </c>
      <c r="AB214" s="23">
        <f t="shared" si="51"/>
        <v>99.638888888887948</v>
      </c>
      <c r="AC214" s="24">
        <f t="shared" si="51"/>
        <v>78.538888888888991</v>
      </c>
      <c r="AD214" s="24">
        <f t="shared" si="51"/>
        <v>87.9166666666667</v>
      </c>
      <c r="AE214" s="24">
        <f t="shared" si="51"/>
        <v>93.777777777777004</v>
      </c>
      <c r="AF214" s="25">
        <f t="shared" si="52"/>
        <v>72.677777777777166</v>
      </c>
      <c r="AG214" s="25">
        <f t="shared" si="53"/>
        <v>82.055555555556026</v>
      </c>
      <c r="AH214" s="25">
        <f t="shared" si="54"/>
        <v>87.9166666666667</v>
      </c>
      <c r="AI214" s="26">
        <f t="shared" si="55"/>
        <v>66.816666666667231</v>
      </c>
      <c r="AJ214" s="26">
        <f t="shared" si="56"/>
        <v>76.194444444443974</v>
      </c>
      <c r="AK214" s="26">
        <f t="shared" si="49"/>
        <v>82.055555555556026</v>
      </c>
    </row>
    <row r="215" spans="4:37" ht="20.100000000000001" customHeight="1">
      <c r="D215" s="27">
        <f t="shared" si="48"/>
        <v>0.58888888888888735</v>
      </c>
      <c r="E215" s="16">
        <f t="shared" si="57"/>
        <v>162.53333333333211</v>
      </c>
      <c r="F215" s="16">
        <f t="shared" si="57"/>
        <v>171.95555555555552</v>
      </c>
      <c r="G215" s="16">
        <f t="shared" si="57"/>
        <v>177.84444444444239</v>
      </c>
      <c r="H215" s="17">
        <f t="shared" si="57"/>
        <v>150.75555555555593</v>
      </c>
      <c r="I215" s="17">
        <f t="shared" si="57"/>
        <v>160.17777777777772</v>
      </c>
      <c r="J215" s="17">
        <f t="shared" si="57"/>
        <v>166.06666666666601</v>
      </c>
      <c r="K215" s="18">
        <f t="shared" si="57"/>
        <v>138.97777777777628</v>
      </c>
      <c r="L215" s="18">
        <f t="shared" si="57"/>
        <v>148.40000000000168</v>
      </c>
      <c r="M215" s="18">
        <f t="shared" si="57"/>
        <v>154.28888888888753</v>
      </c>
      <c r="N215" s="19">
        <f t="shared" si="57"/>
        <v>108.3555555555548</v>
      </c>
      <c r="O215" s="19">
        <f t="shared" si="57"/>
        <v>117.77777777777938</v>
      </c>
      <c r="P215" s="19">
        <f t="shared" si="57"/>
        <v>123.66666666666538</v>
      </c>
      <c r="Q215" s="20">
        <f t="shared" si="57"/>
        <v>102.46666666666788</v>
      </c>
      <c r="R215" s="20">
        <f t="shared" si="57"/>
        <v>111.88888888888982</v>
      </c>
      <c r="S215" s="20">
        <f t="shared" si="57"/>
        <v>117.77777777777938</v>
      </c>
      <c r="T215" s="21">
        <f t="shared" si="57"/>
        <v>96.577777777778806</v>
      </c>
      <c r="U215" s="21">
        <f t="shared" si="51"/>
        <v>106</v>
      </c>
      <c r="V215" s="21">
        <f t="shared" si="51"/>
        <v>111.88888888888982</v>
      </c>
      <c r="W215" s="22">
        <f t="shared" si="51"/>
        <v>90.688888888888982</v>
      </c>
      <c r="X215" s="22">
        <f t="shared" si="51"/>
        <v>100.11111111111018</v>
      </c>
      <c r="Y215" s="22">
        <f t="shared" si="51"/>
        <v>106</v>
      </c>
      <c r="Z215" s="23">
        <f t="shared" si="51"/>
        <v>84.799999999999159</v>
      </c>
      <c r="AA215" s="23">
        <f t="shared" si="51"/>
        <v>94.222222222221447</v>
      </c>
      <c r="AB215" s="23">
        <f t="shared" si="51"/>
        <v>100.11111111111018</v>
      </c>
      <c r="AC215" s="24">
        <f t="shared" si="51"/>
        <v>78.911111111111211</v>
      </c>
      <c r="AD215" s="24">
        <f t="shared" si="51"/>
        <v>88.333333333333371</v>
      </c>
      <c r="AE215" s="24">
        <f t="shared" si="51"/>
        <v>94.222222222221447</v>
      </c>
      <c r="AF215" s="25">
        <f t="shared" si="51"/>
        <v>73.022222222221615</v>
      </c>
      <c r="AG215" s="25">
        <f t="shared" si="51"/>
        <v>82.444444444444912</v>
      </c>
      <c r="AH215" s="25">
        <f t="shared" ref="AH215:AJ216" si="58">AH216-(AH$363/360)</f>
        <v>88.333333333333371</v>
      </c>
      <c r="AI215" s="26">
        <f t="shared" si="58"/>
        <v>67.133333333333894</v>
      </c>
      <c r="AJ215" s="26">
        <f t="shared" si="58"/>
        <v>76.555555555555088</v>
      </c>
      <c r="AK215" s="26">
        <f t="shared" si="49"/>
        <v>82.444444444444912</v>
      </c>
    </row>
    <row r="216" spans="4:37" ht="20.100000000000001" customHeight="1">
      <c r="D216" s="27">
        <f t="shared" si="48"/>
        <v>0.59166666666666512</v>
      </c>
      <c r="E216" s="16">
        <f t="shared" si="57"/>
        <v>163.29999999999879</v>
      </c>
      <c r="F216" s="16">
        <f t="shared" si="57"/>
        <v>172.76666666666662</v>
      </c>
      <c r="G216" s="16">
        <f t="shared" si="57"/>
        <v>178.68333333333129</v>
      </c>
      <c r="H216" s="17">
        <f t="shared" si="57"/>
        <v>151.46666666666704</v>
      </c>
      <c r="I216" s="17">
        <f t="shared" si="57"/>
        <v>160.93333333333328</v>
      </c>
      <c r="J216" s="17">
        <f t="shared" si="57"/>
        <v>166.84999999999934</v>
      </c>
      <c r="K216" s="18">
        <f t="shared" si="57"/>
        <v>139.63333333333185</v>
      </c>
      <c r="L216" s="18">
        <f t="shared" si="57"/>
        <v>149.10000000000167</v>
      </c>
      <c r="M216" s="18">
        <f t="shared" si="57"/>
        <v>155.01666666666532</v>
      </c>
      <c r="N216" s="19">
        <f t="shared" si="57"/>
        <v>108.86666666666591</v>
      </c>
      <c r="O216" s="19">
        <f t="shared" si="57"/>
        <v>118.33333333333493</v>
      </c>
      <c r="P216" s="19">
        <f t="shared" si="57"/>
        <v>124.24999999999871</v>
      </c>
      <c r="Q216" s="20">
        <f t="shared" si="57"/>
        <v>102.95000000000121</v>
      </c>
      <c r="R216" s="20">
        <f t="shared" si="57"/>
        <v>112.4166666666676</v>
      </c>
      <c r="S216" s="20">
        <f t="shared" si="57"/>
        <v>118.33333333333493</v>
      </c>
      <c r="T216" s="21">
        <f t="shared" si="57"/>
        <v>97.033333333334355</v>
      </c>
      <c r="U216" s="21">
        <f t="shared" si="51"/>
        <v>106.5</v>
      </c>
      <c r="V216" s="21">
        <f t="shared" si="51"/>
        <v>112.4166666666676</v>
      </c>
      <c r="W216" s="22">
        <f t="shared" si="51"/>
        <v>91.11666666666676</v>
      </c>
      <c r="X216" s="22">
        <f t="shared" si="51"/>
        <v>100.5833333333324</v>
      </c>
      <c r="Y216" s="22">
        <f t="shared" si="51"/>
        <v>106.5</v>
      </c>
      <c r="Z216" s="23">
        <f t="shared" si="51"/>
        <v>85.199999999999164</v>
      </c>
      <c r="AA216" s="23">
        <f t="shared" si="51"/>
        <v>94.66666666666589</v>
      </c>
      <c r="AB216" s="23">
        <f t="shared" si="51"/>
        <v>100.5833333333324</v>
      </c>
      <c r="AC216" s="24">
        <f t="shared" si="51"/>
        <v>79.283333333333431</v>
      </c>
      <c r="AD216" s="24">
        <f t="shared" si="51"/>
        <v>88.750000000000043</v>
      </c>
      <c r="AE216" s="24">
        <f t="shared" si="51"/>
        <v>94.66666666666589</v>
      </c>
      <c r="AF216" s="25">
        <f t="shared" si="51"/>
        <v>73.366666666666063</v>
      </c>
      <c r="AG216" s="25">
        <f t="shared" si="51"/>
        <v>82.833333333333798</v>
      </c>
      <c r="AH216" s="25">
        <f t="shared" si="58"/>
        <v>88.750000000000043</v>
      </c>
      <c r="AI216" s="26">
        <f t="shared" si="58"/>
        <v>67.450000000000557</v>
      </c>
      <c r="AJ216" s="26">
        <f t="shared" si="58"/>
        <v>76.916666666666202</v>
      </c>
      <c r="AK216" s="26">
        <f t="shared" si="49"/>
        <v>82.833333333333798</v>
      </c>
    </row>
    <row r="217" spans="4:37" ht="20.100000000000001" customHeight="1">
      <c r="D217" s="27">
        <f t="shared" si="48"/>
        <v>0.59444444444444289</v>
      </c>
      <c r="E217" s="16">
        <f t="shared" si="57"/>
        <v>164.06666666666547</v>
      </c>
      <c r="F217" s="16">
        <f t="shared" si="57"/>
        <v>173.57777777777773</v>
      </c>
      <c r="G217" s="16">
        <f t="shared" si="57"/>
        <v>179.52222222222019</v>
      </c>
      <c r="H217" s="17">
        <f t="shared" si="57"/>
        <v>152.17777777777815</v>
      </c>
      <c r="I217" s="17">
        <f t="shared" si="57"/>
        <v>161.68888888888884</v>
      </c>
      <c r="J217" s="17">
        <f t="shared" si="57"/>
        <v>167.63333333333267</v>
      </c>
      <c r="K217" s="18">
        <f t="shared" si="57"/>
        <v>140.28888888888741</v>
      </c>
      <c r="L217" s="18">
        <f t="shared" si="57"/>
        <v>149.80000000000166</v>
      </c>
      <c r="M217" s="18">
        <f t="shared" si="57"/>
        <v>155.7444444444431</v>
      </c>
      <c r="N217" s="19">
        <f t="shared" si="57"/>
        <v>109.37777777777701</v>
      </c>
      <c r="O217" s="19">
        <f t="shared" si="57"/>
        <v>118.88888888889049</v>
      </c>
      <c r="P217" s="19">
        <f t="shared" si="57"/>
        <v>124.83333333333204</v>
      </c>
      <c r="Q217" s="20">
        <f t="shared" si="57"/>
        <v>103.43333333333455</v>
      </c>
      <c r="R217" s="20">
        <f t="shared" si="57"/>
        <v>112.94444444444537</v>
      </c>
      <c r="S217" s="20">
        <f t="shared" si="57"/>
        <v>118.88888888889049</v>
      </c>
      <c r="T217" s="21">
        <f t="shared" si="57"/>
        <v>97.488888888889903</v>
      </c>
      <c r="U217" s="21">
        <f t="shared" si="51"/>
        <v>107</v>
      </c>
      <c r="V217" s="21">
        <f t="shared" si="51"/>
        <v>112.94444444444537</v>
      </c>
      <c r="W217" s="22">
        <f t="shared" si="51"/>
        <v>91.544444444444537</v>
      </c>
      <c r="X217" s="22">
        <f t="shared" si="51"/>
        <v>101.05555555555463</v>
      </c>
      <c r="Y217" s="22">
        <f t="shared" si="51"/>
        <v>107</v>
      </c>
      <c r="Z217" s="23">
        <f t="shared" si="51"/>
        <v>85.59999999999917</v>
      </c>
      <c r="AA217" s="23">
        <f t="shared" si="51"/>
        <v>95.111111111110333</v>
      </c>
      <c r="AB217" s="23">
        <f t="shared" si="51"/>
        <v>101.05555555555463</v>
      </c>
      <c r="AC217" s="24">
        <f t="shared" si="51"/>
        <v>79.655555555555651</v>
      </c>
      <c r="AD217" s="24">
        <f t="shared" si="51"/>
        <v>89.166666666666714</v>
      </c>
      <c r="AE217" s="24">
        <f t="shared" si="51"/>
        <v>95.111111111110333</v>
      </c>
      <c r="AF217" s="25">
        <f t="shared" si="51"/>
        <v>73.711111111110512</v>
      </c>
      <c r="AG217" s="25">
        <f t="shared" si="51"/>
        <v>83.222222222222683</v>
      </c>
      <c r="AH217" s="25">
        <f t="shared" si="51"/>
        <v>89.166666666666714</v>
      </c>
      <c r="AI217" s="26">
        <f t="shared" si="51"/>
        <v>67.76666666666722</v>
      </c>
      <c r="AJ217" s="26">
        <f t="shared" ref="AJ217:AJ233" si="59">AJ218-(AJ$363/360)</f>
        <v>77.277777777777317</v>
      </c>
      <c r="AK217" s="26">
        <f t="shared" si="49"/>
        <v>83.222222222222683</v>
      </c>
    </row>
    <row r="218" spans="4:37" ht="20.100000000000001" customHeight="1">
      <c r="D218" s="27">
        <f t="shared" si="48"/>
        <v>0.59722222222222066</v>
      </c>
      <c r="E218" s="16">
        <f t="shared" si="57"/>
        <v>164.83333333333215</v>
      </c>
      <c r="F218" s="16">
        <f t="shared" si="57"/>
        <v>174.38888888888883</v>
      </c>
      <c r="G218" s="16">
        <f t="shared" si="57"/>
        <v>180.3611111111091</v>
      </c>
      <c r="H218" s="17">
        <f t="shared" si="57"/>
        <v>152.88888888888926</v>
      </c>
      <c r="I218" s="17">
        <f t="shared" si="57"/>
        <v>162.4444444444444</v>
      </c>
      <c r="J218" s="17">
        <f t="shared" si="57"/>
        <v>168.416666666666</v>
      </c>
      <c r="K218" s="18">
        <f t="shared" si="57"/>
        <v>140.94444444444298</v>
      </c>
      <c r="L218" s="18">
        <f t="shared" si="57"/>
        <v>150.50000000000165</v>
      </c>
      <c r="M218" s="18">
        <f t="shared" si="57"/>
        <v>156.47222222222089</v>
      </c>
      <c r="N218" s="19">
        <f t="shared" si="57"/>
        <v>109.88888888888812</v>
      </c>
      <c r="O218" s="19">
        <f t="shared" si="57"/>
        <v>119.44444444444605</v>
      </c>
      <c r="P218" s="19">
        <f t="shared" si="57"/>
        <v>125.41666666666536</v>
      </c>
      <c r="Q218" s="20">
        <f t="shared" si="57"/>
        <v>103.91666666666788</v>
      </c>
      <c r="R218" s="20">
        <f t="shared" si="57"/>
        <v>113.47222222222314</v>
      </c>
      <c r="S218" s="20">
        <f t="shared" si="57"/>
        <v>119.44444444444605</v>
      </c>
      <c r="T218" s="21">
        <f t="shared" si="57"/>
        <v>97.944444444445452</v>
      </c>
      <c r="U218" s="21">
        <f t="shared" si="51"/>
        <v>107.5</v>
      </c>
      <c r="V218" s="21">
        <f t="shared" si="51"/>
        <v>113.47222222222314</v>
      </c>
      <c r="W218" s="22">
        <f t="shared" si="51"/>
        <v>91.972222222222314</v>
      </c>
      <c r="X218" s="22">
        <f t="shared" si="51"/>
        <v>101.52777777777686</v>
      </c>
      <c r="Y218" s="22">
        <f t="shared" si="51"/>
        <v>107.5</v>
      </c>
      <c r="Z218" s="23">
        <f t="shared" si="51"/>
        <v>85.999999999999176</v>
      </c>
      <c r="AA218" s="23">
        <f t="shared" si="51"/>
        <v>95.555555555554776</v>
      </c>
      <c r="AB218" s="23">
        <f t="shared" si="51"/>
        <v>101.52777777777686</v>
      </c>
      <c r="AC218" s="24">
        <f t="shared" si="51"/>
        <v>80.027777777777871</v>
      </c>
      <c r="AD218" s="24">
        <f t="shared" si="51"/>
        <v>89.583333333333385</v>
      </c>
      <c r="AE218" s="24">
        <f t="shared" si="51"/>
        <v>95.555555555554776</v>
      </c>
      <c r="AF218" s="25">
        <f t="shared" si="51"/>
        <v>74.05555555555496</v>
      </c>
      <c r="AG218" s="25">
        <f t="shared" si="51"/>
        <v>83.611111111111569</v>
      </c>
      <c r="AH218" s="25">
        <f t="shared" si="51"/>
        <v>89.583333333333385</v>
      </c>
      <c r="AI218" s="26">
        <f t="shared" si="51"/>
        <v>68.083333333333883</v>
      </c>
      <c r="AJ218" s="26">
        <f t="shared" si="59"/>
        <v>77.638888888888431</v>
      </c>
      <c r="AK218" s="26">
        <f t="shared" si="49"/>
        <v>83.611111111111569</v>
      </c>
    </row>
    <row r="219" spans="4:37" ht="20.100000000000001" customHeight="1">
      <c r="D219" s="27">
        <f t="shared" si="48"/>
        <v>0.59999999999999842</v>
      </c>
      <c r="E219" s="16">
        <f t="shared" si="57"/>
        <v>165.59999999999883</v>
      </c>
      <c r="F219" s="16">
        <f t="shared" si="57"/>
        <v>175.19999999999993</v>
      </c>
      <c r="G219" s="16">
        <f t="shared" si="57"/>
        <v>181.199999999998</v>
      </c>
      <c r="H219" s="17">
        <f t="shared" si="57"/>
        <v>153.60000000000036</v>
      </c>
      <c r="I219" s="17">
        <f t="shared" si="57"/>
        <v>163.19999999999996</v>
      </c>
      <c r="J219" s="17">
        <f t="shared" si="57"/>
        <v>169.19999999999933</v>
      </c>
      <c r="K219" s="18">
        <f t="shared" si="57"/>
        <v>141.59999999999854</v>
      </c>
      <c r="L219" s="18">
        <f t="shared" si="57"/>
        <v>151.20000000000164</v>
      </c>
      <c r="M219" s="18">
        <f t="shared" si="57"/>
        <v>157.19999999999868</v>
      </c>
      <c r="N219" s="19">
        <f t="shared" si="57"/>
        <v>110.39999999999922</v>
      </c>
      <c r="O219" s="19">
        <f t="shared" si="57"/>
        <v>120.00000000000161</v>
      </c>
      <c r="P219" s="19">
        <f t="shared" si="57"/>
        <v>125.99999999999869</v>
      </c>
      <c r="Q219" s="20">
        <f t="shared" si="57"/>
        <v>104.40000000000121</v>
      </c>
      <c r="R219" s="20">
        <f t="shared" si="57"/>
        <v>114.00000000000091</v>
      </c>
      <c r="S219" s="20">
        <f t="shared" si="57"/>
        <v>120.00000000000161</v>
      </c>
      <c r="T219" s="21">
        <f t="shared" si="57"/>
        <v>98.400000000001</v>
      </c>
      <c r="U219" s="21">
        <f t="shared" si="51"/>
        <v>108</v>
      </c>
      <c r="V219" s="21">
        <f t="shared" si="51"/>
        <v>114.00000000000091</v>
      </c>
      <c r="W219" s="22">
        <f t="shared" si="51"/>
        <v>92.400000000000091</v>
      </c>
      <c r="X219" s="22">
        <f t="shared" si="51"/>
        <v>101.99999999999909</v>
      </c>
      <c r="Y219" s="22">
        <f t="shared" si="51"/>
        <v>108</v>
      </c>
      <c r="Z219" s="23">
        <f t="shared" si="51"/>
        <v>86.399999999999181</v>
      </c>
      <c r="AA219" s="23">
        <f t="shared" si="51"/>
        <v>95.999999999999218</v>
      </c>
      <c r="AB219" s="23">
        <f t="shared" si="51"/>
        <v>101.99999999999909</v>
      </c>
      <c r="AC219" s="24">
        <f t="shared" si="51"/>
        <v>80.400000000000091</v>
      </c>
      <c r="AD219" s="24">
        <f t="shared" si="51"/>
        <v>90.000000000000057</v>
      </c>
      <c r="AE219" s="24">
        <f t="shared" si="51"/>
        <v>95.999999999999218</v>
      </c>
      <c r="AF219" s="25">
        <f t="shared" si="51"/>
        <v>74.399999999999409</v>
      </c>
      <c r="AG219" s="25">
        <f t="shared" si="51"/>
        <v>84.000000000000455</v>
      </c>
      <c r="AH219" s="25">
        <f t="shared" si="51"/>
        <v>90.000000000000057</v>
      </c>
      <c r="AI219" s="26">
        <f t="shared" si="51"/>
        <v>68.400000000000546</v>
      </c>
      <c r="AJ219" s="26">
        <f t="shared" si="59"/>
        <v>77.999999999999545</v>
      </c>
      <c r="AK219" s="26">
        <f t="shared" si="49"/>
        <v>84.000000000000455</v>
      </c>
    </row>
    <row r="220" spans="4:37" ht="20.100000000000001" customHeight="1">
      <c r="D220" s="27">
        <f t="shared" si="48"/>
        <v>0.60277777777777619</v>
      </c>
      <c r="E220" s="16">
        <f t="shared" si="57"/>
        <v>166.36666666666551</v>
      </c>
      <c r="F220" s="16">
        <f t="shared" si="57"/>
        <v>176.01111111111103</v>
      </c>
      <c r="G220" s="16">
        <f t="shared" si="57"/>
        <v>182.0388888888869</v>
      </c>
      <c r="H220" s="17">
        <f t="shared" si="57"/>
        <v>154.31111111111147</v>
      </c>
      <c r="I220" s="17">
        <f t="shared" si="57"/>
        <v>163.95555555555552</v>
      </c>
      <c r="J220" s="17">
        <f t="shared" si="57"/>
        <v>169.98333333333267</v>
      </c>
      <c r="K220" s="18">
        <f t="shared" si="57"/>
        <v>142.25555555555411</v>
      </c>
      <c r="L220" s="18">
        <f t="shared" si="57"/>
        <v>151.90000000000163</v>
      </c>
      <c r="M220" s="18">
        <f t="shared" si="57"/>
        <v>157.92777777777647</v>
      </c>
      <c r="N220" s="19">
        <f t="shared" si="57"/>
        <v>110.91111111111033</v>
      </c>
      <c r="O220" s="19">
        <f t="shared" si="57"/>
        <v>120.55555555555716</v>
      </c>
      <c r="P220" s="19">
        <f t="shared" si="57"/>
        <v>126.58333333333202</v>
      </c>
      <c r="Q220" s="20">
        <f t="shared" si="57"/>
        <v>104.88333333333455</v>
      </c>
      <c r="R220" s="20">
        <f t="shared" si="57"/>
        <v>114.52777777777868</v>
      </c>
      <c r="S220" s="20">
        <f t="shared" si="57"/>
        <v>120.55555555555716</v>
      </c>
      <c r="T220" s="21">
        <f t="shared" si="57"/>
        <v>98.855555555556549</v>
      </c>
      <c r="U220" s="21">
        <f t="shared" si="51"/>
        <v>108.5</v>
      </c>
      <c r="V220" s="21">
        <f t="shared" si="51"/>
        <v>114.52777777777868</v>
      </c>
      <c r="W220" s="22">
        <f t="shared" si="51"/>
        <v>92.827777777777868</v>
      </c>
      <c r="X220" s="22">
        <f t="shared" si="51"/>
        <v>102.47222222222132</v>
      </c>
      <c r="Y220" s="22">
        <f t="shared" si="51"/>
        <v>108.5</v>
      </c>
      <c r="Z220" s="23">
        <f t="shared" si="51"/>
        <v>86.799999999999187</v>
      </c>
      <c r="AA220" s="23">
        <f t="shared" si="51"/>
        <v>96.444444444443661</v>
      </c>
      <c r="AB220" s="23">
        <f t="shared" si="51"/>
        <v>102.47222222222132</v>
      </c>
      <c r="AC220" s="24">
        <f t="shared" si="51"/>
        <v>80.772222222222311</v>
      </c>
      <c r="AD220" s="24">
        <f t="shared" si="51"/>
        <v>90.416666666666728</v>
      </c>
      <c r="AE220" s="24">
        <f t="shared" si="51"/>
        <v>96.444444444443661</v>
      </c>
      <c r="AF220" s="25">
        <f t="shared" si="51"/>
        <v>74.744444444443857</v>
      </c>
      <c r="AG220" s="25">
        <f t="shared" si="51"/>
        <v>84.38888888888934</v>
      </c>
      <c r="AH220" s="25">
        <f t="shared" si="51"/>
        <v>90.416666666666728</v>
      </c>
      <c r="AI220" s="26">
        <f t="shared" si="51"/>
        <v>68.716666666667209</v>
      </c>
      <c r="AJ220" s="26">
        <f t="shared" si="59"/>
        <v>78.36111111111066</v>
      </c>
      <c r="AK220" s="26">
        <f t="shared" si="49"/>
        <v>84.38888888888934</v>
      </c>
    </row>
    <row r="221" spans="4:37" ht="20.100000000000001" customHeight="1">
      <c r="D221" s="27">
        <f t="shared" si="48"/>
        <v>0.60555555555555396</v>
      </c>
      <c r="E221" s="16">
        <f t="shared" si="57"/>
        <v>167.13333333333219</v>
      </c>
      <c r="F221" s="16">
        <f t="shared" si="57"/>
        <v>176.82222222222214</v>
      </c>
      <c r="G221" s="16">
        <f t="shared" si="57"/>
        <v>182.8777777777758</v>
      </c>
      <c r="H221" s="17">
        <f t="shared" si="57"/>
        <v>155.02222222222258</v>
      </c>
      <c r="I221" s="17">
        <f t="shared" si="57"/>
        <v>164.71111111111108</v>
      </c>
      <c r="J221" s="17">
        <f t="shared" si="57"/>
        <v>170.766666666666</v>
      </c>
      <c r="K221" s="18">
        <f t="shared" si="57"/>
        <v>142.91111111110968</v>
      </c>
      <c r="L221" s="18">
        <f t="shared" si="57"/>
        <v>152.60000000000161</v>
      </c>
      <c r="M221" s="18">
        <f t="shared" si="57"/>
        <v>158.65555555555426</v>
      </c>
      <c r="N221" s="19">
        <f t="shared" si="57"/>
        <v>111.42222222222144</v>
      </c>
      <c r="O221" s="19">
        <f t="shared" si="57"/>
        <v>121.11111111111272</v>
      </c>
      <c r="P221" s="19">
        <f t="shared" si="57"/>
        <v>127.16666666666535</v>
      </c>
      <c r="Q221" s="20">
        <f t="shared" si="57"/>
        <v>105.36666666666788</v>
      </c>
      <c r="R221" s="20">
        <f t="shared" si="57"/>
        <v>115.05555555555645</v>
      </c>
      <c r="S221" s="20">
        <f t="shared" si="57"/>
        <v>121.11111111111272</v>
      </c>
      <c r="T221" s="21">
        <f t="shared" si="57"/>
        <v>99.311111111112098</v>
      </c>
      <c r="U221" s="21">
        <f t="shared" si="51"/>
        <v>109</v>
      </c>
      <c r="V221" s="21">
        <f t="shared" si="51"/>
        <v>115.05555555555645</v>
      </c>
      <c r="W221" s="22">
        <f t="shared" si="51"/>
        <v>93.255555555555645</v>
      </c>
      <c r="X221" s="22">
        <f t="shared" si="51"/>
        <v>102.94444444444355</v>
      </c>
      <c r="Y221" s="22">
        <f t="shared" si="51"/>
        <v>109</v>
      </c>
      <c r="Z221" s="23">
        <f t="shared" si="51"/>
        <v>87.199999999999193</v>
      </c>
      <c r="AA221" s="23">
        <f t="shared" si="51"/>
        <v>96.888888888888104</v>
      </c>
      <c r="AB221" s="23">
        <f t="shared" si="51"/>
        <v>102.94444444444355</v>
      </c>
      <c r="AC221" s="24">
        <f t="shared" si="51"/>
        <v>81.144444444444531</v>
      </c>
      <c r="AD221" s="24">
        <f t="shared" si="51"/>
        <v>90.8333333333334</v>
      </c>
      <c r="AE221" s="24">
        <f t="shared" si="51"/>
        <v>96.888888888888104</v>
      </c>
      <c r="AF221" s="25">
        <f t="shared" si="51"/>
        <v>75.088888888888306</v>
      </c>
      <c r="AG221" s="25">
        <f t="shared" si="51"/>
        <v>84.777777777778226</v>
      </c>
      <c r="AH221" s="25">
        <f t="shared" si="51"/>
        <v>90.8333333333334</v>
      </c>
      <c r="AI221" s="26">
        <f t="shared" si="51"/>
        <v>69.033333333333871</v>
      </c>
      <c r="AJ221" s="26">
        <f t="shared" si="59"/>
        <v>78.722222222221774</v>
      </c>
      <c r="AK221" s="26">
        <f t="shared" si="49"/>
        <v>84.777777777778226</v>
      </c>
    </row>
    <row r="222" spans="4:37" ht="20.100000000000001" customHeight="1">
      <c r="D222" s="27">
        <f t="shared" si="48"/>
        <v>0.60833333333333173</v>
      </c>
      <c r="E222" s="16">
        <f t="shared" si="57"/>
        <v>167.89999999999887</v>
      </c>
      <c r="F222" s="16">
        <f t="shared" si="57"/>
        <v>177.63333333333324</v>
      </c>
      <c r="G222" s="16">
        <f t="shared" si="57"/>
        <v>183.71666666666471</v>
      </c>
      <c r="H222" s="17">
        <f t="shared" si="57"/>
        <v>155.73333333333369</v>
      </c>
      <c r="I222" s="17">
        <f t="shared" si="57"/>
        <v>165.46666666666664</v>
      </c>
      <c r="J222" s="17">
        <f t="shared" si="57"/>
        <v>171.54999999999933</v>
      </c>
      <c r="K222" s="18">
        <f t="shared" si="57"/>
        <v>143.56666666666524</v>
      </c>
      <c r="L222" s="18">
        <f t="shared" si="57"/>
        <v>153.3000000000016</v>
      </c>
      <c r="M222" s="18">
        <f t="shared" si="57"/>
        <v>159.38333333333205</v>
      </c>
      <c r="N222" s="19">
        <f t="shared" si="57"/>
        <v>111.93333333333254</v>
      </c>
      <c r="O222" s="19">
        <f t="shared" si="57"/>
        <v>121.66666666666828</v>
      </c>
      <c r="P222" s="19">
        <f t="shared" si="57"/>
        <v>127.74999999999868</v>
      </c>
      <c r="Q222" s="20">
        <f t="shared" si="57"/>
        <v>105.85000000000122</v>
      </c>
      <c r="R222" s="20">
        <f t="shared" si="57"/>
        <v>115.58333333333422</v>
      </c>
      <c r="S222" s="20">
        <f t="shared" si="57"/>
        <v>121.66666666666828</v>
      </c>
      <c r="T222" s="21">
        <f t="shared" si="57"/>
        <v>99.766666666667646</v>
      </c>
      <c r="U222" s="21">
        <f t="shared" si="51"/>
        <v>109.5</v>
      </c>
      <c r="V222" s="21">
        <f t="shared" si="51"/>
        <v>115.58333333333422</v>
      </c>
      <c r="W222" s="22">
        <f t="shared" si="51"/>
        <v>93.683333333333422</v>
      </c>
      <c r="X222" s="22">
        <f t="shared" si="51"/>
        <v>103.41666666666578</v>
      </c>
      <c r="Y222" s="22">
        <f t="shared" si="51"/>
        <v>109.5</v>
      </c>
      <c r="Z222" s="23">
        <f t="shared" si="51"/>
        <v>87.599999999999199</v>
      </c>
      <c r="AA222" s="23">
        <f t="shared" si="51"/>
        <v>97.333333333332547</v>
      </c>
      <c r="AB222" s="23">
        <f t="shared" si="51"/>
        <v>103.41666666666578</v>
      </c>
      <c r="AC222" s="24">
        <f t="shared" si="51"/>
        <v>81.516666666666751</v>
      </c>
      <c r="AD222" s="24">
        <f t="shared" si="51"/>
        <v>91.250000000000071</v>
      </c>
      <c r="AE222" s="24">
        <f t="shared" si="51"/>
        <v>97.333333333332547</v>
      </c>
      <c r="AF222" s="25">
        <f t="shared" si="51"/>
        <v>75.433333333332754</v>
      </c>
      <c r="AG222" s="25">
        <f t="shared" si="51"/>
        <v>85.166666666667112</v>
      </c>
      <c r="AH222" s="25">
        <f t="shared" si="51"/>
        <v>91.250000000000071</v>
      </c>
      <c r="AI222" s="26">
        <f t="shared" si="51"/>
        <v>69.350000000000534</v>
      </c>
      <c r="AJ222" s="26">
        <f t="shared" si="59"/>
        <v>79.083333333332888</v>
      </c>
      <c r="AK222" s="26">
        <f t="shared" si="49"/>
        <v>85.166666666667112</v>
      </c>
    </row>
    <row r="223" spans="4:37" ht="20.100000000000001" customHeight="1">
      <c r="D223" s="27">
        <f t="shared" si="48"/>
        <v>0.6111111111111095</v>
      </c>
      <c r="E223" s="16">
        <f t="shared" si="57"/>
        <v>168.66666666666555</v>
      </c>
      <c r="F223" s="16">
        <f t="shared" si="57"/>
        <v>178.44444444444434</v>
      </c>
      <c r="G223" s="16">
        <f t="shared" si="57"/>
        <v>184.55555555555361</v>
      </c>
      <c r="H223" s="17">
        <f t="shared" si="57"/>
        <v>156.4444444444448</v>
      </c>
      <c r="I223" s="17">
        <f t="shared" si="57"/>
        <v>166.2222222222222</v>
      </c>
      <c r="J223" s="17">
        <f t="shared" si="57"/>
        <v>172.33333333333266</v>
      </c>
      <c r="K223" s="18">
        <f t="shared" si="57"/>
        <v>144.22222222222081</v>
      </c>
      <c r="L223" s="18">
        <f t="shared" si="57"/>
        <v>154.00000000000159</v>
      </c>
      <c r="M223" s="18">
        <f t="shared" si="57"/>
        <v>160.11111111110984</v>
      </c>
      <c r="N223" s="19">
        <f t="shared" si="57"/>
        <v>112.44444444444365</v>
      </c>
      <c r="O223" s="19">
        <f t="shared" si="57"/>
        <v>122.22222222222383</v>
      </c>
      <c r="P223" s="19">
        <f t="shared" si="57"/>
        <v>128.33333333333201</v>
      </c>
      <c r="Q223" s="20">
        <f t="shared" si="57"/>
        <v>106.33333333333455</v>
      </c>
      <c r="R223" s="20">
        <f t="shared" si="57"/>
        <v>116.111111111112</v>
      </c>
      <c r="S223" s="20">
        <f t="shared" si="57"/>
        <v>122.22222222222383</v>
      </c>
      <c r="T223" s="21">
        <f t="shared" si="57"/>
        <v>100.22222222222319</v>
      </c>
      <c r="U223" s="21">
        <f t="shared" si="51"/>
        <v>110</v>
      </c>
      <c r="V223" s="21">
        <f t="shared" si="51"/>
        <v>116.111111111112</v>
      </c>
      <c r="W223" s="22">
        <f t="shared" si="51"/>
        <v>94.1111111111112</v>
      </c>
      <c r="X223" s="22">
        <f t="shared" si="51"/>
        <v>103.888888888888</v>
      </c>
      <c r="Y223" s="22">
        <f t="shared" si="51"/>
        <v>110</v>
      </c>
      <c r="Z223" s="23">
        <f t="shared" si="51"/>
        <v>87.999999999999204</v>
      </c>
      <c r="AA223" s="23">
        <f t="shared" si="51"/>
        <v>97.77777777777699</v>
      </c>
      <c r="AB223" s="23">
        <f t="shared" ref="AB223:AI223" si="60">AB224-(AB$363/360)</f>
        <v>103.888888888888</v>
      </c>
      <c r="AC223" s="24">
        <f t="shared" si="60"/>
        <v>81.888888888888971</v>
      </c>
      <c r="AD223" s="24">
        <f t="shared" si="60"/>
        <v>91.666666666666742</v>
      </c>
      <c r="AE223" s="24">
        <f t="shared" si="60"/>
        <v>97.77777777777699</v>
      </c>
      <c r="AF223" s="25">
        <f t="shared" si="60"/>
        <v>75.777777777777203</v>
      </c>
      <c r="AG223" s="25">
        <f t="shared" si="60"/>
        <v>85.555555555555998</v>
      </c>
      <c r="AH223" s="25">
        <f t="shared" si="60"/>
        <v>91.666666666666742</v>
      </c>
      <c r="AI223" s="26">
        <f t="shared" si="60"/>
        <v>69.666666666667197</v>
      </c>
      <c r="AJ223" s="26">
        <f t="shared" si="59"/>
        <v>79.444444444444002</v>
      </c>
      <c r="AK223" s="26">
        <f t="shared" si="49"/>
        <v>85.555555555555998</v>
      </c>
    </row>
    <row r="224" spans="4:37" ht="20.100000000000001" customHeight="1">
      <c r="D224" s="27">
        <f t="shared" si="48"/>
        <v>0.61388888888888726</v>
      </c>
      <c r="E224" s="16">
        <f t="shared" si="57"/>
        <v>169.43333333333223</v>
      </c>
      <c r="F224" s="16">
        <f t="shared" si="57"/>
        <v>179.25555555555545</v>
      </c>
      <c r="G224" s="16">
        <f t="shared" si="57"/>
        <v>185.39444444444251</v>
      </c>
      <c r="H224" s="17">
        <f t="shared" si="57"/>
        <v>157.15555555555591</v>
      </c>
      <c r="I224" s="17">
        <f t="shared" si="57"/>
        <v>166.97777777777776</v>
      </c>
      <c r="J224" s="17">
        <f t="shared" si="57"/>
        <v>173.11666666666599</v>
      </c>
      <c r="K224" s="18">
        <f t="shared" si="57"/>
        <v>144.87777777777637</v>
      </c>
      <c r="L224" s="18">
        <f t="shared" si="57"/>
        <v>154.70000000000158</v>
      </c>
      <c r="M224" s="18">
        <f t="shared" si="57"/>
        <v>160.83888888888762</v>
      </c>
      <c r="N224" s="19">
        <f t="shared" si="57"/>
        <v>112.95555555555475</v>
      </c>
      <c r="O224" s="19">
        <f t="shared" si="57"/>
        <v>122.77777777777939</v>
      </c>
      <c r="P224" s="19">
        <f t="shared" si="57"/>
        <v>128.91666666666535</v>
      </c>
      <c r="Q224" s="20">
        <f t="shared" si="57"/>
        <v>106.81666666666789</v>
      </c>
      <c r="R224" s="20">
        <f t="shared" si="57"/>
        <v>116.63888888888977</v>
      </c>
      <c r="S224" s="20">
        <f t="shared" si="57"/>
        <v>122.77777777777939</v>
      </c>
      <c r="T224" s="21">
        <f t="shared" si="57"/>
        <v>100.67777777777874</v>
      </c>
      <c r="U224" s="21">
        <f t="shared" ref="U224:AI224" si="61">U225-(U$363/360)</f>
        <v>110.5</v>
      </c>
      <c r="V224" s="21">
        <f t="shared" si="61"/>
        <v>116.63888888888977</v>
      </c>
      <c r="W224" s="22">
        <f t="shared" si="61"/>
        <v>94.538888888888977</v>
      </c>
      <c r="X224" s="22">
        <f t="shared" si="61"/>
        <v>104.36111111111023</v>
      </c>
      <c r="Y224" s="22">
        <f t="shared" si="61"/>
        <v>110.5</v>
      </c>
      <c r="Z224" s="23">
        <f t="shared" si="61"/>
        <v>88.39999999999921</v>
      </c>
      <c r="AA224" s="23">
        <f t="shared" si="61"/>
        <v>98.222222222221433</v>
      </c>
      <c r="AB224" s="23">
        <f t="shared" si="61"/>
        <v>104.36111111111023</v>
      </c>
      <c r="AC224" s="24">
        <f t="shared" si="61"/>
        <v>82.261111111111191</v>
      </c>
      <c r="AD224" s="24">
        <f t="shared" si="61"/>
        <v>92.083333333333414</v>
      </c>
      <c r="AE224" s="24">
        <f t="shared" si="61"/>
        <v>98.222222222221433</v>
      </c>
      <c r="AF224" s="25">
        <f t="shared" si="61"/>
        <v>76.122222222221652</v>
      </c>
      <c r="AG224" s="25">
        <f t="shared" si="61"/>
        <v>85.944444444444883</v>
      </c>
      <c r="AH224" s="25">
        <f t="shared" si="61"/>
        <v>92.083333333333414</v>
      </c>
      <c r="AI224" s="26">
        <f t="shared" si="61"/>
        <v>69.98333333333386</v>
      </c>
      <c r="AJ224" s="26">
        <f t="shared" si="59"/>
        <v>79.805555555555117</v>
      </c>
      <c r="AK224" s="26">
        <f t="shared" si="49"/>
        <v>85.944444444444883</v>
      </c>
    </row>
    <row r="225" spans="4:37" ht="20.100000000000001" customHeight="1">
      <c r="D225" s="27">
        <f t="shared" si="48"/>
        <v>0.61666666666666503</v>
      </c>
      <c r="E225" s="16">
        <f t="shared" si="57"/>
        <v>170.19999999999891</v>
      </c>
      <c r="F225" s="16">
        <f t="shared" si="57"/>
        <v>180.06666666666655</v>
      </c>
      <c r="G225" s="16">
        <f t="shared" si="57"/>
        <v>186.23333333333142</v>
      </c>
      <c r="H225" s="17">
        <f t="shared" si="57"/>
        <v>157.86666666666702</v>
      </c>
      <c r="I225" s="17">
        <f t="shared" si="57"/>
        <v>167.73333333333332</v>
      </c>
      <c r="J225" s="17">
        <f t="shared" si="57"/>
        <v>173.89999999999932</v>
      </c>
      <c r="K225" s="18">
        <f t="shared" si="57"/>
        <v>145.53333333333194</v>
      </c>
      <c r="L225" s="18">
        <f t="shared" si="57"/>
        <v>155.40000000000157</v>
      </c>
      <c r="M225" s="18">
        <f t="shared" si="57"/>
        <v>161.56666666666541</v>
      </c>
      <c r="N225" s="19">
        <f t="shared" si="57"/>
        <v>113.46666666666586</v>
      </c>
      <c r="O225" s="19">
        <f t="shared" si="57"/>
        <v>123.33333333333495</v>
      </c>
      <c r="P225" s="19">
        <f t="shared" si="57"/>
        <v>129.49999999999869</v>
      </c>
      <c r="Q225" s="20">
        <f t="shared" si="57"/>
        <v>107.30000000000122</v>
      </c>
      <c r="R225" s="20">
        <f t="shared" si="57"/>
        <v>117.16666666666754</v>
      </c>
      <c r="S225" s="20">
        <f t="shared" si="57"/>
        <v>123.33333333333495</v>
      </c>
      <c r="T225" s="21">
        <f t="shared" ref="T225:AI240" si="62">T226-(T$363/360)</f>
        <v>101.13333333333429</v>
      </c>
      <c r="U225" s="21">
        <f t="shared" si="62"/>
        <v>111</v>
      </c>
      <c r="V225" s="21">
        <f t="shared" si="62"/>
        <v>117.16666666666754</v>
      </c>
      <c r="W225" s="22">
        <f t="shared" si="62"/>
        <v>94.966666666666754</v>
      </c>
      <c r="X225" s="22">
        <f t="shared" si="62"/>
        <v>104.83333333333246</v>
      </c>
      <c r="Y225" s="22">
        <f t="shared" si="62"/>
        <v>111</v>
      </c>
      <c r="Z225" s="23">
        <f t="shared" si="62"/>
        <v>88.799999999999216</v>
      </c>
      <c r="AA225" s="23">
        <f t="shared" si="62"/>
        <v>98.666666666665876</v>
      </c>
      <c r="AB225" s="23">
        <f t="shared" si="62"/>
        <v>104.83333333333246</v>
      </c>
      <c r="AC225" s="24">
        <f t="shared" si="62"/>
        <v>82.633333333333411</v>
      </c>
      <c r="AD225" s="24">
        <f t="shared" si="62"/>
        <v>92.500000000000085</v>
      </c>
      <c r="AE225" s="24">
        <f t="shared" si="62"/>
        <v>98.666666666665876</v>
      </c>
      <c r="AF225" s="25">
        <f t="shared" si="62"/>
        <v>76.4666666666661</v>
      </c>
      <c r="AG225" s="25">
        <f t="shared" si="62"/>
        <v>86.333333333333769</v>
      </c>
      <c r="AH225" s="25">
        <f t="shared" si="62"/>
        <v>92.500000000000085</v>
      </c>
      <c r="AI225" s="26">
        <f t="shared" si="62"/>
        <v>70.300000000000523</v>
      </c>
      <c r="AJ225" s="26">
        <f t="shared" si="59"/>
        <v>80.166666666666231</v>
      </c>
      <c r="AK225" s="26">
        <f t="shared" si="49"/>
        <v>86.333333333333769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170.96666666666559</v>
      </c>
      <c r="F226" s="16">
        <f t="shared" si="63"/>
        <v>180.87777777777765</v>
      </c>
      <c r="G226" s="16">
        <f t="shared" si="63"/>
        <v>187.07222222222032</v>
      </c>
      <c r="H226" s="17">
        <f t="shared" si="63"/>
        <v>158.57777777777812</v>
      </c>
      <c r="I226" s="17">
        <f t="shared" si="63"/>
        <v>168.48888888888888</v>
      </c>
      <c r="J226" s="17">
        <f t="shared" si="63"/>
        <v>174.68333333333266</v>
      </c>
      <c r="K226" s="18">
        <f t="shared" si="63"/>
        <v>146.1888888888875</v>
      </c>
      <c r="L226" s="18">
        <f t="shared" si="63"/>
        <v>156.10000000000156</v>
      </c>
      <c r="M226" s="18">
        <f t="shared" si="63"/>
        <v>162.2944444444432</v>
      </c>
      <c r="N226" s="19">
        <f t="shared" si="63"/>
        <v>113.97777777777696</v>
      </c>
      <c r="O226" s="19">
        <f t="shared" si="63"/>
        <v>123.88888888889051</v>
      </c>
      <c r="P226" s="19">
        <f t="shared" si="63"/>
        <v>130.08333333333204</v>
      </c>
      <c r="Q226" s="20">
        <f t="shared" si="63"/>
        <v>107.78333333333455</v>
      </c>
      <c r="R226" s="20">
        <f t="shared" si="63"/>
        <v>117.69444444444531</v>
      </c>
      <c r="S226" s="20">
        <f t="shared" si="63"/>
        <v>123.88888888889051</v>
      </c>
      <c r="T226" s="21">
        <f t="shared" si="62"/>
        <v>101.58888888888984</v>
      </c>
      <c r="U226" s="21">
        <f t="shared" si="62"/>
        <v>111.5</v>
      </c>
      <c r="V226" s="21">
        <f t="shared" si="62"/>
        <v>117.69444444444531</v>
      </c>
      <c r="W226" s="22">
        <f t="shared" si="62"/>
        <v>95.394444444444531</v>
      </c>
      <c r="X226" s="22">
        <f t="shared" si="62"/>
        <v>105.30555555555469</v>
      </c>
      <c r="Y226" s="22">
        <f t="shared" si="62"/>
        <v>111.5</v>
      </c>
      <c r="Z226" s="23">
        <f t="shared" si="62"/>
        <v>89.199999999999221</v>
      </c>
      <c r="AA226" s="23">
        <f t="shared" si="62"/>
        <v>99.111111111110318</v>
      </c>
      <c r="AB226" s="23">
        <f t="shared" si="62"/>
        <v>105.30555555555469</v>
      </c>
      <c r="AC226" s="24">
        <f t="shared" si="62"/>
        <v>83.005555555555631</v>
      </c>
      <c r="AD226" s="24">
        <f t="shared" si="62"/>
        <v>92.916666666666757</v>
      </c>
      <c r="AE226" s="24">
        <f t="shared" si="62"/>
        <v>99.111111111110318</v>
      </c>
      <c r="AF226" s="25">
        <f t="shared" si="62"/>
        <v>76.811111111110549</v>
      </c>
      <c r="AG226" s="25">
        <f t="shared" si="62"/>
        <v>86.722222222222655</v>
      </c>
      <c r="AH226" s="25">
        <f t="shared" si="62"/>
        <v>92.916666666666757</v>
      </c>
      <c r="AI226" s="26">
        <f t="shared" si="62"/>
        <v>70.616666666667186</v>
      </c>
      <c r="AJ226" s="26">
        <f t="shared" si="59"/>
        <v>80.527777777777345</v>
      </c>
      <c r="AK226" s="26">
        <f t="shared" si="49"/>
        <v>86.722222222222655</v>
      </c>
    </row>
    <row r="227" spans="4:37" ht="20.100000000000001" customHeight="1">
      <c r="D227" s="27">
        <f t="shared" si="48"/>
        <v>0.62222222222222057</v>
      </c>
      <c r="E227" s="16">
        <f t="shared" si="63"/>
        <v>171.73333333333227</v>
      </c>
      <c r="F227" s="16">
        <f t="shared" si="63"/>
        <v>181.68888888888875</v>
      </c>
      <c r="G227" s="16">
        <f t="shared" si="63"/>
        <v>187.91111111110922</v>
      </c>
      <c r="H227" s="17">
        <f t="shared" si="63"/>
        <v>159.28888888888923</v>
      </c>
      <c r="I227" s="17">
        <f t="shared" si="63"/>
        <v>169.24444444444444</v>
      </c>
      <c r="J227" s="17">
        <f t="shared" si="63"/>
        <v>175.46666666666599</v>
      </c>
      <c r="K227" s="18">
        <f t="shared" si="63"/>
        <v>146.84444444444307</v>
      </c>
      <c r="L227" s="18">
        <f t="shared" si="63"/>
        <v>156.80000000000155</v>
      </c>
      <c r="M227" s="18">
        <f t="shared" si="63"/>
        <v>163.02222222222099</v>
      </c>
      <c r="N227" s="19">
        <f t="shared" si="63"/>
        <v>114.48888888888807</v>
      </c>
      <c r="O227" s="19">
        <f t="shared" si="63"/>
        <v>124.44444444444606</v>
      </c>
      <c r="P227" s="19">
        <f t="shared" si="63"/>
        <v>130.66666666666538</v>
      </c>
      <c r="Q227" s="20">
        <f t="shared" si="63"/>
        <v>108.26666666666789</v>
      </c>
      <c r="R227" s="20">
        <f t="shared" si="63"/>
        <v>118.22222222222308</v>
      </c>
      <c r="S227" s="20">
        <f t="shared" si="63"/>
        <v>124.44444444444606</v>
      </c>
      <c r="T227" s="21">
        <f t="shared" si="62"/>
        <v>102.04444444444539</v>
      </c>
      <c r="U227" s="21">
        <f t="shared" si="62"/>
        <v>112</v>
      </c>
      <c r="V227" s="21">
        <f t="shared" si="62"/>
        <v>118.22222222222308</v>
      </c>
      <c r="W227" s="22">
        <f t="shared" si="62"/>
        <v>95.822222222222308</v>
      </c>
      <c r="X227" s="22">
        <f t="shared" si="62"/>
        <v>105.77777777777692</v>
      </c>
      <c r="Y227" s="22">
        <f t="shared" si="62"/>
        <v>112</v>
      </c>
      <c r="Z227" s="23">
        <f t="shared" si="62"/>
        <v>89.599999999999227</v>
      </c>
      <c r="AA227" s="23">
        <f t="shared" si="62"/>
        <v>99.555555555554761</v>
      </c>
      <c r="AB227" s="23">
        <f t="shared" si="62"/>
        <v>105.77777777777692</v>
      </c>
      <c r="AC227" s="24">
        <f t="shared" si="62"/>
        <v>83.377777777777851</v>
      </c>
      <c r="AD227" s="24">
        <f t="shared" si="62"/>
        <v>93.333333333333428</v>
      </c>
      <c r="AE227" s="24">
        <f t="shared" si="62"/>
        <v>99.555555555554761</v>
      </c>
      <c r="AF227" s="25">
        <f t="shared" si="62"/>
        <v>77.155555555554997</v>
      </c>
      <c r="AG227" s="25">
        <f t="shared" si="62"/>
        <v>87.111111111111541</v>
      </c>
      <c r="AH227" s="25">
        <f t="shared" si="62"/>
        <v>93.333333333333428</v>
      </c>
      <c r="AI227" s="26">
        <f t="shared" si="62"/>
        <v>70.933333333333849</v>
      </c>
      <c r="AJ227" s="26">
        <f t="shared" si="59"/>
        <v>80.888888888888459</v>
      </c>
      <c r="AK227" s="26">
        <f t="shared" si="49"/>
        <v>87.111111111111541</v>
      </c>
    </row>
    <row r="228" spans="4:37" ht="20.100000000000001" customHeight="1">
      <c r="D228" s="27">
        <f t="shared" si="48"/>
        <v>0.62499999999999833</v>
      </c>
      <c r="E228" s="16">
        <f t="shared" si="63"/>
        <v>172.49999999999895</v>
      </c>
      <c r="F228" s="16">
        <f t="shared" si="63"/>
        <v>182.49999999999986</v>
      </c>
      <c r="G228" s="16">
        <f t="shared" si="63"/>
        <v>188.74999999999812</v>
      </c>
      <c r="H228" s="17">
        <f t="shared" si="63"/>
        <v>160.00000000000034</v>
      </c>
      <c r="I228" s="17">
        <f t="shared" si="63"/>
        <v>170</v>
      </c>
      <c r="J228" s="17">
        <f t="shared" si="63"/>
        <v>176.24999999999932</v>
      </c>
      <c r="K228" s="18">
        <f t="shared" si="63"/>
        <v>147.49999999999864</v>
      </c>
      <c r="L228" s="18">
        <f t="shared" si="63"/>
        <v>157.50000000000153</v>
      </c>
      <c r="M228" s="18">
        <f t="shared" si="63"/>
        <v>163.74999999999878</v>
      </c>
      <c r="N228" s="19">
        <f t="shared" si="63"/>
        <v>114.99999999999918</v>
      </c>
      <c r="O228" s="19">
        <f t="shared" si="63"/>
        <v>125.00000000000162</v>
      </c>
      <c r="P228" s="19">
        <f t="shared" si="63"/>
        <v>131.24999999999872</v>
      </c>
      <c r="Q228" s="20">
        <f t="shared" si="63"/>
        <v>108.75000000000122</v>
      </c>
      <c r="R228" s="20">
        <f t="shared" si="63"/>
        <v>118.75000000000085</v>
      </c>
      <c r="S228" s="20">
        <f t="shared" si="63"/>
        <v>125.00000000000162</v>
      </c>
      <c r="T228" s="21">
        <f t="shared" si="62"/>
        <v>102.50000000000094</v>
      </c>
      <c r="U228" s="21">
        <f t="shared" si="62"/>
        <v>112.5</v>
      </c>
      <c r="V228" s="21">
        <f t="shared" si="62"/>
        <v>118.75000000000085</v>
      </c>
      <c r="W228" s="22">
        <f t="shared" si="62"/>
        <v>96.250000000000085</v>
      </c>
      <c r="X228" s="22">
        <f t="shared" si="62"/>
        <v>106.24999999999915</v>
      </c>
      <c r="Y228" s="22">
        <f t="shared" si="62"/>
        <v>112.5</v>
      </c>
      <c r="Z228" s="23">
        <f t="shared" si="62"/>
        <v>89.999999999999233</v>
      </c>
      <c r="AA228" s="23">
        <f t="shared" si="62"/>
        <v>99.999999999999204</v>
      </c>
      <c r="AB228" s="23">
        <f t="shared" si="62"/>
        <v>106.24999999999915</v>
      </c>
      <c r="AC228" s="24">
        <f t="shared" si="62"/>
        <v>83.750000000000071</v>
      </c>
      <c r="AD228" s="24">
        <f t="shared" si="62"/>
        <v>93.750000000000099</v>
      </c>
      <c r="AE228" s="24">
        <f t="shared" si="62"/>
        <v>99.999999999999204</v>
      </c>
      <c r="AF228" s="25">
        <f t="shared" si="62"/>
        <v>77.499999999999446</v>
      </c>
      <c r="AG228" s="25">
        <f t="shared" si="62"/>
        <v>87.500000000000426</v>
      </c>
      <c r="AH228" s="25">
        <f t="shared" si="62"/>
        <v>93.750000000000099</v>
      </c>
      <c r="AI228" s="26">
        <f t="shared" si="62"/>
        <v>71.250000000000512</v>
      </c>
      <c r="AJ228" s="26">
        <f t="shared" si="59"/>
        <v>81.249999999999574</v>
      </c>
      <c r="AK228" s="26">
        <f t="shared" si="49"/>
        <v>87.500000000000426</v>
      </c>
    </row>
    <row r="229" spans="4:37" ht="20.100000000000001" customHeight="1">
      <c r="D229" s="27">
        <f t="shared" si="48"/>
        <v>0.6277777777777761</v>
      </c>
      <c r="E229" s="16">
        <f t="shared" si="63"/>
        <v>173.26666666666563</v>
      </c>
      <c r="F229" s="16">
        <f t="shared" si="63"/>
        <v>183.31111111111096</v>
      </c>
      <c r="G229" s="16">
        <f t="shared" si="63"/>
        <v>189.58888888888703</v>
      </c>
      <c r="H229" s="17">
        <f t="shared" si="63"/>
        <v>160.71111111111145</v>
      </c>
      <c r="I229" s="17">
        <f t="shared" si="63"/>
        <v>170.75555555555556</v>
      </c>
      <c r="J229" s="17">
        <f t="shared" si="63"/>
        <v>177.03333333333265</v>
      </c>
      <c r="K229" s="18">
        <f t="shared" si="63"/>
        <v>148.1555555555542</v>
      </c>
      <c r="L229" s="18">
        <f t="shared" si="63"/>
        <v>158.20000000000152</v>
      </c>
      <c r="M229" s="18">
        <f t="shared" si="63"/>
        <v>164.47777777777657</v>
      </c>
      <c r="N229" s="19">
        <f t="shared" si="63"/>
        <v>115.51111111111028</v>
      </c>
      <c r="O229" s="19">
        <f t="shared" si="63"/>
        <v>125.55555555555718</v>
      </c>
      <c r="P229" s="19">
        <f t="shared" si="63"/>
        <v>131.83333333333206</v>
      </c>
      <c r="Q229" s="20">
        <f t="shared" si="63"/>
        <v>109.23333333333456</v>
      </c>
      <c r="R229" s="20">
        <f t="shared" si="63"/>
        <v>119.27777777777862</v>
      </c>
      <c r="S229" s="20">
        <f t="shared" si="63"/>
        <v>125.55555555555718</v>
      </c>
      <c r="T229" s="21">
        <f t="shared" si="63"/>
        <v>102.95555555555649</v>
      </c>
      <c r="U229" s="21">
        <f t="shared" si="62"/>
        <v>113</v>
      </c>
      <c r="V229" s="21">
        <f t="shared" si="62"/>
        <v>119.27777777777862</v>
      </c>
      <c r="W229" s="22">
        <f t="shared" si="62"/>
        <v>96.677777777777862</v>
      </c>
      <c r="X229" s="22">
        <f t="shared" si="62"/>
        <v>106.72222222222138</v>
      </c>
      <c r="Y229" s="22">
        <f t="shared" si="62"/>
        <v>113</v>
      </c>
      <c r="Z229" s="23">
        <f t="shared" si="62"/>
        <v>90.399999999999238</v>
      </c>
      <c r="AA229" s="23">
        <f t="shared" si="62"/>
        <v>100.44444444444365</v>
      </c>
      <c r="AB229" s="23">
        <f t="shared" si="62"/>
        <v>106.72222222222138</v>
      </c>
      <c r="AC229" s="24">
        <f t="shared" si="62"/>
        <v>84.122222222222291</v>
      </c>
      <c r="AD229" s="24">
        <f t="shared" si="62"/>
        <v>94.166666666666771</v>
      </c>
      <c r="AE229" s="24">
        <f t="shared" si="62"/>
        <v>100.44444444444365</v>
      </c>
      <c r="AF229" s="25">
        <f t="shared" si="62"/>
        <v>77.844444444443894</v>
      </c>
      <c r="AG229" s="25">
        <f t="shared" si="62"/>
        <v>87.888888888889312</v>
      </c>
      <c r="AH229" s="25">
        <f t="shared" si="62"/>
        <v>94.166666666666771</v>
      </c>
      <c r="AI229" s="26">
        <f t="shared" si="62"/>
        <v>71.566666666667174</v>
      </c>
      <c r="AJ229" s="26">
        <f t="shared" si="59"/>
        <v>81.611111111110688</v>
      </c>
      <c r="AK229" s="26">
        <f t="shared" si="49"/>
        <v>87.888888888889312</v>
      </c>
    </row>
    <row r="230" spans="4:37" ht="20.100000000000001" customHeight="1">
      <c r="D230" s="27">
        <f t="shared" si="48"/>
        <v>0.63055555555555387</v>
      </c>
      <c r="E230" s="16">
        <f t="shared" si="63"/>
        <v>174.03333333333231</v>
      </c>
      <c r="F230" s="16">
        <f t="shared" si="63"/>
        <v>184.12222222222206</v>
      </c>
      <c r="G230" s="16">
        <f t="shared" si="63"/>
        <v>190.42777777777593</v>
      </c>
      <c r="H230" s="17">
        <f t="shared" si="63"/>
        <v>161.42222222222256</v>
      </c>
      <c r="I230" s="17">
        <f t="shared" si="63"/>
        <v>171.51111111111112</v>
      </c>
      <c r="J230" s="17">
        <f t="shared" si="63"/>
        <v>177.81666666666598</v>
      </c>
      <c r="K230" s="18">
        <f t="shared" si="63"/>
        <v>148.81111111110977</v>
      </c>
      <c r="L230" s="18">
        <f t="shared" si="63"/>
        <v>158.90000000000151</v>
      </c>
      <c r="M230" s="18">
        <f t="shared" si="63"/>
        <v>165.20555555555435</v>
      </c>
      <c r="N230" s="19">
        <f t="shared" si="63"/>
        <v>116.02222222222139</v>
      </c>
      <c r="O230" s="19">
        <f t="shared" si="63"/>
        <v>126.11111111111273</v>
      </c>
      <c r="P230" s="19">
        <f t="shared" si="63"/>
        <v>132.41666666666541</v>
      </c>
      <c r="Q230" s="20">
        <f t="shared" si="63"/>
        <v>109.71666666666789</v>
      </c>
      <c r="R230" s="20">
        <f t="shared" si="63"/>
        <v>119.8055555555564</v>
      </c>
      <c r="S230" s="20">
        <f t="shared" si="63"/>
        <v>126.11111111111273</v>
      </c>
      <c r="T230" s="21">
        <f t="shared" si="63"/>
        <v>103.41111111111204</v>
      </c>
      <c r="U230" s="21">
        <f t="shared" si="62"/>
        <v>113.5</v>
      </c>
      <c r="V230" s="21">
        <f t="shared" si="62"/>
        <v>119.8055555555564</v>
      </c>
      <c r="W230" s="22">
        <f t="shared" si="62"/>
        <v>97.10555555555564</v>
      </c>
      <c r="X230" s="22">
        <f t="shared" si="62"/>
        <v>107.1944444444436</v>
      </c>
      <c r="Y230" s="22">
        <f t="shared" si="62"/>
        <v>113.5</v>
      </c>
      <c r="Z230" s="23">
        <f t="shared" si="62"/>
        <v>90.799999999999244</v>
      </c>
      <c r="AA230" s="23">
        <f t="shared" si="62"/>
        <v>100.88888888888809</v>
      </c>
      <c r="AB230" s="23">
        <f t="shared" si="62"/>
        <v>107.1944444444436</v>
      </c>
      <c r="AC230" s="24">
        <f t="shared" si="62"/>
        <v>84.494444444444511</v>
      </c>
      <c r="AD230" s="24">
        <f t="shared" si="62"/>
        <v>94.583333333333442</v>
      </c>
      <c r="AE230" s="24">
        <f t="shared" si="62"/>
        <v>100.88888888888809</v>
      </c>
      <c r="AF230" s="25">
        <f t="shared" si="62"/>
        <v>78.188888888888343</v>
      </c>
      <c r="AG230" s="25">
        <f t="shared" si="62"/>
        <v>88.277777777778198</v>
      </c>
      <c r="AH230" s="25">
        <f t="shared" ref="AH230:AI233" si="64">AH231-(AH$363/360)</f>
        <v>94.583333333333442</v>
      </c>
      <c r="AI230" s="26">
        <f t="shared" si="64"/>
        <v>71.883333333333837</v>
      </c>
      <c r="AJ230" s="26">
        <f t="shared" si="59"/>
        <v>81.972222222221802</v>
      </c>
      <c r="AK230" s="26">
        <f t="shared" si="49"/>
        <v>88.277777777778198</v>
      </c>
    </row>
    <row r="231" spans="4:37" ht="20.100000000000001" customHeight="1">
      <c r="D231" s="27">
        <f t="shared" si="48"/>
        <v>0.63333333333333164</v>
      </c>
      <c r="E231" s="16">
        <f t="shared" si="63"/>
        <v>174.79999999999899</v>
      </c>
      <c r="F231" s="16">
        <f t="shared" si="63"/>
        <v>184.93333333333317</v>
      </c>
      <c r="G231" s="16">
        <f t="shared" si="63"/>
        <v>191.26666666666483</v>
      </c>
      <c r="H231" s="17">
        <f t="shared" si="63"/>
        <v>162.13333333333367</v>
      </c>
      <c r="I231" s="17">
        <f t="shared" si="63"/>
        <v>172.26666666666668</v>
      </c>
      <c r="J231" s="17">
        <f t="shared" si="63"/>
        <v>178.59999999999931</v>
      </c>
      <c r="K231" s="18">
        <f t="shared" si="63"/>
        <v>149.46666666666533</v>
      </c>
      <c r="L231" s="18">
        <f t="shared" si="63"/>
        <v>159.6000000000015</v>
      </c>
      <c r="M231" s="18">
        <f t="shared" si="63"/>
        <v>165.93333333333214</v>
      </c>
      <c r="N231" s="19">
        <f t="shared" si="63"/>
        <v>116.53333333333249</v>
      </c>
      <c r="O231" s="19">
        <f t="shared" si="63"/>
        <v>126.66666666666829</v>
      </c>
      <c r="P231" s="19">
        <f t="shared" si="63"/>
        <v>132.99999999999875</v>
      </c>
      <c r="Q231" s="20">
        <f t="shared" si="63"/>
        <v>110.20000000000122</v>
      </c>
      <c r="R231" s="20">
        <f t="shared" si="63"/>
        <v>120.33333333333417</v>
      </c>
      <c r="S231" s="20">
        <f t="shared" si="63"/>
        <v>126.66666666666829</v>
      </c>
      <c r="T231" s="21">
        <f t="shared" si="62"/>
        <v>103.86666666666758</v>
      </c>
      <c r="U231" s="21">
        <f t="shared" si="62"/>
        <v>114</v>
      </c>
      <c r="V231" s="21">
        <f t="shared" si="62"/>
        <v>120.33333333333417</v>
      </c>
      <c r="W231" s="22">
        <f t="shared" si="62"/>
        <v>97.533333333333417</v>
      </c>
      <c r="X231" s="22">
        <f t="shared" si="62"/>
        <v>107.66666666666583</v>
      </c>
      <c r="Y231" s="22">
        <f t="shared" si="62"/>
        <v>114</v>
      </c>
      <c r="Z231" s="23">
        <f t="shared" si="62"/>
        <v>91.19999999999925</v>
      </c>
      <c r="AA231" s="23">
        <f t="shared" si="62"/>
        <v>101.33333333333253</v>
      </c>
      <c r="AB231" s="23">
        <f t="shared" si="62"/>
        <v>107.66666666666583</v>
      </c>
      <c r="AC231" s="24">
        <f t="shared" si="62"/>
        <v>84.866666666666731</v>
      </c>
      <c r="AD231" s="24">
        <f t="shared" si="62"/>
        <v>95.000000000000114</v>
      </c>
      <c r="AE231" s="24">
        <f t="shared" si="62"/>
        <v>101.33333333333253</v>
      </c>
      <c r="AF231" s="25">
        <f t="shared" si="62"/>
        <v>78.533333333332791</v>
      </c>
      <c r="AG231" s="25">
        <f t="shared" si="62"/>
        <v>88.666666666667084</v>
      </c>
      <c r="AH231" s="25">
        <f t="shared" si="64"/>
        <v>95.000000000000114</v>
      </c>
      <c r="AI231" s="26">
        <f t="shared" si="64"/>
        <v>72.2000000000005</v>
      </c>
      <c r="AJ231" s="26">
        <f t="shared" si="59"/>
        <v>82.333333333332916</v>
      </c>
      <c r="AK231" s="26">
        <f t="shared" si="49"/>
        <v>88.666666666667084</v>
      </c>
    </row>
    <row r="232" spans="4:37" ht="20.100000000000001" customHeight="1">
      <c r="D232" s="27">
        <f t="shared" si="48"/>
        <v>0.63611111111110941</v>
      </c>
      <c r="E232" s="16">
        <f t="shared" si="63"/>
        <v>175.56666666666567</v>
      </c>
      <c r="F232" s="16">
        <f t="shared" si="63"/>
        <v>185.74444444444427</v>
      </c>
      <c r="G232" s="16">
        <f t="shared" si="63"/>
        <v>192.10555555555374</v>
      </c>
      <c r="H232" s="17">
        <f t="shared" si="63"/>
        <v>162.84444444444478</v>
      </c>
      <c r="I232" s="17">
        <f t="shared" si="63"/>
        <v>173.02222222222224</v>
      </c>
      <c r="J232" s="17">
        <f t="shared" si="63"/>
        <v>179.38333333333264</v>
      </c>
      <c r="K232" s="18">
        <f t="shared" si="63"/>
        <v>150.1222222222209</v>
      </c>
      <c r="L232" s="18">
        <f t="shared" si="63"/>
        <v>160.30000000000149</v>
      </c>
      <c r="M232" s="18">
        <f t="shared" si="63"/>
        <v>166.66111111110993</v>
      </c>
      <c r="N232" s="19">
        <f t="shared" si="63"/>
        <v>117.0444444444436</v>
      </c>
      <c r="O232" s="19">
        <f t="shared" si="63"/>
        <v>127.22222222222385</v>
      </c>
      <c r="P232" s="19">
        <f t="shared" si="63"/>
        <v>133.58333333333209</v>
      </c>
      <c r="Q232" s="20">
        <f t="shared" si="63"/>
        <v>110.68333333333456</v>
      </c>
      <c r="R232" s="20">
        <f t="shared" si="63"/>
        <v>120.86111111111194</v>
      </c>
      <c r="S232" s="20">
        <f t="shared" si="63"/>
        <v>127.22222222222385</v>
      </c>
      <c r="T232" s="21">
        <f t="shared" si="62"/>
        <v>104.32222222222313</v>
      </c>
      <c r="U232" s="21">
        <f t="shared" si="62"/>
        <v>114.5</v>
      </c>
      <c r="V232" s="21">
        <f t="shared" si="62"/>
        <v>120.86111111111194</v>
      </c>
      <c r="W232" s="22">
        <f t="shared" si="62"/>
        <v>97.961111111111194</v>
      </c>
      <c r="X232" s="22">
        <f t="shared" si="62"/>
        <v>108.13888888888806</v>
      </c>
      <c r="Y232" s="22">
        <f t="shared" si="62"/>
        <v>114.5</v>
      </c>
      <c r="Z232" s="23">
        <f t="shared" si="62"/>
        <v>91.599999999999255</v>
      </c>
      <c r="AA232" s="23">
        <f t="shared" si="62"/>
        <v>101.77777777777698</v>
      </c>
      <c r="AB232" s="23">
        <f t="shared" si="62"/>
        <v>108.13888888888806</v>
      </c>
      <c r="AC232" s="24">
        <f t="shared" si="62"/>
        <v>85.238888888888951</v>
      </c>
      <c r="AD232" s="24">
        <f t="shared" si="62"/>
        <v>95.416666666666785</v>
      </c>
      <c r="AE232" s="24">
        <f t="shared" si="62"/>
        <v>101.77777777777698</v>
      </c>
      <c r="AF232" s="25">
        <f t="shared" si="62"/>
        <v>78.87777777777724</v>
      </c>
      <c r="AG232" s="25">
        <f t="shared" si="62"/>
        <v>89.055555555555969</v>
      </c>
      <c r="AH232" s="25">
        <f t="shared" si="64"/>
        <v>95.416666666666785</v>
      </c>
      <c r="AI232" s="26">
        <f t="shared" si="64"/>
        <v>72.516666666667163</v>
      </c>
      <c r="AJ232" s="26">
        <f t="shared" si="59"/>
        <v>82.694444444444031</v>
      </c>
      <c r="AK232" s="26">
        <f t="shared" si="49"/>
        <v>89.055555555555969</v>
      </c>
    </row>
    <row r="233" spans="4:37" ht="20.100000000000001" customHeight="1">
      <c r="D233" s="27">
        <f t="shared" si="48"/>
        <v>0.63888888888888717</v>
      </c>
      <c r="E233" s="16">
        <f t="shared" si="63"/>
        <v>176.33333333333235</v>
      </c>
      <c r="F233" s="16">
        <f t="shared" si="63"/>
        <v>186.55555555555537</v>
      </c>
      <c r="G233" s="16">
        <f t="shared" si="63"/>
        <v>192.94444444444264</v>
      </c>
      <c r="H233" s="17">
        <f t="shared" si="63"/>
        <v>163.55555555555588</v>
      </c>
      <c r="I233" s="17">
        <f t="shared" si="63"/>
        <v>173.7777777777778</v>
      </c>
      <c r="J233" s="17">
        <f t="shared" si="63"/>
        <v>180.16666666666598</v>
      </c>
      <c r="K233" s="18">
        <f t="shared" si="63"/>
        <v>150.77777777777646</v>
      </c>
      <c r="L233" s="18">
        <f t="shared" si="63"/>
        <v>161.00000000000148</v>
      </c>
      <c r="M233" s="18">
        <f t="shared" si="63"/>
        <v>167.38888888888772</v>
      </c>
      <c r="N233" s="19">
        <f t="shared" si="63"/>
        <v>117.5555555555547</v>
      </c>
      <c r="O233" s="19">
        <f t="shared" si="63"/>
        <v>127.77777777777941</v>
      </c>
      <c r="P233" s="19">
        <f t="shared" si="63"/>
        <v>134.16666666666544</v>
      </c>
      <c r="Q233" s="20">
        <f t="shared" si="63"/>
        <v>111.16666666666789</v>
      </c>
      <c r="R233" s="20">
        <f t="shared" si="63"/>
        <v>121.38888888888971</v>
      </c>
      <c r="S233" s="20">
        <f t="shared" si="63"/>
        <v>127.77777777777941</v>
      </c>
      <c r="T233" s="21">
        <f t="shared" si="62"/>
        <v>104.77777777777868</v>
      </c>
      <c r="U233" s="21">
        <f t="shared" si="62"/>
        <v>115</v>
      </c>
      <c r="V233" s="21">
        <f t="shared" si="62"/>
        <v>121.38888888888971</v>
      </c>
      <c r="W233" s="22">
        <f t="shared" si="62"/>
        <v>98.388888888888971</v>
      </c>
      <c r="X233" s="22">
        <f t="shared" si="62"/>
        <v>108.61111111111029</v>
      </c>
      <c r="Y233" s="22">
        <f t="shared" si="62"/>
        <v>115</v>
      </c>
      <c r="Z233" s="23">
        <f t="shared" si="62"/>
        <v>91.999999999999261</v>
      </c>
      <c r="AA233" s="23">
        <f t="shared" si="62"/>
        <v>102.22222222222142</v>
      </c>
      <c r="AB233" s="23">
        <f t="shared" si="62"/>
        <v>108.61111111111029</v>
      </c>
      <c r="AC233" s="24">
        <f t="shared" si="62"/>
        <v>85.611111111111171</v>
      </c>
      <c r="AD233" s="24">
        <f t="shared" si="62"/>
        <v>95.833333333333456</v>
      </c>
      <c r="AE233" s="24">
        <f t="shared" si="62"/>
        <v>102.22222222222142</v>
      </c>
      <c r="AF233" s="25">
        <f t="shared" si="62"/>
        <v>79.222222222221689</v>
      </c>
      <c r="AG233" s="25">
        <f t="shared" si="62"/>
        <v>89.444444444444855</v>
      </c>
      <c r="AH233" s="25">
        <f t="shared" si="64"/>
        <v>95.833333333333456</v>
      </c>
      <c r="AI233" s="26">
        <f t="shared" si="64"/>
        <v>72.833333333333826</v>
      </c>
      <c r="AJ233" s="26">
        <f t="shared" si="59"/>
        <v>83.055555555555145</v>
      </c>
      <c r="AK233" s="26">
        <f t="shared" si="49"/>
        <v>89.444444444444855</v>
      </c>
    </row>
    <row r="234" spans="4:37" ht="20.100000000000001" customHeight="1">
      <c r="D234" s="27">
        <f t="shared" si="48"/>
        <v>0.64166666666666494</v>
      </c>
      <c r="E234" s="16">
        <f t="shared" si="63"/>
        <v>177.09999999999903</v>
      </c>
      <c r="F234" s="16">
        <f t="shared" si="63"/>
        <v>187.36666666666648</v>
      </c>
      <c r="G234" s="16">
        <f t="shared" si="63"/>
        <v>193.78333333333154</v>
      </c>
      <c r="H234" s="17">
        <f t="shared" si="63"/>
        <v>164.26666666666699</v>
      </c>
      <c r="I234" s="17">
        <f t="shared" si="63"/>
        <v>174.53333333333336</v>
      </c>
      <c r="J234" s="17">
        <f t="shared" si="63"/>
        <v>180.94999999999931</v>
      </c>
      <c r="K234" s="18">
        <f t="shared" si="63"/>
        <v>151.43333333333203</v>
      </c>
      <c r="L234" s="18">
        <f t="shared" si="63"/>
        <v>161.70000000000147</v>
      </c>
      <c r="M234" s="18">
        <f t="shared" si="63"/>
        <v>168.11666666666551</v>
      </c>
      <c r="N234" s="19">
        <f t="shared" si="63"/>
        <v>118.06666666666581</v>
      </c>
      <c r="O234" s="19">
        <f t="shared" si="63"/>
        <v>128.33333333333496</v>
      </c>
      <c r="P234" s="19">
        <f t="shared" si="63"/>
        <v>134.74999999999878</v>
      </c>
      <c r="Q234" s="20">
        <f t="shared" si="63"/>
        <v>111.65000000000123</v>
      </c>
      <c r="R234" s="20">
        <f t="shared" si="63"/>
        <v>121.91666666666748</v>
      </c>
      <c r="S234" s="20">
        <f t="shared" si="63"/>
        <v>128.33333333333496</v>
      </c>
      <c r="T234" s="21">
        <f t="shared" si="62"/>
        <v>105.23333333333423</v>
      </c>
      <c r="U234" s="21">
        <f t="shared" si="62"/>
        <v>115.5</v>
      </c>
      <c r="V234" s="21">
        <f t="shared" si="62"/>
        <v>121.91666666666748</v>
      </c>
      <c r="W234" s="22">
        <f t="shared" si="62"/>
        <v>98.816666666666748</v>
      </c>
      <c r="X234" s="22">
        <f t="shared" si="62"/>
        <v>109.08333333333252</v>
      </c>
      <c r="Y234" s="22">
        <f t="shared" si="62"/>
        <v>115.5</v>
      </c>
      <c r="Z234" s="23">
        <f t="shared" si="62"/>
        <v>92.399999999999267</v>
      </c>
      <c r="AA234" s="23">
        <f t="shared" si="62"/>
        <v>102.66666666666586</v>
      </c>
      <c r="AB234" s="23">
        <f t="shared" si="62"/>
        <v>109.08333333333252</v>
      </c>
      <c r="AC234" s="24">
        <f t="shared" si="62"/>
        <v>85.983333333333391</v>
      </c>
      <c r="AD234" s="24">
        <f t="shared" si="62"/>
        <v>96.250000000000128</v>
      </c>
      <c r="AE234" s="24">
        <f t="shared" si="62"/>
        <v>102.66666666666586</v>
      </c>
      <c r="AF234" s="25">
        <f t="shared" si="62"/>
        <v>79.566666666666137</v>
      </c>
      <c r="AG234" s="25">
        <f t="shared" si="62"/>
        <v>89.833333333333741</v>
      </c>
      <c r="AH234" s="25">
        <f t="shared" si="62"/>
        <v>96.250000000000128</v>
      </c>
      <c r="AI234" s="26">
        <f t="shared" si="62"/>
        <v>73.150000000000489</v>
      </c>
      <c r="AJ234" s="26">
        <f t="shared" ref="AJ234:AK276" si="65">AJ235-(AJ$363/360)</f>
        <v>83.416666666666259</v>
      </c>
      <c r="AK234" s="26">
        <f t="shared" si="65"/>
        <v>89.833333333333741</v>
      </c>
    </row>
    <row r="235" spans="4:37" ht="20.100000000000001" customHeight="1">
      <c r="D235" s="27">
        <f t="shared" si="48"/>
        <v>0.64444444444444271</v>
      </c>
      <c r="E235" s="16">
        <f t="shared" si="63"/>
        <v>177.86666666666571</v>
      </c>
      <c r="F235" s="16">
        <f t="shared" si="63"/>
        <v>188.17777777777758</v>
      </c>
      <c r="G235" s="16">
        <f t="shared" si="63"/>
        <v>194.62222222222044</v>
      </c>
      <c r="H235" s="17">
        <f t="shared" si="63"/>
        <v>164.9777777777781</v>
      </c>
      <c r="I235" s="17">
        <f t="shared" si="63"/>
        <v>175.28888888888892</v>
      </c>
      <c r="J235" s="17">
        <f t="shared" si="63"/>
        <v>181.73333333333264</v>
      </c>
      <c r="K235" s="18">
        <f t="shared" si="63"/>
        <v>152.0888888888876</v>
      </c>
      <c r="L235" s="18">
        <f t="shared" si="63"/>
        <v>162.40000000000146</v>
      </c>
      <c r="M235" s="18">
        <f t="shared" si="63"/>
        <v>168.8444444444433</v>
      </c>
      <c r="N235" s="19">
        <f t="shared" si="63"/>
        <v>118.57777777777692</v>
      </c>
      <c r="O235" s="19">
        <f t="shared" si="63"/>
        <v>128.88888888889051</v>
      </c>
      <c r="P235" s="19">
        <f t="shared" si="63"/>
        <v>135.33333333333212</v>
      </c>
      <c r="Q235" s="20">
        <f t="shared" si="63"/>
        <v>112.13333333333456</v>
      </c>
      <c r="R235" s="20">
        <f t="shared" si="63"/>
        <v>122.44444444444525</v>
      </c>
      <c r="S235" s="20">
        <f t="shared" si="63"/>
        <v>128.88888888889051</v>
      </c>
      <c r="T235" s="21">
        <f t="shared" si="62"/>
        <v>105.68888888888978</v>
      </c>
      <c r="U235" s="21">
        <f t="shared" si="62"/>
        <v>116</v>
      </c>
      <c r="V235" s="21">
        <f t="shared" si="62"/>
        <v>122.44444444444525</v>
      </c>
      <c r="W235" s="22">
        <f t="shared" si="62"/>
        <v>99.244444444444525</v>
      </c>
      <c r="X235" s="22">
        <f t="shared" si="62"/>
        <v>109.55555555555475</v>
      </c>
      <c r="Y235" s="22">
        <f t="shared" si="62"/>
        <v>116</v>
      </c>
      <c r="Z235" s="23">
        <f t="shared" si="62"/>
        <v>92.799999999999272</v>
      </c>
      <c r="AA235" s="23">
        <f t="shared" si="62"/>
        <v>103.1111111111103</v>
      </c>
      <c r="AB235" s="23">
        <f t="shared" si="62"/>
        <v>109.55555555555475</v>
      </c>
      <c r="AC235" s="24">
        <f t="shared" si="62"/>
        <v>86.355555555555611</v>
      </c>
      <c r="AD235" s="24">
        <f t="shared" si="62"/>
        <v>96.666666666666799</v>
      </c>
      <c r="AE235" s="24">
        <f t="shared" si="62"/>
        <v>103.1111111111103</v>
      </c>
      <c r="AF235" s="25">
        <f t="shared" si="62"/>
        <v>79.911111111110586</v>
      </c>
      <c r="AG235" s="25">
        <f t="shared" si="62"/>
        <v>90.222222222222626</v>
      </c>
      <c r="AH235" s="25">
        <f t="shared" si="62"/>
        <v>96.666666666666799</v>
      </c>
      <c r="AI235" s="26">
        <f t="shared" si="62"/>
        <v>73.466666666667152</v>
      </c>
      <c r="AJ235" s="26">
        <f t="shared" si="65"/>
        <v>83.777777777777374</v>
      </c>
      <c r="AK235" s="26">
        <f t="shared" si="65"/>
        <v>90.222222222222626</v>
      </c>
    </row>
    <row r="236" spans="4:37" ht="20.100000000000001" customHeight="1">
      <c r="D236" s="27">
        <f t="shared" si="48"/>
        <v>0.64722222222222048</v>
      </c>
      <c r="E236" s="16">
        <f t="shared" si="63"/>
        <v>178.63333333333239</v>
      </c>
      <c r="F236" s="16">
        <f t="shared" si="63"/>
        <v>188.98888888888868</v>
      </c>
      <c r="G236" s="16">
        <f t="shared" si="63"/>
        <v>195.46111111110935</v>
      </c>
      <c r="H236" s="17">
        <f t="shared" si="63"/>
        <v>165.68888888888921</v>
      </c>
      <c r="I236" s="17">
        <f t="shared" si="63"/>
        <v>176.04444444444448</v>
      </c>
      <c r="J236" s="17">
        <f t="shared" si="63"/>
        <v>182.51666666666597</v>
      </c>
      <c r="K236" s="18">
        <f t="shared" si="63"/>
        <v>152.74444444444316</v>
      </c>
      <c r="L236" s="18">
        <f t="shared" si="63"/>
        <v>163.10000000000144</v>
      </c>
      <c r="M236" s="18">
        <f t="shared" si="63"/>
        <v>169.57222222222109</v>
      </c>
      <c r="N236" s="19">
        <f t="shared" si="63"/>
        <v>119.08888888888802</v>
      </c>
      <c r="O236" s="19">
        <f t="shared" si="63"/>
        <v>129.44444444444605</v>
      </c>
      <c r="P236" s="19">
        <f t="shared" si="63"/>
        <v>135.91666666666546</v>
      </c>
      <c r="Q236" s="20">
        <f t="shared" si="63"/>
        <v>112.6166666666679</v>
      </c>
      <c r="R236" s="20">
        <f t="shared" si="63"/>
        <v>122.97222222222302</v>
      </c>
      <c r="S236" s="20">
        <f t="shared" si="63"/>
        <v>129.44444444444605</v>
      </c>
      <c r="T236" s="21">
        <f t="shared" si="62"/>
        <v>106.14444444444533</v>
      </c>
      <c r="U236" s="21">
        <f t="shared" si="62"/>
        <v>116.5</v>
      </c>
      <c r="V236" s="21">
        <f t="shared" si="62"/>
        <v>122.97222222222302</v>
      </c>
      <c r="W236" s="22">
        <f t="shared" si="62"/>
        <v>99.672222222222302</v>
      </c>
      <c r="X236" s="22">
        <f t="shared" si="62"/>
        <v>110.02777777777698</v>
      </c>
      <c r="Y236" s="22">
        <f t="shared" si="62"/>
        <v>116.5</v>
      </c>
      <c r="Z236" s="23">
        <f t="shared" si="62"/>
        <v>93.199999999999278</v>
      </c>
      <c r="AA236" s="23">
        <f t="shared" si="62"/>
        <v>103.55555555555475</v>
      </c>
      <c r="AB236" s="23">
        <f t="shared" si="62"/>
        <v>110.02777777777698</v>
      </c>
      <c r="AC236" s="24">
        <f t="shared" si="62"/>
        <v>86.727777777777831</v>
      </c>
      <c r="AD236" s="24">
        <f t="shared" si="62"/>
        <v>97.083333333333471</v>
      </c>
      <c r="AE236" s="24">
        <f t="shared" si="62"/>
        <v>103.55555555555475</v>
      </c>
      <c r="AF236" s="25">
        <f t="shared" si="62"/>
        <v>80.255555555555034</v>
      </c>
      <c r="AG236" s="25">
        <f t="shared" si="62"/>
        <v>90.611111111111512</v>
      </c>
      <c r="AH236" s="25">
        <f t="shared" si="62"/>
        <v>97.083333333333471</v>
      </c>
      <c r="AI236" s="26">
        <f t="shared" si="62"/>
        <v>73.783333333333815</v>
      </c>
      <c r="AJ236" s="26">
        <f t="shared" si="65"/>
        <v>84.138888888888488</v>
      </c>
      <c r="AK236" s="26">
        <f t="shared" si="65"/>
        <v>90.611111111111512</v>
      </c>
    </row>
    <row r="237" spans="4:37" ht="20.100000000000001" customHeight="1">
      <c r="D237" s="27">
        <f t="shared" si="48"/>
        <v>0.64999999999999825</v>
      </c>
      <c r="E237" s="16">
        <f t="shared" si="63"/>
        <v>179.39999999999907</v>
      </c>
      <c r="F237" s="16">
        <f t="shared" si="63"/>
        <v>189.79999999999978</v>
      </c>
      <c r="G237" s="16">
        <f t="shared" si="63"/>
        <v>196.29999999999825</v>
      </c>
      <c r="H237" s="17">
        <f t="shared" si="63"/>
        <v>166.40000000000032</v>
      </c>
      <c r="I237" s="17">
        <f t="shared" si="63"/>
        <v>176.80000000000004</v>
      </c>
      <c r="J237" s="17">
        <f t="shared" si="63"/>
        <v>183.2999999999993</v>
      </c>
      <c r="K237" s="18">
        <f t="shared" si="63"/>
        <v>153.39999999999873</v>
      </c>
      <c r="L237" s="18">
        <f t="shared" si="63"/>
        <v>163.80000000000143</v>
      </c>
      <c r="M237" s="18">
        <f t="shared" si="63"/>
        <v>170.29999999999887</v>
      </c>
      <c r="N237" s="19">
        <f t="shared" si="63"/>
        <v>119.59999999999913</v>
      </c>
      <c r="O237" s="19">
        <f t="shared" si="63"/>
        <v>130.00000000000159</v>
      </c>
      <c r="P237" s="19">
        <f t="shared" si="63"/>
        <v>136.49999999999881</v>
      </c>
      <c r="Q237" s="20">
        <f t="shared" si="63"/>
        <v>113.10000000000123</v>
      </c>
      <c r="R237" s="20">
        <f t="shared" si="63"/>
        <v>123.5000000000008</v>
      </c>
      <c r="S237" s="20">
        <f t="shared" si="63"/>
        <v>130.00000000000159</v>
      </c>
      <c r="T237" s="21">
        <f t="shared" si="62"/>
        <v>106.60000000000088</v>
      </c>
      <c r="U237" s="21">
        <f t="shared" si="62"/>
        <v>117</v>
      </c>
      <c r="V237" s="21">
        <f t="shared" si="62"/>
        <v>123.5000000000008</v>
      </c>
      <c r="W237" s="22">
        <f t="shared" si="62"/>
        <v>100.10000000000008</v>
      </c>
      <c r="X237" s="22">
        <f t="shared" si="62"/>
        <v>110.4999999999992</v>
      </c>
      <c r="Y237" s="22">
        <f t="shared" si="62"/>
        <v>117</v>
      </c>
      <c r="Z237" s="23">
        <f t="shared" si="62"/>
        <v>93.599999999999284</v>
      </c>
      <c r="AA237" s="23">
        <f t="shared" si="62"/>
        <v>103.99999999999919</v>
      </c>
      <c r="AB237" s="23">
        <f t="shared" si="62"/>
        <v>110.4999999999992</v>
      </c>
      <c r="AC237" s="24">
        <f t="shared" si="62"/>
        <v>87.100000000000051</v>
      </c>
      <c r="AD237" s="24">
        <f t="shared" si="62"/>
        <v>97.500000000000142</v>
      </c>
      <c r="AE237" s="24">
        <f t="shared" si="62"/>
        <v>103.99999999999919</v>
      </c>
      <c r="AF237" s="25">
        <f t="shared" si="62"/>
        <v>80.599999999999483</v>
      </c>
      <c r="AG237" s="25">
        <f t="shared" si="62"/>
        <v>91.000000000000398</v>
      </c>
      <c r="AH237" s="25">
        <f t="shared" si="62"/>
        <v>97.500000000000142</v>
      </c>
      <c r="AI237" s="26">
        <f t="shared" si="62"/>
        <v>74.100000000000477</v>
      </c>
      <c r="AJ237" s="26">
        <f t="shared" si="65"/>
        <v>84.499999999999602</v>
      </c>
      <c r="AK237" s="26">
        <f t="shared" si="65"/>
        <v>91.000000000000398</v>
      </c>
    </row>
    <row r="238" spans="4:37" ht="20.100000000000001" customHeight="1">
      <c r="D238" s="27">
        <f t="shared" si="48"/>
        <v>0.65277777777777601</v>
      </c>
      <c r="E238" s="16">
        <f t="shared" si="63"/>
        <v>180.16666666666575</v>
      </c>
      <c r="F238" s="16">
        <f t="shared" si="63"/>
        <v>190.61111111111089</v>
      </c>
      <c r="G238" s="16">
        <f t="shared" si="63"/>
        <v>197.13888888888715</v>
      </c>
      <c r="H238" s="17">
        <f t="shared" si="63"/>
        <v>167.11111111111143</v>
      </c>
      <c r="I238" s="17">
        <f t="shared" si="63"/>
        <v>177.5555555555556</v>
      </c>
      <c r="J238" s="17">
        <f t="shared" si="63"/>
        <v>184.08333333333263</v>
      </c>
      <c r="K238" s="18">
        <f t="shared" si="63"/>
        <v>154.05555555555429</v>
      </c>
      <c r="L238" s="18">
        <f t="shared" si="63"/>
        <v>164.50000000000142</v>
      </c>
      <c r="M238" s="18">
        <f t="shared" si="63"/>
        <v>171.02777777777666</v>
      </c>
      <c r="N238" s="19">
        <f t="shared" si="63"/>
        <v>120.11111111111023</v>
      </c>
      <c r="O238" s="19">
        <f t="shared" si="63"/>
        <v>130.55555555555713</v>
      </c>
      <c r="P238" s="19">
        <f t="shared" si="63"/>
        <v>137.08333333333215</v>
      </c>
      <c r="Q238" s="20">
        <f t="shared" si="63"/>
        <v>113.58333333333456</v>
      </c>
      <c r="R238" s="20">
        <f t="shared" si="63"/>
        <v>124.02777777777857</v>
      </c>
      <c r="S238" s="20">
        <f t="shared" si="63"/>
        <v>130.55555555555713</v>
      </c>
      <c r="T238" s="21">
        <f t="shared" si="62"/>
        <v>107.05555555555642</v>
      </c>
      <c r="U238" s="21">
        <f t="shared" si="62"/>
        <v>117.5</v>
      </c>
      <c r="V238" s="21">
        <f t="shared" si="62"/>
        <v>124.02777777777857</v>
      </c>
      <c r="W238" s="22">
        <f t="shared" si="62"/>
        <v>100.52777777777786</v>
      </c>
      <c r="X238" s="22">
        <f t="shared" si="62"/>
        <v>110.97222222222143</v>
      </c>
      <c r="Y238" s="22">
        <f t="shared" si="62"/>
        <v>117.5</v>
      </c>
      <c r="Z238" s="23">
        <f t="shared" si="62"/>
        <v>93.999999999999289</v>
      </c>
      <c r="AA238" s="23">
        <f t="shared" si="62"/>
        <v>104.44444444444363</v>
      </c>
      <c r="AB238" s="23">
        <f t="shared" si="62"/>
        <v>110.97222222222143</v>
      </c>
      <c r="AC238" s="24">
        <f t="shared" si="62"/>
        <v>87.472222222222271</v>
      </c>
      <c r="AD238" s="24">
        <f t="shared" si="62"/>
        <v>97.916666666666814</v>
      </c>
      <c r="AE238" s="24">
        <f t="shared" si="62"/>
        <v>104.44444444444363</v>
      </c>
      <c r="AF238" s="25">
        <f t="shared" si="62"/>
        <v>80.944444444443931</v>
      </c>
      <c r="AG238" s="25">
        <f t="shared" si="62"/>
        <v>91.388888888889284</v>
      </c>
      <c r="AH238" s="25">
        <f t="shared" si="62"/>
        <v>97.916666666666814</v>
      </c>
      <c r="AI238" s="26">
        <f t="shared" si="62"/>
        <v>74.41666666666714</v>
      </c>
      <c r="AJ238" s="26">
        <f t="shared" si="65"/>
        <v>84.861111111110716</v>
      </c>
      <c r="AK238" s="26">
        <f t="shared" si="65"/>
        <v>91.388888888889284</v>
      </c>
    </row>
    <row r="239" spans="4:37" ht="20.100000000000001" customHeight="1">
      <c r="D239" s="27">
        <f t="shared" si="48"/>
        <v>0.65555555555555378</v>
      </c>
      <c r="E239" s="16">
        <f t="shared" si="63"/>
        <v>180.93333333333243</v>
      </c>
      <c r="F239" s="16">
        <f t="shared" si="63"/>
        <v>191.42222222222199</v>
      </c>
      <c r="G239" s="16">
        <f t="shared" si="63"/>
        <v>197.97777777777605</v>
      </c>
      <c r="H239" s="17">
        <f t="shared" si="63"/>
        <v>167.82222222222254</v>
      </c>
      <c r="I239" s="17">
        <f t="shared" si="63"/>
        <v>178.31111111111116</v>
      </c>
      <c r="J239" s="17">
        <f t="shared" si="63"/>
        <v>184.86666666666596</v>
      </c>
      <c r="K239" s="18">
        <f t="shared" si="63"/>
        <v>154.71111111110986</v>
      </c>
      <c r="L239" s="18">
        <f t="shared" si="63"/>
        <v>165.20000000000141</v>
      </c>
      <c r="M239" s="18">
        <f t="shared" si="63"/>
        <v>171.75555555555445</v>
      </c>
      <c r="N239" s="19">
        <f t="shared" si="63"/>
        <v>120.62222222222134</v>
      </c>
      <c r="O239" s="19">
        <f t="shared" si="63"/>
        <v>131.11111111111268</v>
      </c>
      <c r="P239" s="19">
        <f t="shared" si="63"/>
        <v>137.66666666666549</v>
      </c>
      <c r="Q239" s="20">
        <f t="shared" si="63"/>
        <v>114.0666666666679</v>
      </c>
      <c r="R239" s="20">
        <f t="shared" si="63"/>
        <v>124.55555555555634</v>
      </c>
      <c r="S239" s="20">
        <f t="shared" si="63"/>
        <v>131.11111111111268</v>
      </c>
      <c r="T239" s="21">
        <f t="shared" si="62"/>
        <v>107.51111111111197</v>
      </c>
      <c r="U239" s="21">
        <f t="shared" si="62"/>
        <v>118</v>
      </c>
      <c r="V239" s="21">
        <f t="shared" si="62"/>
        <v>124.55555555555634</v>
      </c>
      <c r="W239" s="22">
        <f t="shared" si="62"/>
        <v>100.95555555555563</v>
      </c>
      <c r="X239" s="22">
        <f t="shared" si="62"/>
        <v>111.44444444444366</v>
      </c>
      <c r="Y239" s="22">
        <f t="shared" si="62"/>
        <v>118</v>
      </c>
      <c r="Z239" s="23">
        <f t="shared" si="62"/>
        <v>94.399999999999295</v>
      </c>
      <c r="AA239" s="23">
        <f t="shared" si="62"/>
        <v>104.88888888888808</v>
      </c>
      <c r="AB239" s="23">
        <f t="shared" si="62"/>
        <v>111.44444444444366</v>
      </c>
      <c r="AC239" s="24">
        <f t="shared" si="62"/>
        <v>87.844444444444491</v>
      </c>
      <c r="AD239" s="24">
        <f t="shared" si="62"/>
        <v>98.333333333333485</v>
      </c>
      <c r="AE239" s="24">
        <f t="shared" si="62"/>
        <v>104.88888888888808</v>
      </c>
      <c r="AF239" s="25">
        <f t="shared" si="62"/>
        <v>81.28888888888838</v>
      </c>
      <c r="AG239" s="25">
        <f t="shared" si="62"/>
        <v>91.777777777778169</v>
      </c>
      <c r="AH239" s="25">
        <f t="shared" si="62"/>
        <v>98.333333333333485</v>
      </c>
      <c r="AI239" s="26">
        <f t="shared" si="62"/>
        <v>74.733333333333803</v>
      </c>
      <c r="AJ239" s="26">
        <f t="shared" si="65"/>
        <v>85.222222222221831</v>
      </c>
      <c r="AK239" s="26">
        <f t="shared" si="65"/>
        <v>91.777777777778169</v>
      </c>
    </row>
    <row r="240" spans="4:37" ht="20.100000000000001" customHeight="1">
      <c r="D240" s="27">
        <f t="shared" si="48"/>
        <v>0.65833333333333155</v>
      </c>
      <c r="E240" s="16">
        <f t="shared" si="63"/>
        <v>181.69999999999911</v>
      </c>
      <c r="F240" s="16">
        <f t="shared" si="63"/>
        <v>192.23333333333309</v>
      </c>
      <c r="G240" s="16">
        <f t="shared" si="63"/>
        <v>198.81666666666496</v>
      </c>
      <c r="H240" s="17">
        <f t="shared" si="63"/>
        <v>168.53333333333364</v>
      </c>
      <c r="I240" s="17">
        <f t="shared" si="63"/>
        <v>179.06666666666672</v>
      </c>
      <c r="J240" s="17">
        <f t="shared" si="63"/>
        <v>185.6499999999993</v>
      </c>
      <c r="K240" s="18">
        <f t="shared" si="63"/>
        <v>155.36666666666542</v>
      </c>
      <c r="L240" s="18">
        <f t="shared" si="63"/>
        <v>165.9000000000014</v>
      </c>
      <c r="M240" s="18">
        <f t="shared" si="63"/>
        <v>172.48333333333224</v>
      </c>
      <c r="N240" s="19">
        <f t="shared" si="63"/>
        <v>121.13333333333244</v>
      </c>
      <c r="O240" s="19">
        <f t="shared" si="63"/>
        <v>131.66666666666822</v>
      </c>
      <c r="P240" s="19">
        <f t="shared" si="63"/>
        <v>138.24999999999883</v>
      </c>
      <c r="Q240" s="20">
        <f t="shared" si="63"/>
        <v>114.55000000000123</v>
      </c>
      <c r="R240" s="20">
        <f t="shared" si="63"/>
        <v>125.08333333333411</v>
      </c>
      <c r="S240" s="20">
        <f t="shared" si="63"/>
        <v>131.66666666666822</v>
      </c>
      <c r="T240" s="21">
        <f t="shared" si="62"/>
        <v>107.96666666666752</v>
      </c>
      <c r="U240" s="21">
        <f t="shared" si="62"/>
        <v>118.5</v>
      </c>
      <c r="V240" s="21">
        <f t="shared" si="62"/>
        <v>125.08333333333411</v>
      </c>
      <c r="W240" s="22">
        <f t="shared" si="62"/>
        <v>101.38333333333341</v>
      </c>
      <c r="X240" s="22">
        <f t="shared" si="62"/>
        <v>111.91666666666589</v>
      </c>
      <c r="Y240" s="22">
        <f t="shared" si="62"/>
        <v>118.5</v>
      </c>
      <c r="Z240" s="23">
        <f t="shared" si="62"/>
        <v>94.799999999999301</v>
      </c>
      <c r="AA240" s="23">
        <f t="shared" si="62"/>
        <v>105.33333333333252</v>
      </c>
      <c r="AB240" s="23">
        <f t="shared" si="62"/>
        <v>111.91666666666589</v>
      </c>
      <c r="AC240" s="24">
        <f t="shared" si="62"/>
        <v>88.216666666666711</v>
      </c>
      <c r="AD240" s="24">
        <f t="shared" si="62"/>
        <v>98.750000000000156</v>
      </c>
      <c r="AE240" s="24">
        <f t="shared" si="62"/>
        <v>105.33333333333252</v>
      </c>
      <c r="AF240" s="25">
        <f t="shared" si="62"/>
        <v>81.633333333332828</v>
      </c>
      <c r="AG240" s="25">
        <f t="shared" si="62"/>
        <v>92.166666666667055</v>
      </c>
      <c r="AH240" s="25">
        <f t="shared" si="62"/>
        <v>98.750000000000156</v>
      </c>
      <c r="AI240" s="26">
        <f t="shared" si="62"/>
        <v>75.050000000000466</v>
      </c>
      <c r="AJ240" s="26">
        <f t="shared" si="65"/>
        <v>85.583333333332945</v>
      </c>
      <c r="AK240" s="26">
        <f t="shared" si="65"/>
        <v>92.166666666667055</v>
      </c>
    </row>
    <row r="241" spans="4:37" ht="20.100000000000001" customHeight="1">
      <c r="D241" s="27">
        <f t="shared" si="48"/>
        <v>0.66111111111110932</v>
      </c>
      <c r="E241" s="16">
        <f t="shared" si="63"/>
        <v>182.46666666666579</v>
      </c>
      <c r="F241" s="16">
        <f t="shared" si="63"/>
        <v>193.0444444444442</v>
      </c>
      <c r="G241" s="16">
        <f t="shared" si="63"/>
        <v>199.65555555555386</v>
      </c>
      <c r="H241" s="17">
        <f t="shared" si="63"/>
        <v>169.24444444444475</v>
      </c>
      <c r="I241" s="17">
        <f t="shared" si="63"/>
        <v>179.82222222222228</v>
      </c>
      <c r="J241" s="17">
        <f t="shared" si="63"/>
        <v>186.43333333333263</v>
      </c>
      <c r="K241" s="18">
        <f t="shared" si="63"/>
        <v>156.02222222222099</v>
      </c>
      <c r="L241" s="18">
        <f t="shared" si="63"/>
        <v>166.60000000000139</v>
      </c>
      <c r="M241" s="18">
        <f t="shared" si="63"/>
        <v>173.21111111111003</v>
      </c>
      <c r="N241" s="19">
        <f t="shared" si="63"/>
        <v>121.64444444444355</v>
      </c>
      <c r="O241" s="19">
        <f t="shared" si="63"/>
        <v>132.22222222222376</v>
      </c>
      <c r="P241" s="19">
        <f t="shared" si="63"/>
        <v>138.83333333333218</v>
      </c>
      <c r="Q241" s="20">
        <f t="shared" si="63"/>
        <v>115.03333333333457</v>
      </c>
      <c r="R241" s="20">
        <f t="shared" si="63"/>
        <v>125.61111111111188</v>
      </c>
      <c r="S241" s="20">
        <f t="shared" si="63"/>
        <v>132.22222222222376</v>
      </c>
      <c r="T241" s="21">
        <f t="shared" si="63"/>
        <v>108.42222222222307</v>
      </c>
      <c r="U241" s="21">
        <f t="shared" ref="U241:AJ257" si="66">U242-(U$363/360)</f>
        <v>119</v>
      </c>
      <c r="V241" s="21">
        <f t="shared" si="66"/>
        <v>125.61111111111188</v>
      </c>
      <c r="W241" s="22">
        <f t="shared" si="66"/>
        <v>101.81111111111119</v>
      </c>
      <c r="X241" s="22">
        <f t="shared" si="66"/>
        <v>112.38888888888812</v>
      </c>
      <c r="Y241" s="22">
        <f t="shared" si="66"/>
        <v>119</v>
      </c>
      <c r="Z241" s="23">
        <f t="shared" si="66"/>
        <v>95.199999999999307</v>
      </c>
      <c r="AA241" s="23">
        <f t="shared" si="66"/>
        <v>105.77777777777696</v>
      </c>
      <c r="AB241" s="23">
        <f t="shared" si="66"/>
        <v>112.38888888888812</v>
      </c>
      <c r="AC241" s="24">
        <f t="shared" si="66"/>
        <v>88.588888888888931</v>
      </c>
      <c r="AD241" s="24">
        <f t="shared" si="66"/>
        <v>99.166666666666828</v>
      </c>
      <c r="AE241" s="24">
        <f t="shared" si="66"/>
        <v>105.77777777777696</v>
      </c>
      <c r="AF241" s="25">
        <f t="shared" si="66"/>
        <v>81.977777777777277</v>
      </c>
      <c r="AG241" s="25">
        <f t="shared" si="66"/>
        <v>92.555555555555941</v>
      </c>
      <c r="AH241" s="25">
        <f t="shared" si="66"/>
        <v>99.166666666666828</v>
      </c>
      <c r="AI241" s="26">
        <f t="shared" si="66"/>
        <v>75.366666666667129</v>
      </c>
      <c r="AJ241" s="26">
        <f t="shared" si="66"/>
        <v>85.944444444444059</v>
      </c>
      <c r="AK241" s="26">
        <f t="shared" si="65"/>
        <v>92.555555555555941</v>
      </c>
    </row>
    <row r="242" spans="4:37" ht="20.100000000000001" customHeight="1">
      <c r="D242" s="27">
        <f t="shared" si="48"/>
        <v>0.66388888888888709</v>
      </c>
      <c r="E242" s="16">
        <f t="shared" si="63"/>
        <v>183.23333333333247</v>
      </c>
      <c r="F242" s="16">
        <f t="shared" si="63"/>
        <v>193.8555555555553</v>
      </c>
      <c r="G242" s="16">
        <f t="shared" si="63"/>
        <v>200.49444444444276</v>
      </c>
      <c r="H242" s="17">
        <f t="shared" si="63"/>
        <v>169.95555555555586</v>
      </c>
      <c r="I242" s="17">
        <f t="shared" si="63"/>
        <v>180.57777777777784</v>
      </c>
      <c r="J242" s="17">
        <f t="shared" si="63"/>
        <v>187.21666666666596</v>
      </c>
      <c r="K242" s="18">
        <f t="shared" si="63"/>
        <v>156.67777777777656</v>
      </c>
      <c r="L242" s="18">
        <f t="shared" si="63"/>
        <v>167.30000000000138</v>
      </c>
      <c r="M242" s="18">
        <f t="shared" si="63"/>
        <v>173.93888888888782</v>
      </c>
      <c r="N242" s="19">
        <f t="shared" si="63"/>
        <v>122.15555555555466</v>
      </c>
      <c r="O242" s="19">
        <f t="shared" si="63"/>
        <v>132.77777777777931</v>
      </c>
      <c r="P242" s="19">
        <f t="shared" si="63"/>
        <v>139.41666666666552</v>
      </c>
      <c r="Q242" s="20">
        <f t="shared" ref="Q242:AF244" si="67">Q243-(Q$363/360)</f>
        <v>115.5166666666679</v>
      </c>
      <c r="R242" s="20">
        <f t="shared" si="67"/>
        <v>126.13888888888965</v>
      </c>
      <c r="S242" s="20">
        <f t="shared" si="67"/>
        <v>132.77777777777931</v>
      </c>
      <c r="T242" s="21">
        <f t="shared" si="67"/>
        <v>108.87777777777862</v>
      </c>
      <c r="U242" s="21">
        <f t="shared" si="67"/>
        <v>119.5</v>
      </c>
      <c r="V242" s="21">
        <f t="shared" si="67"/>
        <v>126.13888888888965</v>
      </c>
      <c r="W242" s="22">
        <f t="shared" si="67"/>
        <v>102.23888888888897</v>
      </c>
      <c r="X242" s="22">
        <f t="shared" si="67"/>
        <v>112.86111111111035</v>
      </c>
      <c r="Y242" s="22">
        <f t="shared" si="67"/>
        <v>119.5</v>
      </c>
      <c r="Z242" s="23">
        <f t="shared" si="67"/>
        <v>95.599999999999312</v>
      </c>
      <c r="AA242" s="23">
        <f t="shared" si="67"/>
        <v>106.2222222222214</v>
      </c>
      <c r="AB242" s="23">
        <f t="shared" si="67"/>
        <v>112.86111111111035</v>
      </c>
      <c r="AC242" s="24">
        <f t="shared" si="67"/>
        <v>88.961111111111151</v>
      </c>
      <c r="AD242" s="24">
        <f t="shared" si="67"/>
        <v>99.583333333333499</v>
      </c>
      <c r="AE242" s="24">
        <f t="shared" si="67"/>
        <v>106.2222222222214</v>
      </c>
      <c r="AF242" s="25">
        <f t="shared" si="67"/>
        <v>82.322222222221725</v>
      </c>
      <c r="AG242" s="25">
        <f t="shared" si="66"/>
        <v>92.944444444444827</v>
      </c>
      <c r="AH242" s="25">
        <f t="shared" si="66"/>
        <v>99.583333333333499</v>
      </c>
      <c r="AI242" s="26">
        <f t="shared" si="66"/>
        <v>75.683333333333792</v>
      </c>
      <c r="AJ242" s="26">
        <f t="shared" si="66"/>
        <v>86.305555555555173</v>
      </c>
      <c r="AK242" s="26">
        <f t="shared" si="65"/>
        <v>92.944444444444827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183.99999999999915</v>
      </c>
      <c r="F243" s="16">
        <f t="shared" si="68"/>
        <v>194.6666666666664</v>
      </c>
      <c r="G243" s="16">
        <f t="shared" si="68"/>
        <v>201.33333333333167</v>
      </c>
      <c r="H243" s="17">
        <f t="shared" si="68"/>
        <v>170.66666666666697</v>
      </c>
      <c r="I243" s="17">
        <f t="shared" si="68"/>
        <v>181.3333333333334</v>
      </c>
      <c r="J243" s="17">
        <f t="shared" si="68"/>
        <v>187.99999999999929</v>
      </c>
      <c r="K243" s="18">
        <f t="shared" si="68"/>
        <v>157.33333333333212</v>
      </c>
      <c r="L243" s="18">
        <f t="shared" si="68"/>
        <v>168.00000000000136</v>
      </c>
      <c r="M243" s="18">
        <f t="shared" si="68"/>
        <v>174.66666666666561</v>
      </c>
      <c r="N243" s="19">
        <f t="shared" si="68"/>
        <v>122.66666666666576</v>
      </c>
      <c r="O243" s="19">
        <f t="shared" si="68"/>
        <v>133.33333333333485</v>
      </c>
      <c r="P243" s="19">
        <f t="shared" si="68"/>
        <v>139.99999999999886</v>
      </c>
      <c r="Q243" s="20">
        <f t="shared" si="68"/>
        <v>116.00000000000124</v>
      </c>
      <c r="R243" s="20">
        <f t="shared" si="68"/>
        <v>126.66666666666742</v>
      </c>
      <c r="S243" s="20">
        <f t="shared" si="68"/>
        <v>133.33333333333485</v>
      </c>
      <c r="T243" s="21">
        <f t="shared" si="67"/>
        <v>109.33333333333417</v>
      </c>
      <c r="U243" s="21">
        <f t="shared" si="67"/>
        <v>120</v>
      </c>
      <c r="V243" s="21">
        <f t="shared" si="67"/>
        <v>126.66666666666742</v>
      </c>
      <c r="W243" s="22">
        <f t="shared" si="67"/>
        <v>102.66666666666674</v>
      </c>
      <c r="X243" s="22">
        <f t="shared" si="67"/>
        <v>113.33333333333258</v>
      </c>
      <c r="Y243" s="22">
        <f t="shared" si="67"/>
        <v>120</v>
      </c>
      <c r="Z243" s="23">
        <f t="shared" si="67"/>
        <v>95.999999999999318</v>
      </c>
      <c r="AA243" s="23">
        <f t="shared" si="67"/>
        <v>106.66666666666585</v>
      </c>
      <c r="AB243" s="23">
        <f t="shared" si="67"/>
        <v>113.33333333333258</v>
      </c>
      <c r="AC243" s="24">
        <f t="shared" si="67"/>
        <v>89.333333333333371</v>
      </c>
      <c r="AD243" s="24">
        <f t="shared" si="67"/>
        <v>100.00000000000017</v>
      </c>
      <c r="AE243" s="24">
        <f t="shared" si="67"/>
        <v>106.66666666666585</v>
      </c>
      <c r="AF243" s="25">
        <f t="shared" si="67"/>
        <v>82.666666666666174</v>
      </c>
      <c r="AG243" s="25">
        <f t="shared" si="66"/>
        <v>93.333333333333712</v>
      </c>
      <c r="AH243" s="25">
        <f t="shared" si="66"/>
        <v>100.00000000000017</v>
      </c>
      <c r="AI243" s="26">
        <f t="shared" si="66"/>
        <v>76.000000000000455</v>
      </c>
      <c r="AJ243" s="26">
        <f t="shared" si="66"/>
        <v>86.666666666666288</v>
      </c>
      <c r="AK243" s="26">
        <f t="shared" si="65"/>
        <v>93.333333333333712</v>
      </c>
    </row>
    <row r="244" spans="4:37" ht="20.100000000000001" customHeight="1">
      <c r="D244" s="27">
        <f t="shared" si="48"/>
        <v>0.66944444444444262</v>
      </c>
      <c r="E244" s="16">
        <f t="shared" si="68"/>
        <v>184.76666666666583</v>
      </c>
      <c r="F244" s="16">
        <f t="shared" si="68"/>
        <v>195.4777777777775</v>
      </c>
      <c r="G244" s="16">
        <f t="shared" si="68"/>
        <v>202.17222222222057</v>
      </c>
      <c r="H244" s="17">
        <f t="shared" si="68"/>
        <v>171.37777777777808</v>
      </c>
      <c r="I244" s="17">
        <f t="shared" si="68"/>
        <v>182.08888888888896</v>
      </c>
      <c r="J244" s="17">
        <f t="shared" si="68"/>
        <v>188.78333333333262</v>
      </c>
      <c r="K244" s="18">
        <f t="shared" si="68"/>
        <v>157.98888888888769</v>
      </c>
      <c r="L244" s="18">
        <f t="shared" si="68"/>
        <v>168.70000000000135</v>
      </c>
      <c r="M244" s="18">
        <f t="shared" si="68"/>
        <v>175.39444444444339</v>
      </c>
      <c r="N244" s="19">
        <f t="shared" si="68"/>
        <v>123.17777777777687</v>
      </c>
      <c r="O244" s="19">
        <f t="shared" si="68"/>
        <v>133.88888888889039</v>
      </c>
      <c r="P244" s="19">
        <f t="shared" si="68"/>
        <v>140.58333333333221</v>
      </c>
      <c r="Q244" s="20">
        <f t="shared" si="68"/>
        <v>116.48333333333457</v>
      </c>
      <c r="R244" s="20">
        <f t="shared" si="68"/>
        <v>127.1944444444452</v>
      </c>
      <c r="S244" s="20">
        <f t="shared" si="68"/>
        <v>133.88888888889039</v>
      </c>
      <c r="T244" s="21">
        <f t="shared" si="67"/>
        <v>109.78888888888972</v>
      </c>
      <c r="U244" s="21">
        <f t="shared" si="67"/>
        <v>120.5</v>
      </c>
      <c r="V244" s="21">
        <f t="shared" si="67"/>
        <v>127.1944444444452</v>
      </c>
      <c r="W244" s="22">
        <f t="shared" si="67"/>
        <v>103.09444444444452</v>
      </c>
      <c r="X244" s="22">
        <f t="shared" si="67"/>
        <v>113.8055555555548</v>
      </c>
      <c r="Y244" s="22">
        <f t="shared" si="67"/>
        <v>120.5</v>
      </c>
      <c r="Z244" s="23">
        <f t="shared" si="67"/>
        <v>96.399999999999324</v>
      </c>
      <c r="AA244" s="23">
        <f t="shared" si="67"/>
        <v>107.11111111111029</v>
      </c>
      <c r="AB244" s="23">
        <f t="shared" si="67"/>
        <v>113.8055555555548</v>
      </c>
      <c r="AC244" s="24">
        <f t="shared" si="67"/>
        <v>89.705555555555591</v>
      </c>
      <c r="AD244" s="24">
        <f t="shared" si="67"/>
        <v>100.41666666666684</v>
      </c>
      <c r="AE244" s="24">
        <f t="shared" si="67"/>
        <v>107.11111111111029</v>
      </c>
      <c r="AF244" s="25">
        <f t="shared" si="67"/>
        <v>83.011111111110623</v>
      </c>
      <c r="AG244" s="25">
        <f t="shared" si="66"/>
        <v>93.722222222222598</v>
      </c>
      <c r="AH244" s="25">
        <f t="shared" si="66"/>
        <v>100.41666666666684</v>
      </c>
      <c r="AI244" s="26">
        <f t="shared" si="66"/>
        <v>76.316666666667118</v>
      </c>
      <c r="AJ244" s="26">
        <f t="shared" si="66"/>
        <v>87.027777777777402</v>
      </c>
      <c r="AK244" s="26">
        <f t="shared" si="65"/>
        <v>93.722222222222598</v>
      </c>
    </row>
    <row r="245" spans="4:37" ht="20.100000000000001" customHeight="1">
      <c r="D245" s="27">
        <f t="shared" si="48"/>
        <v>0.67222222222222039</v>
      </c>
      <c r="E245" s="16">
        <f t="shared" si="68"/>
        <v>185.53333333333251</v>
      </c>
      <c r="F245" s="16">
        <f t="shared" si="68"/>
        <v>196.28888888888861</v>
      </c>
      <c r="G245" s="16">
        <f t="shared" si="68"/>
        <v>203.01111111110947</v>
      </c>
      <c r="H245" s="17">
        <f t="shared" si="68"/>
        <v>172.08888888888919</v>
      </c>
      <c r="I245" s="17">
        <f t="shared" si="68"/>
        <v>182.84444444444452</v>
      </c>
      <c r="J245" s="17">
        <f t="shared" si="68"/>
        <v>189.56666666666595</v>
      </c>
      <c r="K245" s="18">
        <f t="shared" si="68"/>
        <v>158.64444444444325</v>
      </c>
      <c r="L245" s="18">
        <f t="shared" si="68"/>
        <v>169.40000000000134</v>
      </c>
      <c r="M245" s="18">
        <f t="shared" si="68"/>
        <v>176.12222222222118</v>
      </c>
      <c r="N245" s="19">
        <f t="shared" si="68"/>
        <v>123.68888888888797</v>
      </c>
      <c r="O245" s="19">
        <f t="shared" si="68"/>
        <v>134.44444444444594</v>
      </c>
      <c r="P245" s="19">
        <f t="shared" si="68"/>
        <v>141.16666666666555</v>
      </c>
      <c r="Q245" s="20">
        <f t="shared" si="68"/>
        <v>116.9666666666679</v>
      </c>
      <c r="R245" s="20">
        <f t="shared" si="68"/>
        <v>127.72222222222297</v>
      </c>
      <c r="S245" s="20">
        <f t="shared" si="68"/>
        <v>134.44444444444594</v>
      </c>
      <c r="T245" s="21">
        <f t="shared" si="68"/>
        <v>110.24444444444526</v>
      </c>
      <c r="U245" s="21">
        <f t="shared" si="66"/>
        <v>121</v>
      </c>
      <c r="V245" s="21">
        <f t="shared" si="66"/>
        <v>127.72222222222297</v>
      </c>
      <c r="W245" s="22">
        <f t="shared" si="66"/>
        <v>103.5222222222223</v>
      </c>
      <c r="X245" s="22">
        <f t="shared" si="66"/>
        <v>114.27777777777703</v>
      </c>
      <c r="Y245" s="22">
        <f t="shared" si="66"/>
        <v>121</v>
      </c>
      <c r="Z245" s="23">
        <f t="shared" si="66"/>
        <v>96.799999999999329</v>
      </c>
      <c r="AA245" s="23">
        <f t="shared" si="66"/>
        <v>107.55555555555473</v>
      </c>
      <c r="AB245" s="23">
        <f t="shared" si="66"/>
        <v>114.27777777777703</v>
      </c>
      <c r="AC245" s="24">
        <f t="shared" si="66"/>
        <v>90.077777777777811</v>
      </c>
      <c r="AD245" s="24">
        <f t="shared" si="66"/>
        <v>100.83333333333351</v>
      </c>
      <c r="AE245" s="24">
        <f t="shared" si="66"/>
        <v>107.55555555555473</v>
      </c>
      <c r="AF245" s="25">
        <f t="shared" si="66"/>
        <v>83.355555555555071</v>
      </c>
      <c r="AG245" s="25">
        <f t="shared" si="66"/>
        <v>94.111111111111484</v>
      </c>
      <c r="AH245" s="25">
        <f t="shared" si="66"/>
        <v>100.83333333333351</v>
      </c>
      <c r="AI245" s="26">
        <f t="shared" si="66"/>
        <v>76.633333333333781</v>
      </c>
      <c r="AJ245" s="26">
        <f t="shared" si="66"/>
        <v>87.388888888888516</v>
      </c>
      <c r="AK245" s="26">
        <f t="shared" si="65"/>
        <v>94.111111111111484</v>
      </c>
    </row>
    <row r="246" spans="4:37" ht="20.100000000000001" customHeight="1">
      <c r="D246" s="27">
        <f t="shared" si="48"/>
        <v>0.67499999999999816</v>
      </c>
      <c r="E246" s="16">
        <f t="shared" si="68"/>
        <v>186.29999999999919</v>
      </c>
      <c r="F246" s="16">
        <f t="shared" si="68"/>
        <v>197.09999999999971</v>
      </c>
      <c r="G246" s="16">
        <f t="shared" si="68"/>
        <v>203.84999999999837</v>
      </c>
      <c r="H246" s="17">
        <f t="shared" si="68"/>
        <v>172.8000000000003</v>
      </c>
      <c r="I246" s="17">
        <f t="shared" si="68"/>
        <v>183.60000000000008</v>
      </c>
      <c r="J246" s="17">
        <f t="shared" si="68"/>
        <v>190.34999999999928</v>
      </c>
      <c r="K246" s="18">
        <f t="shared" si="68"/>
        <v>159.29999999999882</v>
      </c>
      <c r="L246" s="18">
        <f t="shared" si="68"/>
        <v>170.10000000000133</v>
      </c>
      <c r="M246" s="18">
        <f t="shared" si="68"/>
        <v>176.84999999999897</v>
      </c>
      <c r="N246" s="19">
        <f t="shared" si="68"/>
        <v>124.19999999999908</v>
      </c>
      <c r="O246" s="19">
        <f t="shared" si="68"/>
        <v>135.00000000000148</v>
      </c>
      <c r="P246" s="19">
        <f t="shared" si="68"/>
        <v>141.74999999999889</v>
      </c>
      <c r="Q246" s="20">
        <f t="shared" si="68"/>
        <v>117.45000000000124</v>
      </c>
      <c r="R246" s="20">
        <f t="shared" si="68"/>
        <v>128.25000000000074</v>
      </c>
      <c r="S246" s="20">
        <f t="shared" si="68"/>
        <v>135.00000000000148</v>
      </c>
      <c r="T246" s="21">
        <f t="shared" si="68"/>
        <v>110.70000000000081</v>
      </c>
      <c r="U246" s="21">
        <f t="shared" si="66"/>
        <v>121.5</v>
      </c>
      <c r="V246" s="21">
        <f t="shared" si="66"/>
        <v>128.25000000000074</v>
      </c>
      <c r="W246" s="22">
        <f t="shared" si="66"/>
        <v>103.95000000000007</v>
      </c>
      <c r="X246" s="22">
        <f t="shared" si="66"/>
        <v>114.74999999999926</v>
      </c>
      <c r="Y246" s="22">
        <f t="shared" si="66"/>
        <v>121.5</v>
      </c>
      <c r="Z246" s="23">
        <f t="shared" si="66"/>
        <v>97.199999999999335</v>
      </c>
      <c r="AA246" s="23">
        <f t="shared" si="66"/>
        <v>107.99999999999918</v>
      </c>
      <c r="AB246" s="23">
        <f t="shared" si="66"/>
        <v>114.74999999999926</v>
      </c>
      <c r="AC246" s="24">
        <f t="shared" si="66"/>
        <v>90.450000000000031</v>
      </c>
      <c r="AD246" s="24">
        <f t="shared" si="66"/>
        <v>101.25000000000018</v>
      </c>
      <c r="AE246" s="24">
        <f t="shared" si="66"/>
        <v>107.99999999999918</v>
      </c>
      <c r="AF246" s="25">
        <f t="shared" si="66"/>
        <v>83.69999999999952</v>
      </c>
      <c r="AG246" s="25">
        <f t="shared" si="66"/>
        <v>94.500000000000369</v>
      </c>
      <c r="AH246" s="25">
        <f t="shared" si="66"/>
        <v>101.25000000000018</v>
      </c>
      <c r="AI246" s="26">
        <f t="shared" si="66"/>
        <v>76.950000000000443</v>
      </c>
      <c r="AJ246" s="26">
        <f t="shared" si="66"/>
        <v>87.749999999999631</v>
      </c>
      <c r="AK246" s="26">
        <f t="shared" si="65"/>
        <v>94.500000000000369</v>
      </c>
    </row>
    <row r="247" spans="4:37" ht="20.100000000000001" customHeight="1">
      <c r="D247" s="27">
        <f t="shared" si="48"/>
        <v>0.67777777777777592</v>
      </c>
      <c r="E247" s="16">
        <f t="shared" si="68"/>
        <v>187.06666666666587</v>
      </c>
      <c r="F247" s="16">
        <f t="shared" si="68"/>
        <v>197.91111111111081</v>
      </c>
      <c r="G247" s="16">
        <f t="shared" si="68"/>
        <v>204.68888888888728</v>
      </c>
      <c r="H247" s="17">
        <f t="shared" si="68"/>
        <v>173.5111111111114</v>
      </c>
      <c r="I247" s="17">
        <f t="shared" si="68"/>
        <v>184.35555555555564</v>
      </c>
      <c r="J247" s="17">
        <f t="shared" si="68"/>
        <v>191.13333333333262</v>
      </c>
      <c r="K247" s="18">
        <f t="shared" si="68"/>
        <v>159.95555555555438</v>
      </c>
      <c r="L247" s="18">
        <f t="shared" si="68"/>
        <v>170.80000000000132</v>
      </c>
      <c r="M247" s="18">
        <f t="shared" si="68"/>
        <v>177.57777777777676</v>
      </c>
      <c r="N247" s="19">
        <f t="shared" si="68"/>
        <v>124.71111111111018</v>
      </c>
      <c r="O247" s="19">
        <f t="shared" si="68"/>
        <v>135.55555555555702</v>
      </c>
      <c r="P247" s="19">
        <f t="shared" si="68"/>
        <v>142.33333333333223</v>
      </c>
      <c r="Q247" s="20">
        <f t="shared" si="68"/>
        <v>117.93333333333457</v>
      </c>
      <c r="R247" s="20">
        <f t="shared" si="68"/>
        <v>128.77777777777851</v>
      </c>
      <c r="S247" s="20">
        <f t="shared" si="68"/>
        <v>135.55555555555702</v>
      </c>
      <c r="T247" s="21">
        <f t="shared" si="68"/>
        <v>111.15555555555636</v>
      </c>
      <c r="U247" s="21">
        <f t="shared" si="66"/>
        <v>122</v>
      </c>
      <c r="V247" s="21">
        <f t="shared" si="66"/>
        <v>128.77777777777851</v>
      </c>
      <c r="W247" s="22">
        <f t="shared" si="66"/>
        <v>104.37777777777785</v>
      </c>
      <c r="X247" s="22">
        <f t="shared" si="66"/>
        <v>115.22222222222149</v>
      </c>
      <c r="Y247" s="22">
        <f t="shared" si="66"/>
        <v>122</v>
      </c>
      <c r="Z247" s="23">
        <f t="shared" si="66"/>
        <v>97.599999999999341</v>
      </c>
      <c r="AA247" s="23">
        <f t="shared" si="66"/>
        <v>108.44444444444362</v>
      </c>
      <c r="AB247" s="23">
        <f t="shared" si="66"/>
        <v>115.22222222222149</v>
      </c>
      <c r="AC247" s="24">
        <f t="shared" si="66"/>
        <v>90.822222222222251</v>
      </c>
      <c r="AD247" s="24">
        <f t="shared" si="66"/>
        <v>101.66666666666686</v>
      </c>
      <c r="AE247" s="24">
        <f t="shared" si="66"/>
        <v>108.44444444444362</v>
      </c>
      <c r="AF247" s="25">
        <f t="shared" si="66"/>
        <v>84.044444444443968</v>
      </c>
      <c r="AG247" s="25">
        <f t="shared" si="66"/>
        <v>94.888888888889255</v>
      </c>
      <c r="AH247" s="25">
        <f t="shared" si="66"/>
        <v>101.66666666666686</v>
      </c>
      <c r="AI247" s="26">
        <f t="shared" si="66"/>
        <v>77.266666666667106</v>
      </c>
      <c r="AJ247" s="26">
        <f t="shared" si="66"/>
        <v>88.111111111110745</v>
      </c>
      <c r="AK247" s="26">
        <f t="shared" si="65"/>
        <v>94.888888888889255</v>
      </c>
    </row>
    <row r="248" spans="4:37" ht="20.100000000000001" customHeight="1">
      <c r="D248" s="27">
        <f t="shared" si="48"/>
        <v>0.68055555555555369</v>
      </c>
      <c r="E248" s="16">
        <f t="shared" si="68"/>
        <v>187.83333333333255</v>
      </c>
      <c r="F248" s="16">
        <f t="shared" si="68"/>
        <v>198.72222222222192</v>
      </c>
      <c r="G248" s="16">
        <f t="shared" si="68"/>
        <v>205.52777777777618</v>
      </c>
      <c r="H248" s="17">
        <f t="shared" si="68"/>
        <v>174.22222222222251</v>
      </c>
      <c r="I248" s="17">
        <f t="shared" si="68"/>
        <v>185.1111111111112</v>
      </c>
      <c r="J248" s="17">
        <f t="shared" si="68"/>
        <v>191.91666666666595</v>
      </c>
      <c r="K248" s="18">
        <f t="shared" si="68"/>
        <v>160.61111111110995</v>
      </c>
      <c r="L248" s="18">
        <f t="shared" si="68"/>
        <v>171.50000000000131</v>
      </c>
      <c r="M248" s="18">
        <f t="shared" si="68"/>
        <v>178.30555555555455</v>
      </c>
      <c r="N248" s="19">
        <f t="shared" si="68"/>
        <v>125.22222222222129</v>
      </c>
      <c r="O248" s="19">
        <f t="shared" si="68"/>
        <v>136.11111111111256</v>
      </c>
      <c r="P248" s="19">
        <f t="shared" si="68"/>
        <v>142.91666666666558</v>
      </c>
      <c r="Q248" s="20">
        <f t="shared" si="68"/>
        <v>118.41666666666791</v>
      </c>
      <c r="R248" s="20">
        <f t="shared" si="68"/>
        <v>129.30555555555628</v>
      </c>
      <c r="S248" s="20">
        <f t="shared" si="68"/>
        <v>136.11111111111256</v>
      </c>
      <c r="T248" s="21">
        <f t="shared" si="68"/>
        <v>111.61111111111191</v>
      </c>
      <c r="U248" s="21">
        <f t="shared" si="66"/>
        <v>122.5</v>
      </c>
      <c r="V248" s="21">
        <f t="shared" si="66"/>
        <v>129.30555555555628</v>
      </c>
      <c r="W248" s="22">
        <f t="shared" si="66"/>
        <v>104.80555555555563</v>
      </c>
      <c r="X248" s="22">
        <f t="shared" si="66"/>
        <v>115.69444444444372</v>
      </c>
      <c r="Y248" s="22">
        <f t="shared" si="66"/>
        <v>122.5</v>
      </c>
      <c r="Z248" s="23">
        <f t="shared" si="66"/>
        <v>97.999999999999346</v>
      </c>
      <c r="AA248" s="23">
        <f t="shared" si="66"/>
        <v>108.88888888888806</v>
      </c>
      <c r="AB248" s="23">
        <f t="shared" si="66"/>
        <v>115.69444444444372</v>
      </c>
      <c r="AC248" s="24">
        <f t="shared" si="66"/>
        <v>91.194444444444471</v>
      </c>
      <c r="AD248" s="24">
        <f t="shared" si="66"/>
        <v>102.08333333333353</v>
      </c>
      <c r="AE248" s="24">
        <f t="shared" si="66"/>
        <v>108.88888888888806</v>
      </c>
      <c r="AF248" s="25">
        <f t="shared" si="66"/>
        <v>84.388888888888417</v>
      </c>
      <c r="AG248" s="25">
        <f t="shared" si="66"/>
        <v>95.277777777778141</v>
      </c>
      <c r="AH248" s="25">
        <f t="shared" si="66"/>
        <v>102.08333333333353</v>
      </c>
      <c r="AI248" s="26">
        <f t="shared" si="66"/>
        <v>77.583333333333769</v>
      </c>
      <c r="AJ248" s="26">
        <f t="shared" si="66"/>
        <v>88.472222222221859</v>
      </c>
      <c r="AK248" s="26">
        <f t="shared" si="65"/>
        <v>95.277777777778141</v>
      </c>
    </row>
    <row r="249" spans="4:37" ht="20.100000000000001" customHeight="1">
      <c r="D249" s="27">
        <f t="shared" si="48"/>
        <v>0.68333333333333146</v>
      </c>
      <c r="E249" s="16">
        <f t="shared" si="68"/>
        <v>188.59999999999923</v>
      </c>
      <c r="F249" s="16">
        <f t="shared" si="68"/>
        <v>199.53333333333302</v>
      </c>
      <c r="G249" s="16">
        <f t="shared" si="68"/>
        <v>206.36666666666508</v>
      </c>
      <c r="H249" s="17">
        <f t="shared" si="68"/>
        <v>174.93333333333362</v>
      </c>
      <c r="I249" s="17">
        <f t="shared" si="68"/>
        <v>185.86666666666676</v>
      </c>
      <c r="J249" s="17">
        <f t="shared" si="68"/>
        <v>192.69999999999928</v>
      </c>
      <c r="K249" s="18">
        <f t="shared" si="68"/>
        <v>161.26666666666551</v>
      </c>
      <c r="L249" s="18">
        <f t="shared" si="68"/>
        <v>172.2000000000013</v>
      </c>
      <c r="M249" s="18">
        <f t="shared" si="68"/>
        <v>179.03333333333234</v>
      </c>
      <c r="N249" s="19">
        <f t="shared" si="68"/>
        <v>125.7333333333324</v>
      </c>
      <c r="O249" s="19">
        <f t="shared" si="68"/>
        <v>136.66666666666811</v>
      </c>
      <c r="P249" s="19">
        <f t="shared" si="68"/>
        <v>143.49999999999892</v>
      </c>
      <c r="Q249" s="20">
        <f t="shared" si="68"/>
        <v>118.90000000000124</v>
      </c>
      <c r="R249" s="20">
        <f t="shared" si="68"/>
        <v>129.83333333333405</v>
      </c>
      <c r="S249" s="20">
        <f t="shared" si="68"/>
        <v>136.66666666666811</v>
      </c>
      <c r="T249" s="21">
        <f t="shared" si="68"/>
        <v>112.06666666666746</v>
      </c>
      <c r="U249" s="21">
        <f t="shared" si="66"/>
        <v>123</v>
      </c>
      <c r="V249" s="21">
        <f t="shared" si="66"/>
        <v>129.83333333333405</v>
      </c>
      <c r="W249" s="22">
        <f t="shared" si="66"/>
        <v>105.23333333333341</v>
      </c>
      <c r="X249" s="22">
        <f t="shared" si="66"/>
        <v>116.16666666666595</v>
      </c>
      <c r="Y249" s="22">
        <f t="shared" si="66"/>
        <v>123</v>
      </c>
      <c r="Z249" s="23">
        <f t="shared" si="66"/>
        <v>98.399999999999352</v>
      </c>
      <c r="AA249" s="23">
        <f t="shared" si="66"/>
        <v>109.3333333333325</v>
      </c>
      <c r="AB249" s="23">
        <f t="shared" si="66"/>
        <v>116.16666666666595</v>
      </c>
      <c r="AC249" s="24">
        <f t="shared" si="66"/>
        <v>91.566666666666691</v>
      </c>
      <c r="AD249" s="24">
        <f t="shared" si="66"/>
        <v>102.5000000000002</v>
      </c>
      <c r="AE249" s="24">
        <f t="shared" si="66"/>
        <v>109.3333333333325</v>
      </c>
      <c r="AF249" s="25">
        <f t="shared" si="66"/>
        <v>84.733333333332865</v>
      </c>
      <c r="AG249" s="25">
        <f t="shared" si="66"/>
        <v>95.666666666667027</v>
      </c>
      <c r="AH249" s="25">
        <f t="shared" si="66"/>
        <v>102.5000000000002</v>
      </c>
      <c r="AI249" s="26">
        <f t="shared" si="66"/>
        <v>77.900000000000432</v>
      </c>
      <c r="AJ249" s="26">
        <f t="shared" si="66"/>
        <v>88.833333333332973</v>
      </c>
      <c r="AK249" s="26">
        <f t="shared" si="65"/>
        <v>95.666666666667027</v>
      </c>
    </row>
    <row r="250" spans="4:37" ht="20.100000000000001" customHeight="1">
      <c r="D250" s="27">
        <f t="shared" si="48"/>
        <v>0.68611111111110923</v>
      </c>
      <c r="E250" s="16">
        <f t="shared" si="68"/>
        <v>189.36666666666591</v>
      </c>
      <c r="F250" s="16">
        <f t="shared" si="68"/>
        <v>200.34444444444412</v>
      </c>
      <c r="G250" s="16">
        <f t="shared" si="68"/>
        <v>207.20555555555399</v>
      </c>
      <c r="H250" s="17">
        <f t="shared" si="68"/>
        <v>175.64444444444473</v>
      </c>
      <c r="I250" s="17">
        <f t="shared" si="68"/>
        <v>186.62222222222232</v>
      </c>
      <c r="J250" s="17">
        <f t="shared" si="68"/>
        <v>193.48333333333261</v>
      </c>
      <c r="K250" s="18">
        <f t="shared" si="68"/>
        <v>161.92222222222108</v>
      </c>
      <c r="L250" s="18">
        <f t="shared" si="68"/>
        <v>172.90000000000128</v>
      </c>
      <c r="M250" s="18">
        <f t="shared" si="68"/>
        <v>179.76111111111013</v>
      </c>
      <c r="N250" s="19">
        <f t="shared" si="68"/>
        <v>126.2444444444435</v>
      </c>
      <c r="O250" s="19">
        <f t="shared" si="68"/>
        <v>137.22222222222365</v>
      </c>
      <c r="P250" s="19">
        <f t="shared" si="68"/>
        <v>144.08333333333226</v>
      </c>
      <c r="Q250" s="20">
        <f t="shared" si="68"/>
        <v>119.38333333333458</v>
      </c>
      <c r="R250" s="20">
        <f t="shared" si="68"/>
        <v>130.36111111111182</v>
      </c>
      <c r="S250" s="20">
        <f t="shared" si="68"/>
        <v>137.22222222222365</v>
      </c>
      <c r="T250" s="21">
        <f t="shared" si="68"/>
        <v>112.52222222222301</v>
      </c>
      <c r="U250" s="21">
        <f t="shared" si="66"/>
        <v>123.5</v>
      </c>
      <c r="V250" s="21">
        <f t="shared" si="66"/>
        <v>130.36111111111182</v>
      </c>
      <c r="W250" s="22">
        <f t="shared" si="66"/>
        <v>105.66111111111118</v>
      </c>
      <c r="X250" s="22">
        <f t="shared" si="66"/>
        <v>116.63888888888818</v>
      </c>
      <c r="Y250" s="22">
        <f t="shared" si="66"/>
        <v>123.5</v>
      </c>
      <c r="Z250" s="23">
        <f t="shared" si="66"/>
        <v>98.799999999999358</v>
      </c>
      <c r="AA250" s="23">
        <f t="shared" si="66"/>
        <v>109.77777777777695</v>
      </c>
      <c r="AB250" s="23">
        <f t="shared" si="66"/>
        <v>116.63888888888818</v>
      </c>
      <c r="AC250" s="24">
        <f t="shared" si="66"/>
        <v>91.938888888888911</v>
      </c>
      <c r="AD250" s="24">
        <f t="shared" si="66"/>
        <v>102.91666666666687</v>
      </c>
      <c r="AE250" s="24">
        <f t="shared" si="66"/>
        <v>109.77777777777695</v>
      </c>
      <c r="AF250" s="25">
        <f t="shared" si="66"/>
        <v>85.077777777777314</v>
      </c>
      <c r="AG250" s="25">
        <f t="shared" si="66"/>
        <v>96.055555555555912</v>
      </c>
      <c r="AH250" s="25">
        <f t="shared" si="66"/>
        <v>102.91666666666687</v>
      </c>
      <c r="AI250" s="26">
        <f t="shared" si="66"/>
        <v>78.216666666667095</v>
      </c>
      <c r="AJ250" s="26">
        <f t="shared" si="66"/>
        <v>89.194444444444088</v>
      </c>
      <c r="AK250" s="26">
        <f t="shared" si="65"/>
        <v>96.055555555555912</v>
      </c>
    </row>
    <row r="251" spans="4:37" ht="20.100000000000001" customHeight="1">
      <c r="D251" s="27">
        <f t="shared" si="48"/>
        <v>0.688888888888887</v>
      </c>
      <c r="E251" s="16">
        <f t="shared" si="68"/>
        <v>190.13333333333259</v>
      </c>
      <c r="F251" s="16">
        <f t="shared" si="68"/>
        <v>201.15555555555522</v>
      </c>
      <c r="G251" s="16">
        <f t="shared" si="68"/>
        <v>208.04444444444289</v>
      </c>
      <c r="H251" s="17">
        <f t="shared" si="68"/>
        <v>176.35555555555584</v>
      </c>
      <c r="I251" s="17">
        <f t="shared" si="68"/>
        <v>187.37777777777788</v>
      </c>
      <c r="J251" s="17">
        <f t="shared" si="68"/>
        <v>194.26666666666594</v>
      </c>
      <c r="K251" s="18">
        <f t="shared" si="68"/>
        <v>162.57777777777665</v>
      </c>
      <c r="L251" s="18">
        <f t="shared" si="68"/>
        <v>173.60000000000127</v>
      </c>
      <c r="M251" s="18">
        <f t="shared" si="68"/>
        <v>180.48888888888791</v>
      </c>
      <c r="N251" s="19">
        <f t="shared" si="68"/>
        <v>126.75555555555461</v>
      </c>
      <c r="O251" s="19">
        <f t="shared" si="68"/>
        <v>137.77777777777919</v>
      </c>
      <c r="P251" s="19">
        <f t="shared" si="68"/>
        <v>144.66666666666561</v>
      </c>
      <c r="Q251" s="20">
        <f t="shared" si="68"/>
        <v>119.86666666666791</v>
      </c>
      <c r="R251" s="20">
        <f t="shared" si="68"/>
        <v>130.8888888888896</v>
      </c>
      <c r="S251" s="20">
        <f t="shared" si="68"/>
        <v>137.77777777777919</v>
      </c>
      <c r="T251" s="21">
        <f t="shared" si="68"/>
        <v>112.97777777777856</v>
      </c>
      <c r="U251" s="21">
        <f t="shared" si="66"/>
        <v>124</v>
      </c>
      <c r="V251" s="21">
        <f t="shared" si="66"/>
        <v>130.8888888888896</v>
      </c>
      <c r="W251" s="22">
        <f t="shared" si="66"/>
        <v>106.08888888888896</v>
      </c>
      <c r="X251" s="22">
        <f t="shared" si="66"/>
        <v>117.1111111111104</v>
      </c>
      <c r="Y251" s="22">
        <f t="shared" si="66"/>
        <v>124</v>
      </c>
      <c r="Z251" s="23">
        <f t="shared" si="66"/>
        <v>99.199999999999363</v>
      </c>
      <c r="AA251" s="23">
        <f t="shared" si="66"/>
        <v>110.22222222222139</v>
      </c>
      <c r="AB251" s="23">
        <f t="shared" si="66"/>
        <v>117.1111111111104</v>
      </c>
      <c r="AC251" s="24">
        <f t="shared" si="66"/>
        <v>92.311111111111131</v>
      </c>
      <c r="AD251" s="24">
        <f t="shared" si="66"/>
        <v>103.33333333333354</v>
      </c>
      <c r="AE251" s="24">
        <f t="shared" si="66"/>
        <v>110.22222222222139</v>
      </c>
      <c r="AF251" s="25">
        <f t="shared" si="66"/>
        <v>85.422222222221762</v>
      </c>
      <c r="AG251" s="25">
        <f t="shared" si="66"/>
        <v>96.444444444444798</v>
      </c>
      <c r="AH251" s="25">
        <f t="shared" si="66"/>
        <v>103.33333333333354</v>
      </c>
      <c r="AI251" s="26">
        <f t="shared" si="66"/>
        <v>78.533333333333758</v>
      </c>
      <c r="AJ251" s="26">
        <f t="shared" si="66"/>
        <v>89.555555555555202</v>
      </c>
      <c r="AK251" s="26">
        <f t="shared" si="65"/>
        <v>96.444444444444798</v>
      </c>
    </row>
    <row r="252" spans="4:37" ht="20.100000000000001" customHeight="1">
      <c r="D252" s="27">
        <f t="shared" si="48"/>
        <v>0.69166666666666476</v>
      </c>
      <c r="E252" s="16">
        <f t="shared" si="68"/>
        <v>190.89999999999927</v>
      </c>
      <c r="F252" s="16">
        <f t="shared" si="68"/>
        <v>201.96666666666633</v>
      </c>
      <c r="G252" s="16">
        <f t="shared" si="68"/>
        <v>208.88333333333179</v>
      </c>
      <c r="H252" s="17">
        <f t="shared" si="68"/>
        <v>177.06666666666695</v>
      </c>
      <c r="I252" s="17">
        <f t="shared" si="68"/>
        <v>188.13333333333344</v>
      </c>
      <c r="J252" s="17">
        <f t="shared" si="68"/>
        <v>195.04999999999927</v>
      </c>
      <c r="K252" s="18">
        <f t="shared" si="68"/>
        <v>163.23333333333221</v>
      </c>
      <c r="L252" s="18">
        <f t="shared" si="68"/>
        <v>174.30000000000126</v>
      </c>
      <c r="M252" s="18">
        <f t="shared" si="68"/>
        <v>181.2166666666657</v>
      </c>
      <c r="N252" s="19">
        <f t="shared" si="68"/>
        <v>127.26666666666571</v>
      </c>
      <c r="O252" s="19">
        <f t="shared" si="68"/>
        <v>138.33333333333474</v>
      </c>
      <c r="P252" s="19">
        <f t="shared" si="68"/>
        <v>145.24999999999895</v>
      </c>
      <c r="Q252" s="20">
        <f t="shared" si="68"/>
        <v>120.35000000000124</v>
      </c>
      <c r="R252" s="20">
        <f t="shared" si="68"/>
        <v>131.41666666666737</v>
      </c>
      <c r="S252" s="20">
        <f t="shared" si="68"/>
        <v>138.33333333333474</v>
      </c>
      <c r="T252" s="21">
        <f t="shared" si="68"/>
        <v>113.4333333333341</v>
      </c>
      <c r="U252" s="21">
        <f t="shared" si="66"/>
        <v>124.5</v>
      </c>
      <c r="V252" s="21">
        <f t="shared" si="66"/>
        <v>131.41666666666737</v>
      </c>
      <c r="W252" s="22">
        <f t="shared" si="66"/>
        <v>106.51666666666674</v>
      </c>
      <c r="X252" s="22">
        <f t="shared" si="66"/>
        <v>117.58333333333263</v>
      </c>
      <c r="Y252" s="22">
        <f t="shared" si="66"/>
        <v>124.5</v>
      </c>
      <c r="Z252" s="23">
        <f t="shared" si="66"/>
        <v>99.599999999999369</v>
      </c>
      <c r="AA252" s="23">
        <f t="shared" si="66"/>
        <v>110.66666666666583</v>
      </c>
      <c r="AB252" s="23">
        <f t="shared" si="66"/>
        <v>117.58333333333263</v>
      </c>
      <c r="AC252" s="24">
        <f t="shared" si="66"/>
        <v>92.683333333333351</v>
      </c>
      <c r="AD252" s="24">
        <f t="shared" si="66"/>
        <v>103.75000000000021</v>
      </c>
      <c r="AE252" s="24">
        <f t="shared" si="66"/>
        <v>110.66666666666583</v>
      </c>
      <c r="AF252" s="25">
        <f t="shared" si="66"/>
        <v>85.766666666666211</v>
      </c>
      <c r="AG252" s="25">
        <f t="shared" si="66"/>
        <v>96.833333333333684</v>
      </c>
      <c r="AH252" s="25">
        <f t="shared" si="66"/>
        <v>103.75000000000021</v>
      </c>
      <c r="AI252" s="26">
        <f t="shared" si="66"/>
        <v>78.850000000000421</v>
      </c>
      <c r="AJ252" s="26">
        <f t="shared" si="66"/>
        <v>89.916666666666316</v>
      </c>
      <c r="AK252" s="26">
        <f t="shared" si="65"/>
        <v>96.833333333333684</v>
      </c>
    </row>
    <row r="253" spans="4:37" ht="20.100000000000001" customHeight="1">
      <c r="D253" s="27">
        <f t="shared" si="48"/>
        <v>0.69444444444444253</v>
      </c>
      <c r="E253" s="16">
        <f t="shared" si="68"/>
        <v>191.66666666666595</v>
      </c>
      <c r="F253" s="16">
        <f t="shared" si="68"/>
        <v>202.77777777777743</v>
      </c>
      <c r="G253" s="16">
        <f t="shared" si="68"/>
        <v>209.72222222222069</v>
      </c>
      <c r="H253" s="17">
        <f t="shared" si="68"/>
        <v>177.77777777777806</v>
      </c>
      <c r="I253" s="17">
        <f t="shared" si="68"/>
        <v>188.888888888889</v>
      </c>
      <c r="J253" s="17">
        <f t="shared" si="68"/>
        <v>195.8333333333326</v>
      </c>
      <c r="K253" s="18">
        <f t="shared" si="68"/>
        <v>163.88888888888778</v>
      </c>
      <c r="L253" s="18">
        <f t="shared" si="68"/>
        <v>175.00000000000125</v>
      </c>
      <c r="M253" s="18">
        <f t="shared" si="68"/>
        <v>181.94444444444349</v>
      </c>
      <c r="N253" s="19">
        <f t="shared" si="68"/>
        <v>127.77777777777682</v>
      </c>
      <c r="O253" s="19">
        <f t="shared" si="68"/>
        <v>138.88888888889028</v>
      </c>
      <c r="P253" s="19">
        <f t="shared" si="68"/>
        <v>145.83333333333229</v>
      </c>
      <c r="Q253" s="20">
        <f t="shared" si="68"/>
        <v>120.83333333333458</v>
      </c>
      <c r="R253" s="20">
        <f t="shared" si="68"/>
        <v>131.94444444444514</v>
      </c>
      <c r="S253" s="20">
        <f t="shared" si="68"/>
        <v>138.88888888889028</v>
      </c>
      <c r="T253" s="21">
        <f t="shared" si="68"/>
        <v>113.88888888888965</v>
      </c>
      <c r="U253" s="21">
        <f t="shared" si="66"/>
        <v>125</v>
      </c>
      <c r="V253" s="21">
        <f t="shared" si="66"/>
        <v>131.94444444444514</v>
      </c>
      <c r="W253" s="22">
        <f t="shared" si="66"/>
        <v>106.94444444444451</v>
      </c>
      <c r="X253" s="22">
        <f t="shared" si="66"/>
        <v>118.05555555555486</v>
      </c>
      <c r="Y253" s="22">
        <f t="shared" si="66"/>
        <v>125</v>
      </c>
      <c r="Z253" s="23">
        <f t="shared" si="66"/>
        <v>99.999999999999375</v>
      </c>
      <c r="AA253" s="23">
        <f t="shared" si="66"/>
        <v>111.11111111111028</v>
      </c>
      <c r="AB253" s="23">
        <f t="shared" si="66"/>
        <v>118.05555555555486</v>
      </c>
      <c r="AC253" s="24">
        <f t="shared" si="66"/>
        <v>93.055555555555571</v>
      </c>
      <c r="AD253" s="24">
        <f t="shared" si="66"/>
        <v>104.16666666666688</v>
      </c>
      <c r="AE253" s="24">
        <f t="shared" si="66"/>
        <v>111.11111111111028</v>
      </c>
      <c r="AF253" s="25">
        <f t="shared" si="66"/>
        <v>86.11111111111066</v>
      </c>
      <c r="AG253" s="25">
        <f t="shared" si="66"/>
        <v>97.22222222222257</v>
      </c>
      <c r="AH253" s="25">
        <f t="shared" si="66"/>
        <v>104.16666666666688</v>
      </c>
      <c r="AI253" s="26">
        <f t="shared" si="66"/>
        <v>79.166666666667084</v>
      </c>
      <c r="AJ253" s="26">
        <f t="shared" si="66"/>
        <v>90.27777777777743</v>
      </c>
      <c r="AK253" s="26">
        <f t="shared" si="65"/>
        <v>97.22222222222257</v>
      </c>
    </row>
    <row r="254" spans="4:37" ht="20.100000000000001" customHeight="1">
      <c r="D254" s="27">
        <f t="shared" si="48"/>
        <v>0.6972222222222203</v>
      </c>
      <c r="E254" s="16">
        <f t="shared" si="68"/>
        <v>192.43333333333263</v>
      </c>
      <c r="F254" s="16">
        <f t="shared" si="68"/>
        <v>203.58888888888853</v>
      </c>
      <c r="G254" s="16">
        <f t="shared" si="68"/>
        <v>210.5611111111096</v>
      </c>
      <c r="H254" s="17">
        <f t="shared" si="68"/>
        <v>178.48888888888916</v>
      </c>
      <c r="I254" s="17">
        <f t="shared" si="68"/>
        <v>189.64444444444456</v>
      </c>
      <c r="J254" s="17">
        <f t="shared" si="68"/>
        <v>196.61666666666594</v>
      </c>
      <c r="K254" s="18">
        <f t="shared" si="68"/>
        <v>164.54444444444334</v>
      </c>
      <c r="L254" s="18">
        <f t="shared" si="68"/>
        <v>175.70000000000124</v>
      </c>
      <c r="M254" s="18">
        <f t="shared" si="68"/>
        <v>182.67222222222128</v>
      </c>
      <c r="N254" s="19">
        <f t="shared" si="68"/>
        <v>128.28888888888793</v>
      </c>
      <c r="O254" s="19">
        <f t="shared" si="68"/>
        <v>139.44444444444582</v>
      </c>
      <c r="P254" s="19">
        <f t="shared" si="68"/>
        <v>146.41666666666563</v>
      </c>
      <c r="Q254" s="20">
        <f t="shared" si="68"/>
        <v>121.31666666666791</v>
      </c>
      <c r="R254" s="20">
        <f t="shared" si="68"/>
        <v>132.47222222222291</v>
      </c>
      <c r="S254" s="20">
        <f t="shared" si="68"/>
        <v>139.44444444444582</v>
      </c>
      <c r="T254" s="21">
        <f t="shared" si="68"/>
        <v>114.3444444444452</v>
      </c>
      <c r="U254" s="21">
        <f t="shared" si="66"/>
        <v>125.5</v>
      </c>
      <c r="V254" s="21">
        <f t="shared" si="66"/>
        <v>132.47222222222291</v>
      </c>
      <c r="W254" s="22">
        <f t="shared" si="66"/>
        <v>107.37222222222229</v>
      </c>
      <c r="X254" s="22">
        <f t="shared" si="66"/>
        <v>118.52777777777709</v>
      </c>
      <c r="Y254" s="22">
        <f t="shared" si="66"/>
        <v>125.5</v>
      </c>
      <c r="Z254" s="23">
        <f t="shared" si="66"/>
        <v>100.39999999999938</v>
      </c>
      <c r="AA254" s="23">
        <f t="shared" si="66"/>
        <v>111.55555555555472</v>
      </c>
      <c r="AB254" s="23">
        <f t="shared" si="66"/>
        <v>118.52777777777709</v>
      </c>
      <c r="AC254" s="24">
        <f t="shared" si="66"/>
        <v>93.427777777777791</v>
      </c>
      <c r="AD254" s="24">
        <f t="shared" si="66"/>
        <v>104.58333333333356</v>
      </c>
      <c r="AE254" s="24">
        <f t="shared" si="66"/>
        <v>111.55555555555472</v>
      </c>
      <c r="AF254" s="25">
        <f t="shared" si="66"/>
        <v>86.455555555555108</v>
      </c>
      <c r="AG254" s="25">
        <f t="shared" si="66"/>
        <v>97.611111111111455</v>
      </c>
      <c r="AH254" s="25">
        <f t="shared" si="66"/>
        <v>104.58333333333356</v>
      </c>
      <c r="AI254" s="26">
        <f t="shared" si="66"/>
        <v>79.483333333333746</v>
      </c>
      <c r="AJ254" s="26">
        <f t="shared" si="66"/>
        <v>90.638888888888545</v>
      </c>
      <c r="AK254" s="26">
        <f t="shared" si="65"/>
        <v>97.611111111111455</v>
      </c>
    </row>
    <row r="255" spans="4:37" ht="20.100000000000001" customHeight="1">
      <c r="D255" s="27">
        <f t="shared" si="48"/>
        <v>0.69999999999999807</v>
      </c>
      <c r="E255" s="16">
        <f t="shared" si="68"/>
        <v>193.19999999999931</v>
      </c>
      <c r="F255" s="16">
        <f t="shared" si="68"/>
        <v>204.39999999999964</v>
      </c>
      <c r="G255" s="16">
        <f t="shared" si="68"/>
        <v>211.3999999999985</v>
      </c>
      <c r="H255" s="17">
        <f t="shared" si="68"/>
        <v>179.20000000000027</v>
      </c>
      <c r="I255" s="17">
        <f t="shared" si="68"/>
        <v>190.40000000000012</v>
      </c>
      <c r="J255" s="17">
        <f t="shared" si="68"/>
        <v>197.39999999999927</v>
      </c>
      <c r="K255" s="18">
        <f t="shared" si="68"/>
        <v>165.19999999999891</v>
      </c>
      <c r="L255" s="18">
        <f t="shared" si="68"/>
        <v>176.40000000000123</v>
      </c>
      <c r="M255" s="18">
        <f t="shared" si="68"/>
        <v>183.39999999999907</v>
      </c>
      <c r="N255" s="19">
        <f t="shared" si="68"/>
        <v>128.79999999999905</v>
      </c>
      <c r="O255" s="19">
        <f t="shared" si="68"/>
        <v>140.00000000000136</v>
      </c>
      <c r="P255" s="19">
        <f t="shared" si="68"/>
        <v>146.99999999999898</v>
      </c>
      <c r="Q255" s="20">
        <f t="shared" si="68"/>
        <v>121.80000000000125</v>
      </c>
      <c r="R255" s="20">
        <f t="shared" si="68"/>
        <v>133.00000000000068</v>
      </c>
      <c r="S255" s="20">
        <f t="shared" si="68"/>
        <v>140.00000000000136</v>
      </c>
      <c r="T255" s="21">
        <f t="shared" si="68"/>
        <v>114.80000000000075</v>
      </c>
      <c r="U255" s="21">
        <f t="shared" si="66"/>
        <v>126</v>
      </c>
      <c r="V255" s="21">
        <f t="shared" si="66"/>
        <v>133.00000000000068</v>
      </c>
      <c r="W255" s="22">
        <f t="shared" si="66"/>
        <v>107.80000000000007</v>
      </c>
      <c r="X255" s="22">
        <f t="shared" si="66"/>
        <v>118.99999999999932</v>
      </c>
      <c r="Y255" s="22">
        <f t="shared" si="66"/>
        <v>126</v>
      </c>
      <c r="Z255" s="23">
        <f t="shared" si="66"/>
        <v>100.79999999999939</v>
      </c>
      <c r="AA255" s="23">
        <f t="shared" si="66"/>
        <v>111.99999999999916</v>
      </c>
      <c r="AB255" s="23">
        <f t="shared" si="66"/>
        <v>118.99999999999932</v>
      </c>
      <c r="AC255" s="24">
        <f t="shared" si="66"/>
        <v>93.800000000000011</v>
      </c>
      <c r="AD255" s="24">
        <f t="shared" si="66"/>
        <v>105.00000000000023</v>
      </c>
      <c r="AE255" s="24">
        <f t="shared" si="66"/>
        <v>111.99999999999916</v>
      </c>
      <c r="AF255" s="25">
        <f t="shared" si="66"/>
        <v>86.799999999999557</v>
      </c>
      <c r="AG255" s="25">
        <f t="shared" si="66"/>
        <v>98.000000000000341</v>
      </c>
      <c r="AH255" s="25">
        <f t="shared" si="66"/>
        <v>105.00000000000023</v>
      </c>
      <c r="AI255" s="26">
        <f t="shared" si="66"/>
        <v>79.800000000000409</v>
      </c>
      <c r="AJ255" s="26">
        <f t="shared" si="66"/>
        <v>90.999999999999659</v>
      </c>
      <c r="AK255" s="26">
        <f t="shared" si="65"/>
        <v>98.000000000000341</v>
      </c>
    </row>
    <row r="256" spans="4:37" ht="20.100000000000001" customHeight="1">
      <c r="D256" s="27">
        <f t="shared" si="48"/>
        <v>0.70277777777777584</v>
      </c>
      <c r="E256" s="16">
        <f t="shared" si="68"/>
        <v>193.96666666666599</v>
      </c>
      <c r="F256" s="16">
        <f t="shared" si="68"/>
        <v>205.21111111111074</v>
      </c>
      <c r="G256" s="16">
        <f t="shared" si="68"/>
        <v>212.2388888888874</v>
      </c>
      <c r="H256" s="17">
        <f t="shared" si="68"/>
        <v>179.91111111111138</v>
      </c>
      <c r="I256" s="17">
        <f t="shared" si="68"/>
        <v>191.15555555555568</v>
      </c>
      <c r="J256" s="17">
        <f t="shared" si="68"/>
        <v>198.1833333333326</v>
      </c>
      <c r="K256" s="18">
        <f t="shared" si="68"/>
        <v>165.85555555555447</v>
      </c>
      <c r="L256" s="18">
        <f t="shared" si="68"/>
        <v>177.10000000000122</v>
      </c>
      <c r="M256" s="18">
        <f t="shared" si="68"/>
        <v>184.12777777777686</v>
      </c>
      <c r="N256" s="19">
        <f t="shared" si="68"/>
        <v>129.31111111111016</v>
      </c>
      <c r="O256" s="19">
        <f t="shared" si="68"/>
        <v>140.55555555555691</v>
      </c>
      <c r="P256" s="19">
        <f t="shared" si="68"/>
        <v>147.58333333333232</v>
      </c>
      <c r="Q256" s="20">
        <f t="shared" si="68"/>
        <v>122.28333333333458</v>
      </c>
      <c r="R256" s="20">
        <f t="shared" si="68"/>
        <v>133.52777777777845</v>
      </c>
      <c r="S256" s="20">
        <f t="shared" si="68"/>
        <v>140.55555555555691</v>
      </c>
      <c r="T256" s="21">
        <f t="shared" si="68"/>
        <v>115.2555555555563</v>
      </c>
      <c r="U256" s="21">
        <f t="shared" si="66"/>
        <v>126.5</v>
      </c>
      <c r="V256" s="21">
        <f t="shared" si="66"/>
        <v>133.52777777777845</v>
      </c>
      <c r="W256" s="22">
        <f t="shared" si="66"/>
        <v>108.22777777777785</v>
      </c>
      <c r="X256" s="22">
        <f t="shared" si="66"/>
        <v>119.47222222222155</v>
      </c>
      <c r="Y256" s="22">
        <f t="shared" si="66"/>
        <v>126.5</v>
      </c>
      <c r="Z256" s="23">
        <f t="shared" si="66"/>
        <v>101.19999999999939</v>
      </c>
      <c r="AA256" s="23">
        <f t="shared" si="66"/>
        <v>112.4444444444436</v>
      </c>
      <c r="AB256" s="23">
        <f t="shared" si="66"/>
        <v>119.47222222222155</v>
      </c>
      <c r="AC256" s="24">
        <f t="shared" si="66"/>
        <v>94.172222222222231</v>
      </c>
      <c r="AD256" s="24">
        <f t="shared" si="66"/>
        <v>105.4166666666669</v>
      </c>
      <c r="AE256" s="24">
        <f t="shared" si="66"/>
        <v>112.4444444444436</v>
      </c>
      <c r="AF256" s="25">
        <f t="shared" si="66"/>
        <v>87.144444444444005</v>
      </c>
      <c r="AG256" s="25">
        <f t="shared" si="66"/>
        <v>98.388888888889227</v>
      </c>
      <c r="AH256" s="25">
        <f t="shared" si="66"/>
        <v>105.4166666666669</v>
      </c>
      <c r="AI256" s="26">
        <f t="shared" si="66"/>
        <v>80.116666666667072</v>
      </c>
      <c r="AJ256" s="26">
        <f t="shared" si="66"/>
        <v>91.361111111110773</v>
      </c>
      <c r="AK256" s="26">
        <f t="shared" si="65"/>
        <v>98.388888888889227</v>
      </c>
    </row>
    <row r="257" spans="4:37" ht="20.100000000000001" customHeight="1">
      <c r="D257" s="27">
        <f t="shared" si="48"/>
        <v>0.7055555555555536</v>
      </c>
      <c r="E257" s="16">
        <f t="shared" si="68"/>
        <v>194.73333333333267</v>
      </c>
      <c r="F257" s="16">
        <f t="shared" si="68"/>
        <v>206.02222222222184</v>
      </c>
      <c r="G257" s="16">
        <f t="shared" si="68"/>
        <v>213.0777777777763</v>
      </c>
      <c r="H257" s="17">
        <f t="shared" si="68"/>
        <v>180.62222222222249</v>
      </c>
      <c r="I257" s="17">
        <f t="shared" si="68"/>
        <v>191.91111111111124</v>
      </c>
      <c r="J257" s="17">
        <f t="shared" si="68"/>
        <v>198.96666666666593</v>
      </c>
      <c r="K257" s="18">
        <f t="shared" si="68"/>
        <v>166.51111111111004</v>
      </c>
      <c r="L257" s="18">
        <f t="shared" si="68"/>
        <v>177.80000000000121</v>
      </c>
      <c r="M257" s="18">
        <f t="shared" si="68"/>
        <v>184.85555555555464</v>
      </c>
      <c r="N257" s="19">
        <f t="shared" si="68"/>
        <v>129.82222222222128</v>
      </c>
      <c r="O257" s="19">
        <f t="shared" si="68"/>
        <v>141.11111111111245</v>
      </c>
      <c r="P257" s="19">
        <f t="shared" si="68"/>
        <v>148.16666666666566</v>
      </c>
      <c r="Q257" s="20">
        <f t="shared" si="68"/>
        <v>122.76666666666792</v>
      </c>
      <c r="R257" s="20">
        <f t="shared" si="68"/>
        <v>134.05555555555623</v>
      </c>
      <c r="S257" s="20">
        <f t="shared" si="68"/>
        <v>141.11111111111245</v>
      </c>
      <c r="T257" s="21">
        <f t="shared" si="68"/>
        <v>115.71111111111185</v>
      </c>
      <c r="U257" s="21">
        <f t="shared" si="66"/>
        <v>127</v>
      </c>
      <c r="V257" s="21">
        <f t="shared" si="66"/>
        <v>134.05555555555623</v>
      </c>
      <c r="W257" s="22">
        <f t="shared" si="66"/>
        <v>108.65555555555562</v>
      </c>
      <c r="X257" s="22">
        <f t="shared" si="66"/>
        <v>119.94444444444377</v>
      </c>
      <c r="Y257" s="22">
        <f t="shared" si="66"/>
        <v>127</v>
      </c>
      <c r="Z257" s="23">
        <f t="shared" si="66"/>
        <v>101.5999999999994</v>
      </c>
      <c r="AA257" s="23">
        <f t="shared" si="66"/>
        <v>112.88888888888805</v>
      </c>
      <c r="AB257" s="23">
        <f t="shared" si="66"/>
        <v>119.94444444444377</v>
      </c>
      <c r="AC257" s="24">
        <f t="shared" si="66"/>
        <v>94.544444444444451</v>
      </c>
      <c r="AD257" s="24">
        <f t="shared" si="66"/>
        <v>105.83333333333357</v>
      </c>
      <c r="AE257" s="24">
        <f t="shared" si="66"/>
        <v>112.88888888888805</v>
      </c>
      <c r="AF257" s="25">
        <f t="shared" si="66"/>
        <v>87.488888888888454</v>
      </c>
      <c r="AG257" s="25">
        <f t="shared" si="66"/>
        <v>98.777777777778113</v>
      </c>
      <c r="AH257" s="25">
        <f t="shared" si="66"/>
        <v>105.83333333333357</v>
      </c>
      <c r="AI257" s="26">
        <f t="shared" si="66"/>
        <v>80.433333333333735</v>
      </c>
      <c r="AJ257" s="26">
        <f t="shared" si="66"/>
        <v>91.722222222221887</v>
      </c>
      <c r="AK257" s="26">
        <f t="shared" si="65"/>
        <v>98.777777777778113</v>
      </c>
    </row>
    <row r="258" spans="4:37" ht="20.100000000000001" customHeight="1">
      <c r="D258" s="27">
        <f t="shared" si="48"/>
        <v>0.70833333333333137</v>
      </c>
      <c r="E258" s="16">
        <f t="shared" si="68"/>
        <v>195.49999999999935</v>
      </c>
      <c r="F258" s="16">
        <f t="shared" si="68"/>
        <v>206.83333333333294</v>
      </c>
      <c r="G258" s="16">
        <f t="shared" si="68"/>
        <v>213.91666666666521</v>
      </c>
      <c r="H258" s="17">
        <f t="shared" si="68"/>
        <v>181.3333333333336</v>
      </c>
      <c r="I258" s="17">
        <f t="shared" si="68"/>
        <v>192.6666666666668</v>
      </c>
      <c r="J258" s="17">
        <f t="shared" si="68"/>
        <v>199.74999999999926</v>
      </c>
      <c r="K258" s="18">
        <f t="shared" si="68"/>
        <v>167.16666666666561</v>
      </c>
      <c r="L258" s="18">
        <f t="shared" si="68"/>
        <v>178.50000000000119</v>
      </c>
      <c r="M258" s="18">
        <f t="shared" si="68"/>
        <v>185.58333333333243</v>
      </c>
      <c r="N258" s="19">
        <f t="shared" si="68"/>
        <v>130.3333333333324</v>
      </c>
      <c r="O258" s="19">
        <f t="shared" si="68"/>
        <v>141.66666666666799</v>
      </c>
      <c r="P258" s="19">
        <f t="shared" si="68"/>
        <v>148.74999999999901</v>
      </c>
      <c r="Q258" s="20">
        <f t="shared" si="68"/>
        <v>123.25000000000125</v>
      </c>
      <c r="R258" s="20">
        <f t="shared" si="68"/>
        <v>134.583333333334</v>
      </c>
      <c r="S258" s="20">
        <f t="shared" si="68"/>
        <v>141.66666666666799</v>
      </c>
      <c r="T258" s="21">
        <f t="shared" si="68"/>
        <v>116.1666666666674</v>
      </c>
      <c r="U258" s="21">
        <f t="shared" ref="U258:AJ273" si="69">U259-(U$363/360)</f>
        <v>127.5</v>
      </c>
      <c r="V258" s="21">
        <f t="shared" si="69"/>
        <v>134.583333333334</v>
      </c>
      <c r="W258" s="22">
        <f t="shared" si="69"/>
        <v>109.0833333333334</v>
      </c>
      <c r="X258" s="22">
        <f t="shared" si="69"/>
        <v>120.416666666666</v>
      </c>
      <c r="Y258" s="22">
        <f t="shared" si="69"/>
        <v>127.5</v>
      </c>
      <c r="Z258" s="23">
        <f t="shared" si="69"/>
        <v>101.9999999999994</v>
      </c>
      <c r="AA258" s="23">
        <f t="shared" si="69"/>
        <v>113.33333333333249</v>
      </c>
      <c r="AB258" s="23">
        <f t="shared" si="69"/>
        <v>120.416666666666</v>
      </c>
      <c r="AC258" s="24">
        <f t="shared" si="69"/>
        <v>94.916666666666671</v>
      </c>
      <c r="AD258" s="24">
        <f t="shared" si="69"/>
        <v>106.25000000000024</v>
      </c>
      <c r="AE258" s="24">
        <f t="shared" si="69"/>
        <v>113.33333333333249</v>
      </c>
      <c r="AF258" s="25">
        <f t="shared" si="69"/>
        <v>87.833333333332902</v>
      </c>
      <c r="AG258" s="25">
        <f t="shared" si="69"/>
        <v>99.166666666666998</v>
      </c>
      <c r="AH258" s="25">
        <f t="shared" si="69"/>
        <v>106.25000000000024</v>
      </c>
      <c r="AI258" s="26">
        <f t="shared" si="69"/>
        <v>80.750000000000398</v>
      </c>
      <c r="AJ258" s="26">
        <f t="shared" si="69"/>
        <v>92.083333333333002</v>
      </c>
      <c r="AK258" s="26">
        <f t="shared" si="65"/>
        <v>99.166666666666998</v>
      </c>
    </row>
    <row r="259" spans="4:37" ht="20.100000000000001" customHeight="1">
      <c r="D259" s="27">
        <f t="shared" si="48"/>
        <v>0.71111111111110914</v>
      </c>
      <c r="E259" s="16">
        <f t="shared" si="68"/>
        <v>196.26666666666603</v>
      </c>
      <c r="F259" s="16">
        <f t="shared" ref="F259:T259" si="70">F260-(F$363/360)</f>
        <v>207.64444444444405</v>
      </c>
      <c r="G259" s="16">
        <f t="shared" si="70"/>
        <v>214.75555555555411</v>
      </c>
      <c r="H259" s="17">
        <f t="shared" si="70"/>
        <v>182.04444444444471</v>
      </c>
      <c r="I259" s="17">
        <f t="shared" si="70"/>
        <v>193.42222222222236</v>
      </c>
      <c r="J259" s="17">
        <f t="shared" si="70"/>
        <v>200.53333333333259</v>
      </c>
      <c r="K259" s="18">
        <f t="shared" si="70"/>
        <v>167.82222222222117</v>
      </c>
      <c r="L259" s="18">
        <f t="shared" si="70"/>
        <v>179.20000000000118</v>
      </c>
      <c r="M259" s="18">
        <f t="shared" si="70"/>
        <v>186.31111111111022</v>
      </c>
      <c r="N259" s="19">
        <f t="shared" si="70"/>
        <v>130.84444444444352</v>
      </c>
      <c r="O259" s="19">
        <f t="shared" si="70"/>
        <v>142.22222222222354</v>
      </c>
      <c r="P259" s="19">
        <f t="shared" si="70"/>
        <v>149.33333333333235</v>
      </c>
      <c r="Q259" s="20">
        <f t="shared" si="70"/>
        <v>123.73333333333458</v>
      </c>
      <c r="R259" s="20">
        <f t="shared" si="70"/>
        <v>135.11111111111177</v>
      </c>
      <c r="S259" s="20">
        <f t="shared" si="70"/>
        <v>142.22222222222354</v>
      </c>
      <c r="T259" s="21">
        <f t="shared" si="70"/>
        <v>116.62222222222294</v>
      </c>
      <c r="U259" s="21">
        <f t="shared" si="69"/>
        <v>128</v>
      </c>
      <c r="V259" s="21">
        <f t="shared" si="69"/>
        <v>135.11111111111177</v>
      </c>
      <c r="W259" s="22">
        <f t="shared" si="69"/>
        <v>109.51111111111118</v>
      </c>
      <c r="X259" s="22">
        <f t="shared" si="69"/>
        <v>120.88888888888823</v>
      </c>
      <c r="Y259" s="22">
        <f t="shared" si="69"/>
        <v>128</v>
      </c>
      <c r="Z259" s="23">
        <f t="shared" si="69"/>
        <v>102.39999999999941</v>
      </c>
      <c r="AA259" s="23">
        <f t="shared" si="69"/>
        <v>113.77777777777693</v>
      </c>
      <c r="AB259" s="23">
        <f t="shared" si="69"/>
        <v>120.88888888888823</v>
      </c>
      <c r="AC259" s="24">
        <f t="shared" si="69"/>
        <v>95.288888888888891</v>
      </c>
      <c r="AD259" s="24">
        <f t="shared" si="69"/>
        <v>106.66666666666691</v>
      </c>
      <c r="AE259" s="24">
        <f t="shared" si="69"/>
        <v>113.77777777777693</v>
      </c>
      <c r="AF259" s="25">
        <f t="shared" si="69"/>
        <v>88.177777777777351</v>
      </c>
      <c r="AG259" s="25">
        <f t="shared" si="69"/>
        <v>99.555555555555884</v>
      </c>
      <c r="AH259" s="25">
        <f t="shared" si="69"/>
        <v>106.66666666666691</v>
      </c>
      <c r="AI259" s="26">
        <f t="shared" si="69"/>
        <v>81.066666666667061</v>
      </c>
      <c r="AJ259" s="26">
        <f t="shared" si="69"/>
        <v>92.444444444444116</v>
      </c>
      <c r="AK259" s="26">
        <f t="shared" si="65"/>
        <v>99.555555555555884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197.03333333333271</v>
      </c>
      <c r="F260" s="16">
        <f t="shared" si="71"/>
        <v>208.45555555555515</v>
      </c>
      <c r="G260" s="16">
        <f t="shared" si="71"/>
        <v>215.59444444444301</v>
      </c>
      <c r="H260" s="17">
        <f t="shared" si="71"/>
        <v>182.75555555555582</v>
      </c>
      <c r="I260" s="17">
        <f t="shared" si="71"/>
        <v>194.17777777777792</v>
      </c>
      <c r="J260" s="17">
        <f t="shared" si="71"/>
        <v>201.31666666666592</v>
      </c>
      <c r="K260" s="18">
        <f t="shared" si="71"/>
        <v>168.47777777777674</v>
      </c>
      <c r="L260" s="18">
        <f t="shared" si="71"/>
        <v>179.90000000000117</v>
      </c>
      <c r="M260" s="18">
        <f t="shared" si="71"/>
        <v>187.03888888888801</v>
      </c>
      <c r="N260" s="19">
        <f t="shared" si="71"/>
        <v>131.35555555555464</v>
      </c>
      <c r="O260" s="19">
        <f t="shared" si="71"/>
        <v>142.77777777777908</v>
      </c>
      <c r="P260" s="19">
        <f t="shared" si="71"/>
        <v>149.91666666666569</v>
      </c>
      <c r="Q260" s="20">
        <f t="shared" si="71"/>
        <v>124.21666666666792</v>
      </c>
      <c r="R260" s="20">
        <f t="shared" si="71"/>
        <v>135.63888888888954</v>
      </c>
      <c r="S260" s="20">
        <f t="shared" si="71"/>
        <v>142.77777777777908</v>
      </c>
      <c r="T260" s="21">
        <f t="shared" si="71"/>
        <v>117.07777777777849</v>
      </c>
      <c r="U260" s="21">
        <f t="shared" si="69"/>
        <v>128.5</v>
      </c>
      <c r="V260" s="21">
        <f t="shared" si="69"/>
        <v>135.63888888888954</v>
      </c>
      <c r="W260" s="22">
        <f t="shared" si="69"/>
        <v>109.93888888888895</v>
      </c>
      <c r="X260" s="22">
        <f t="shared" si="69"/>
        <v>121.36111111111046</v>
      </c>
      <c r="Y260" s="22">
        <f t="shared" si="69"/>
        <v>128.5</v>
      </c>
      <c r="Z260" s="23">
        <f t="shared" si="69"/>
        <v>102.79999999999941</v>
      </c>
      <c r="AA260" s="23">
        <f t="shared" si="69"/>
        <v>114.22222222222138</v>
      </c>
      <c r="AB260" s="23">
        <f t="shared" si="69"/>
        <v>121.36111111111046</v>
      </c>
      <c r="AC260" s="24">
        <f t="shared" si="69"/>
        <v>95.661111111111111</v>
      </c>
      <c r="AD260" s="24">
        <f t="shared" si="69"/>
        <v>107.08333333333358</v>
      </c>
      <c r="AE260" s="24">
        <f t="shared" si="69"/>
        <v>114.22222222222138</v>
      </c>
      <c r="AF260" s="25">
        <f t="shared" si="69"/>
        <v>88.522222222221799</v>
      </c>
      <c r="AG260" s="25">
        <f t="shared" si="69"/>
        <v>99.94444444444477</v>
      </c>
      <c r="AH260" s="25">
        <f t="shared" si="69"/>
        <v>107.08333333333358</v>
      </c>
      <c r="AI260" s="26">
        <f t="shared" si="69"/>
        <v>81.383333333333724</v>
      </c>
      <c r="AJ260" s="26">
        <f t="shared" si="69"/>
        <v>92.80555555555523</v>
      </c>
      <c r="AK260" s="26">
        <f t="shared" si="65"/>
        <v>99.94444444444477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197.79999999999939</v>
      </c>
      <c r="F261" s="16">
        <f t="shared" si="71"/>
        <v>209.26666666666625</v>
      </c>
      <c r="G261" s="16">
        <f t="shared" si="71"/>
        <v>216.43333333333192</v>
      </c>
      <c r="H261" s="17">
        <f t="shared" si="71"/>
        <v>183.46666666666692</v>
      </c>
      <c r="I261" s="17">
        <f t="shared" si="71"/>
        <v>194.93333333333348</v>
      </c>
      <c r="J261" s="17">
        <f t="shared" si="71"/>
        <v>202.09999999999926</v>
      </c>
      <c r="K261" s="18">
        <f t="shared" si="71"/>
        <v>169.1333333333323</v>
      </c>
      <c r="L261" s="18">
        <f t="shared" si="71"/>
        <v>180.60000000000116</v>
      </c>
      <c r="M261" s="18">
        <f t="shared" si="71"/>
        <v>187.7666666666658</v>
      </c>
      <c r="N261" s="19">
        <f t="shared" si="71"/>
        <v>131.86666666666576</v>
      </c>
      <c r="O261" s="19">
        <f t="shared" si="71"/>
        <v>143.33333333333462</v>
      </c>
      <c r="P261" s="19">
        <f t="shared" si="71"/>
        <v>150.49999999999903</v>
      </c>
      <c r="Q261" s="20">
        <f t="shared" si="71"/>
        <v>124.70000000000125</v>
      </c>
      <c r="R261" s="20">
        <f t="shared" si="71"/>
        <v>136.16666666666731</v>
      </c>
      <c r="S261" s="20">
        <f t="shared" si="71"/>
        <v>143.33333333333462</v>
      </c>
      <c r="T261" s="21">
        <f t="shared" si="71"/>
        <v>117.53333333333404</v>
      </c>
      <c r="U261" s="21">
        <f t="shared" si="69"/>
        <v>129</v>
      </c>
      <c r="V261" s="21">
        <f t="shared" si="69"/>
        <v>136.16666666666731</v>
      </c>
      <c r="W261" s="22">
        <f t="shared" si="69"/>
        <v>110.36666666666673</v>
      </c>
      <c r="X261" s="22">
        <f t="shared" si="69"/>
        <v>121.83333333333269</v>
      </c>
      <c r="Y261" s="22">
        <f t="shared" si="69"/>
        <v>129</v>
      </c>
      <c r="Z261" s="23">
        <f t="shared" si="69"/>
        <v>103.19999999999942</v>
      </c>
      <c r="AA261" s="23">
        <f t="shared" si="69"/>
        <v>114.66666666666582</v>
      </c>
      <c r="AB261" s="23">
        <f t="shared" si="69"/>
        <v>121.83333333333269</v>
      </c>
      <c r="AC261" s="24">
        <f t="shared" si="69"/>
        <v>96.033333333333331</v>
      </c>
      <c r="AD261" s="24">
        <f t="shared" si="69"/>
        <v>107.50000000000026</v>
      </c>
      <c r="AE261" s="24">
        <f t="shared" si="69"/>
        <v>114.66666666666582</v>
      </c>
      <c r="AF261" s="25">
        <f t="shared" si="69"/>
        <v>88.866666666666248</v>
      </c>
      <c r="AG261" s="25">
        <f t="shared" si="69"/>
        <v>100.33333333333366</v>
      </c>
      <c r="AH261" s="25">
        <f t="shared" si="69"/>
        <v>107.50000000000026</v>
      </c>
      <c r="AI261" s="26">
        <f t="shared" si="69"/>
        <v>81.700000000000387</v>
      </c>
      <c r="AJ261" s="26">
        <f t="shared" si="69"/>
        <v>93.166666666666345</v>
      </c>
      <c r="AK261" s="26">
        <f t="shared" si="65"/>
        <v>100.33333333333366</v>
      </c>
    </row>
    <row r="262" spans="4:37" ht="20.100000000000001" customHeight="1">
      <c r="D262" s="27">
        <f t="shared" si="72"/>
        <v>0.71944444444444244</v>
      </c>
      <c r="E262" s="16">
        <f t="shared" si="71"/>
        <v>198.56666666666607</v>
      </c>
      <c r="F262" s="16">
        <f t="shared" si="71"/>
        <v>210.07777777777736</v>
      </c>
      <c r="G262" s="16">
        <f t="shared" si="71"/>
        <v>217.27222222222082</v>
      </c>
      <c r="H262" s="17">
        <f t="shared" si="71"/>
        <v>184.17777777777803</v>
      </c>
      <c r="I262" s="17">
        <f t="shared" si="71"/>
        <v>195.68888888888904</v>
      </c>
      <c r="J262" s="17">
        <f t="shared" si="71"/>
        <v>202.88333333333259</v>
      </c>
      <c r="K262" s="18">
        <f t="shared" si="71"/>
        <v>169.78888888888787</v>
      </c>
      <c r="L262" s="18">
        <f t="shared" si="71"/>
        <v>181.30000000000115</v>
      </c>
      <c r="M262" s="18">
        <f t="shared" si="71"/>
        <v>188.49444444444359</v>
      </c>
      <c r="N262" s="19">
        <f t="shared" si="71"/>
        <v>132.37777777777688</v>
      </c>
      <c r="O262" s="19">
        <f t="shared" si="71"/>
        <v>143.88888888889016</v>
      </c>
      <c r="P262" s="19">
        <f t="shared" si="71"/>
        <v>151.08333333333238</v>
      </c>
      <c r="Q262" s="20">
        <f t="shared" si="71"/>
        <v>125.18333333333459</v>
      </c>
      <c r="R262" s="20">
        <f t="shared" si="71"/>
        <v>136.69444444444508</v>
      </c>
      <c r="S262" s="20">
        <f t="shared" si="71"/>
        <v>143.88888888889016</v>
      </c>
      <c r="T262" s="21">
        <f t="shared" si="71"/>
        <v>117.98888888888959</v>
      </c>
      <c r="U262" s="21">
        <f t="shared" si="69"/>
        <v>129.5</v>
      </c>
      <c r="V262" s="21">
        <f t="shared" si="69"/>
        <v>136.69444444444508</v>
      </c>
      <c r="W262" s="22">
        <f t="shared" si="69"/>
        <v>110.79444444444451</v>
      </c>
      <c r="X262" s="22">
        <f t="shared" si="69"/>
        <v>122.30555555555492</v>
      </c>
      <c r="Y262" s="22">
        <f t="shared" si="69"/>
        <v>129.5</v>
      </c>
      <c r="Z262" s="23">
        <f t="shared" si="69"/>
        <v>103.59999999999943</v>
      </c>
      <c r="AA262" s="23">
        <f t="shared" si="69"/>
        <v>115.11111111111026</v>
      </c>
      <c r="AB262" s="23">
        <f t="shared" si="69"/>
        <v>122.30555555555492</v>
      </c>
      <c r="AC262" s="24">
        <f t="shared" si="69"/>
        <v>96.405555555555551</v>
      </c>
      <c r="AD262" s="24">
        <f t="shared" si="69"/>
        <v>107.91666666666693</v>
      </c>
      <c r="AE262" s="24">
        <f t="shared" si="69"/>
        <v>115.11111111111026</v>
      </c>
      <c r="AF262" s="25">
        <f t="shared" si="69"/>
        <v>89.211111111110696</v>
      </c>
      <c r="AG262" s="25">
        <f t="shared" si="69"/>
        <v>100.72222222222254</v>
      </c>
      <c r="AH262" s="25">
        <f t="shared" si="69"/>
        <v>107.91666666666693</v>
      </c>
      <c r="AI262" s="26">
        <f t="shared" si="69"/>
        <v>82.016666666667049</v>
      </c>
      <c r="AJ262" s="26">
        <f t="shared" si="69"/>
        <v>93.527777777777459</v>
      </c>
      <c r="AK262" s="26">
        <f t="shared" si="65"/>
        <v>100.72222222222254</v>
      </c>
    </row>
    <row r="263" spans="4:37" ht="20.100000000000001" customHeight="1">
      <c r="D263" s="27">
        <f t="shared" si="72"/>
        <v>0.72222222222222021</v>
      </c>
      <c r="E263" s="16">
        <f t="shared" si="71"/>
        <v>199.33333333333275</v>
      </c>
      <c r="F263" s="16">
        <f t="shared" si="71"/>
        <v>210.88888888888846</v>
      </c>
      <c r="G263" s="16">
        <f t="shared" si="71"/>
        <v>218.11111111110972</v>
      </c>
      <c r="H263" s="17">
        <f t="shared" si="71"/>
        <v>184.88888888888914</v>
      </c>
      <c r="I263" s="17">
        <f t="shared" si="71"/>
        <v>196.4444444444446</v>
      </c>
      <c r="J263" s="17">
        <f t="shared" si="71"/>
        <v>203.66666666666592</v>
      </c>
      <c r="K263" s="18">
        <f t="shared" si="71"/>
        <v>170.44444444444343</v>
      </c>
      <c r="L263" s="18">
        <f t="shared" si="71"/>
        <v>182.00000000000114</v>
      </c>
      <c r="M263" s="18">
        <f t="shared" si="71"/>
        <v>189.22222222222138</v>
      </c>
      <c r="N263" s="19">
        <f t="shared" si="71"/>
        <v>132.888888888888</v>
      </c>
      <c r="O263" s="19">
        <f t="shared" si="71"/>
        <v>144.44444444444571</v>
      </c>
      <c r="P263" s="19">
        <f t="shared" si="71"/>
        <v>151.66666666666572</v>
      </c>
      <c r="Q263" s="20">
        <f t="shared" si="71"/>
        <v>125.66666666666792</v>
      </c>
      <c r="R263" s="20">
        <f t="shared" si="71"/>
        <v>137.22222222222285</v>
      </c>
      <c r="S263" s="20">
        <f t="shared" si="71"/>
        <v>144.44444444444571</v>
      </c>
      <c r="T263" s="21">
        <f t="shared" si="71"/>
        <v>118.44444444444514</v>
      </c>
      <c r="U263" s="21">
        <f t="shared" si="69"/>
        <v>130</v>
      </c>
      <c r="V263" s="21">
        <f t="shared" si="69"/>
        <v>137.22222222222285</v>
      </c>
      <c r="W263" s="22">
        <f t="shared" si="69"/>
        <v>111.22222222222229</v>
      </c>
      <c r="X263" s="22">
        <f t="shared" si="69"/>
        <v>122.77777777777715</v>
      </c>
      <c r="Y263" s="22">
        <f t="shared" si="69"/>
        <v>130</v>
      </c>
      <c r="Z263" s="23">
        <f t="shared" si="69"/>
        <v>103.99999999999943</v>
      </c>
      <c r="AA263" s="23">
        <f t="shared" si="69"/>
        <v>115.5555555555547</v>
      </c>
      <c r="AB263" s="23">
        <f t="shared" si="69"/>
        <v>122.77777777777715</v>
      </c>
      <c r="AC263" s="24">
        <f t="shared" si="69"/>
        <v>96.777777777777771</v>
      </c>
      <c r="AD263" s="24">
        <f t="shared" si="69"/>
        <v>108.3333333333336</v>
      </c>
      <c r="AE263" s="24">
        <f t="shared" si="69"/>
        <v>115.5555555555547</v>
      </c>
      <c r="AF263" s="25">
        <f t="shared" si="69"/>
        <v>89.555555555555145</v>
      </c>
      <c r="AG263" s="25">
        <f t="shared" si="69"/>
        <v>101.11111111111143</v>
      </c>
      <c r="AH263" s="25">
        <f t="shared" si="69"/>
        <v>108.3333333333336</v>
      </c>
      <c r="AI263" s="26">
        <f t="shared" si="69"/>
        <v>82.333333333333712</v>
      </c>
      <c r="AJ263" s="26">
        <f t="shared" si="69"/>
        <v>93.888888888888573</v>
      </c>
      <c r="AK263" s="26">
        <f t="shared" si="65"/>
        <v>101.11111111111143</v>
      </c>
    </row>
    <row r="264" spans="4:37" ht="20.100000000000001" customHeight="1">
      <c r="D264" s="27">
        <f t="shared" si="72"/>
        <v>0.72499999999999798</v>
      </c>
      <c r="E264" s="16">
        <f t="shared" si="71"/>
        <v>200.09999999999943</v>
      </c>
      <c r="F264" s="16">
        <f t="shared" si="71"/>
        <v>211.69999999999956</v>
      </c>
      <c r="G264" s="16">
        <f t="shared" si="71"/>
        <v>218.94999999999862</v>
      </c>
      <c r="H264" s="17">
        <f t="shared" si="71"/>
        <v>185.60000000000025</v>
      </c>
      <c r="I264" s="17">
        <f t="shared" si="71"/>
        <v>197.20000000000016</v>
      </c>
      <c r="J264" s="17">
        <f t="shared" si="71"/>
        <v>204.44999999999925</v>
      </c>
      <c r="K264" s="18">
        <f t="shared" si="71"/>
        <v>171.099999999999</v>
      </c>
      <c r="L264" s="18">
        <f t="shared" si="71"/>
        <v>182.70000000000113</v>
      </c>
      <c r="M264" s="18">
        <f t="shared" si="71"/>
        <v>189.94999999999916</v>
      </c>
      <c r="N264" s="19">
        <f t="shared" si="71"/>
        <v>133.39999999999912</v>
      </c>
      <c r="O264" s="19">
        <f t="shared" si="71"/>
        <v>145.00000000000125</v>
      </c>
      <c r="P264" s="19">
        <f t="shared" si="71"/>
        <v>152.24999999999906</v>
      </c>
      <c r="Q264" s="20">
        <f t="shared" si="71"/>
        <v>126.15000000000126</v>
      </c>
      <c r="R264" s="20">
        <f t="shared" si="71"/>
        <v>137.75000000000063</v>
      </c>
      <c r="S264" s="20">
        <f t="shared" si="71"/>
        <v>145.00000000000125</v>
      </c>
      <c r="T264" s="21">
        <f t="shared" si="71"/>
        <v>118.90000000000069</v>
      </c>
      <c r="U264" s="21">
        <f t="shared" si="69"/>
        <v>130.5</v>
      </c>
      <c r="V264" s="21">
        <f t="shared" si="69"/>
        <v>137.75000000000063</v>
      </c>
      <c r="W264" s="22">
        <f t="shared" si="69"/>
        <v>111.65000000000006</v>
      </c>
      <c r="X264" s="22">
        <f t="shared" si="69"/>
        <v>123.24999999999937</v>
      </c>
      <c r="Y264" s="22">
        <f t="shared" si="69"/>
        <v>130.5</v>
      </c>
      <c r="Z264" s="23">
        <f t="shared" si="69"/>
        <v>104.39999999999944</v>
      </c>
      <c r="AA264" s="23">
        <f t="shared" si="69"/>
        <v>115.99999999999915</v>
      </c>
      <c r="AB264" s="23">
        <f t="shared" si="69"/>
        <v>123.24999999999937</v>
      </c>
      <c r="AC264" s="24">
        <f t="shared" si="69"/>
        <v>97.149999999999991</v>
      </c>
      <c r="AD264" s="24">
        <f t="shared" si="69"/>
        <v>108.75000000000027</v>
      </c>
      <c r="AE264" s="24">
        <f t="shared" si="69"/>
        <v>115.99999999999915</v>
      </c>
      <c r="AF264" s="25">
        <f t="shared" si="69"/>
        <v>89.899999999999594</v>
      </c>
      <c r="AG264" s="25">
        <f t="shared" si="69"/>
        <v>101.50000000000031</v>
      </c>
      <c r="AH264" s="25">
        <f t="shared" si="69"/>
        <v>108.75000000000027</v>
      </c>
      <c r="AI264" s="26">
        <f t="shared" si="69"/>
        <v>82.650000000000375</v>
      </c>
      <c r="AJ264" s="26">
        <f t="shared" si="69"/>
        <v>94.249999999999687</v>
      </c>
      <c r="AK264" s="26">
        <f t="shared" si="65"/>
        <v>101.50000000000031</v>
      </c>
    </row>
    <row r="265" spans="4:37" ht="20.100000000000001" customHeight="1">
      <c r="D265" s="27">
        <f t="shared" si="72"/>
        <v>0.72777777777777575</v>
      </c>
      <c r="E265" s="16">
        <f t="shared" si="71"/>
        <v>200.86666666666611</v>
      </c>
      <c r="F265" s="16">
        <f t="shared" si="71"/>
        <v>212.51111111111067</v>
      </c>
      <c r="G265" s="16">
        <f t="shared" si="71"/>
        <v>219.78888888888753</v>
      </c>
      <c r="H265" s="17">
        <f t="shared" si="71"/>
        <v>186.31111111111136</v>
      </c>
      <c r="I265" s="17">
        <f t="shared" si="71"/>
        <v>197.95555555555572</v>
      </c>
      <c r="J265" s="17">
        <f t="shared" si="71"/>
        <v>205.23333333333258</v>
      </c>
      <c r="K265" s="18">
        <f t="shared" si="71"/>
        <v>171.75555555555457</v>
      </c>
      <c r="L265" s="18">
        <f t="shared" si="71"/>
        <v>183.40000000000111</v>
      </c>
      <c r="M265" s="18">
        <f t="shared" si="71"/>
        <v>190.67777777777695</v>
      </c>
      <c r="N265" s="19">
        <f t="shared" si="71"/>
        <v>133.91111111111024</v>
      </c>
      <c r="O265" s="19">
        <f t="shared" si="71"/>
        <v>145.55555555555679</v>
      </c>
      <c r="P265" s="19">
        <f t="shared" si="71"/>
        <v>152.8333333333324</v>
      </c>
      <c r="Q265" s="20">
        <f t="shared" si="71"/>
        <v>126.63333333333459</v>
      </c>
      <c r="R265" s="20">
        <f t="shared" si="71"/>
        <v>138.2777777777784</v>
      </c>
      <c r="S265" s="20">
        <f t="shared" si="71"/>
        <v>145.55555555555679</v>
      </c>
      <c r="T265" s="21">
        <f t="shared" si="71"/>
        <v>119.35555555555624</v>
      </c>
      <c r="U265" s="21">
        <f t="shared" si="69"/>
        <v>131</v>
      </c>
      <c r="V265" s="21">
        <f t="shared" si="69"/>
        <v>138.2777777777784</v>
      </c>
      <c r="W265" s="22">
        <f t="shared" si="69"/>
        <v>112.07777777777784</v>
      </c>
      <c r="X265" s="22">
        <f t="shared" si="69"/>
        <v>123.7222222222216</v>
      </c>
      <c r="Y265" s="22">
        <f t="shared" si="69"/>
        <v>131</v>
      </c>
      <c r="Z265" s="23">
        <f t="shared" si="69"/>
        <v>104.79999999999944</v>
      </c>
      <c r="AA265" s="23">
        <f t="shared" si="69"/>
        <v>116.44444444444359</v>
      </c>
      <c r="AB265" s="23">
        <f t="shared" si="69"/>
        <v>123.7222222222216</v>
      </c>
      <c r="AC265" s="24">
        <f t="shared" si="69"/>
        <v>97.522222222222211</v>
      </c>
      <c r="AD265" s="24">
        <f t="shared" si="69"/>
        <v>109.16666666666694</v>
      </c>
      <c r="AE265" s="24">
        <f t="shared" si="69"/>
        <v>116.44444444444359</v>
      </c>
      <c r="AF265" s="25">
        <f t="shared" si="69"/>
        <v>90.244444444444042</v>
      </c>
      <c r="AG265" s="25">
        <f t="shared" si="69"/>
        <v>101.8888888888892</v>
      </c>
      <c r="AH265" s="25">
        <f t="shared" si="69"/>
        <v>109.16666666666694</v>
      </c>
      <c r="AI265" s="26">
        <f t="shared" si="69"/>
        <v>82.966666666667038</v>
      </c>
      <c r="AJ265" s="26">
        <f t="shared" si="69"/>
        <v>94.611111111110802</v>
      </c>
      <c r="AK265" s="26">
        <f t="shared" si="65"/>
        <v>101.8888888888892</v>
      </c>
    </row>
    <row r="266" spans="4:37" ht="20.100000000000001" customHeight="1">
      <c r="D266" s="27">
        <f t="shared" si="72"/>
        <v>0.73055555555555352</v>
      </c>
      <c r="E266" s="16">
        <f t="shared" si="71"/>
        <v>201.63333333333279</v>
      </c>
      <c r="F266" s="16">
        <f t="shared" si="71"/>
        <v>213.32222222222177</v>
      </c>
      <c r="G266" s="16">
        <f t="shared" si="71"/>
        <v>220.62777777777643</v>
      </c>
      <c r="H266" s="17">
        <f t="shared" si="71"/>
        <v>187.02222222222247</v>
      </c>
      <c r="I266" s="17">
        <f t="shared" si="71"/>
        <v>198.71111111111128</v>
      </c>
      <c r="J266" s="17">
        <f t="shared" si="71"/>
        <v>206.01666666666591</v>
      </c>
      <c r="K266" s="18">
        <f t="shared" si="71"/>
        <v>172.41111111111013</v>
      </c>
      <c r="L266" s="18">
        <f t="shared" si="71"/>
        <v>184.1000000000011</v>
      </c>
      <c r="M266" s="18">
        <f t="shared" si="71"/>
        <v>191.40555555555474</v>
      </c>
      <c r="N266" s="19">
        <f t="shared" si="71"/>
        <v>134.42222222222136</v>
      </c>
      <c r="O266" s="19">
        <f t="shared" si="71"/>
        <v>146.11111111111234</v>
      </c>
      <c r="P266" s="19">
        <f t="shared" si="71"/>
        <v>153.41666666666575</v>
      </c>
      <c r="Q266" s="20">
        <f t="shared" si="71"/>
        <v>127.11666666666792</v>
      </c>
      <c r="R266" s="20">
        <f t="shared" si="71"/>
        <v>138.80555555555617</v>
      </c>
      <c r="S266" s="20">
        <f t="shared" si="71"/>
        <v>146.11111111111234</v>
      </c>
      <c r="T266" s="21">
        <f t="shared" si="71"/>
        <v>119.81111111111179</v>
      </c>
      <c r="U266" s="21">
        <f t="shared" si="69"/>
        <v>131.5</v>
      </c>
      <c r="V266" s="21">
        <f t="shared" si="69"/>
        <v>138.80555555555617</v>
      </c>
      <c r="W266" s="22">
        <f t="shared" si="69"/>
        <v>112.50555555555562</v>
      </c>
      <c r="X266" s="22">
        <f t="shared" si="69"/>
        <v>124.19444444444383</v>
      </c>
      <c r="Y266" s="22">
        <f t="shared" si="69"/>
        <v>131.5</v>
      </c>
      <c r="Z266" s="23">
        <f t="shared" si="69"/>
        <v>105.19999999999945</v>
      </c>
      <c r="AA266" s="23">
        <f t="shared" si="69"/>
        <v>116.88888888888803</v>
      </c>
      <c r="AB266" s="23">
        <f t="shared" si="69"/>
        <v>124.19444444444383</v>
      </c>
      <c r="AC266" s="24">
        <f t="shared" si="69"/>
        <v>97.894444444444431</v>
      </c>
      <c r="AD266" s="24">
        <f t="shared" si="69"/>
        <v>109.58333333333361</v>
      </c>
      <c r="AE266" s="24">
        <f t="shared" si="69"/>
        <v>116.88888888888803</v>
      </c>
      <c r="AF266" s="25">
        <f t="shared" si="69"/>
        <v>90.588888888888491</v>
      </c>
      <c r="AG266" s="25">
        <f t="shared" si="69"/>
        <v>102.27777777777808</v>
      </c>
      <c r="AH266" s="25">
        <f t="shared" si="69"/>
        <v>109.58333333333361</v>
      </c>
      <c r="AI266" s="26">
        <f t="shared" si="69"/>
        <v>83.283333333333701</v>
      </c>
      <c r="AJ266" s="26">
        <f t="shared" si="69"/>
        <v>94.972222222221916</v>
      </c>
      <c r="AK266" s="26">
        <f t="shared" si="65"/>
        <v>102.27777777777808</v>
      </c>
    </row>
    <row r="267" spans="4:37" ht="20.100000000000001" customHeight="1">
      <c r="D267" s="27">
        <f t="shared" si="72"/>
        <v>0.73333333333333128</v>
      </c>
      <c r="E267" s="16">
        <f t="shared" si="71"/>
        <v>202.39999999999947</v>
      </c>
      <c r="F267" s="16">
        <f t="shared" si="71"/>
        <v>214.13333333333287</v>
      </c>
      <c r="G267" s="16">
        <f t="shared" si="71"/>
        <v>221.46666666666533</v>
      </c>
      <c r="H267" s="17">
        <f t="shared" si="71"/>
        <v>187.73333333333358</v>
      </c>
      <c r="I267" s="17">
        <f t="shared" si="71"/>
        <v>199.46666666666684</v>
      </c>
      <c r="J267" s="17">
        <f t="shared" si="71"/>
        <v>206.79999999999924</v>
      </c>
      <c r="K267" s="18">
        <f t="shared" si="71"/>
        <v>173.0666666666657</v>
      </c>
      <c r="L267" s="18">
        <f t="shared" si="71"/>
        <v>184.80000000000109</v>
      </c>
      <c r="M267" s="18">
        <f t="shared" si="71"/>
        <v>192.13333333333253</v>
      </c>
      <c r="N267" s="19">
        <f t="shared" si="71"/>
        <v>134.93333333333248</v>
      </c>
      <c r="O267" s="19">
        <f t="shared" si="71"/>
        <v>146.66666666666788</v>
      </c>
      <c r="P267" s="19">
        <f t="shared" si="71"/>
        <v>153.99999999999909</v>
      </c>
      <c r="Q267" s="20">
        <f t="shared" si="71"/>
        <v>127.60000000000126</v>
      </c>
      <c r="R267" s="20">
        <f t="shared" si="71"/>
        <v>139.33333333333394</v>
      </c>
      <c r="S267" s="20">
        <f t="shared" si="71"/>
        <v>146.66666666666788</v>
      </c>
      <c r="T267" s="21">
        <f t="shared" si="71"/>
        <v>120.26666666666733</v>
      </c>
      <c r="U267" s="21">
        <f t="shared" si="69"/>
        <v>132</v>
      </c>
      <c r="V267" s="21">
        <f t="shared" si="69"/>
        <v>139.33333333333394</v>
      </c>
      <c r="W267" s="22">
        <f t="shared" si="69"/>
        <v>112.93333333333339</v>
      </c>
      <c r="X267" s="22">
        <f t="shared" si="69"/>
        <v>124.66666666666606</v>
      </c>
      <c r="Y267" s="22">
        <f t="shared" si="69"/>
        <v>132</v>
      </c>
      <c r="Z267" s="23">
        <f t="shared" si="69"/>
        <v>105.59999999999945</v>
      </c>
      <c r="AA267" s="23">
        <f t="shared" si="69"/>
        <v>117.33333333333248</v>
      </c>
      <c r="AB267" s="23">
        <f t="shared" si="69"/>
        <v>124.66666666666606</v>
      </c>
      <c r="AC267" s="24">
        <f t="shared" si="69"/>
        <v>98.266666666666652</v>
      </c>
      <c r="AD267" s="24">
        <f t="shared" si="69"/>
        <v>110.00000000000028</v>
      </c>
      <c r="AE267" s="24">
        <f t="shared" si="69"/>
        <v>117.33333333333248</v>
      </c>
      <c r="AF267" s="25">
        <f t="shared" si="69"/>
        <v>90.933333333332939</v>
      </c>
      <c r="AG267" s="25">
        <f t="shared" si="69"/>
        <v>102.66666666666697</v>
      </c>
      <c r="AH267" s="25">
        <f t="shared" si="69"/>
        <v>110.00000000000028</v>
      </c>
      <c r="AI267" s="26">
        <f t="shared" si="69"/>
        <v>83.600000000000364</v>
      </c>
      <c r="AJ267" s="26">
        <f t="shared" si="69"/>
        <v>95.33333333333303</v>
      </c>
      <c r="AK267" s="26">
        <f t="shared" si="65"/>
        <v>102.66666666666697</v>
      </c>
    </row>
    <row r="268" spans="4:37" ht="20.100000000000001" customHeight="1">
      <c r="D268" s="27">
        <f t="shared" si="72"/>
        <v>0.73611111111110905</v>
      </c>
      <c r="E268" s="16">
        <f t="shared" si="71"/>
        <v>203.16666666666615</v>
      </c>
      <c r="F268" s="16">
        <f t="shared" si="71"/>
        <v>214.94444444444397</v>
      </c>
      <c r="G268" s="16">
        <f t="shared" si="71"/>
        <v>222.30555555555424</v>
      </c>
      <c r="H268" s="17">
        <f t="shared" si="71"/>
        <v>188.44444444444468</v>
      </c>
      <c r="I268" s="17">
        <f t="shared" si="71"/>
        <v>200.2222222222224</v>
      </c>
      <c r="J268" s="17">
        <f t="shared" si="71"/>
        <v>207.58333333333258</v>
      </c>
      <c r="K268" s="18">
        <f t="shared" si="71"/>
        <v>173.72222222222126</v>
      </c>
      <c r="L268" s="18">
        <f t="shared" si="71"/>
        <v>185.50000000000108</v>
      </c>
      <c r="M268" s="18">
        <f t="shared" si="71"/>
        <v>192.86111111111032</v>
      </c>
      <c r="N268" s="19">
        <f t="shared" si="71"/>
        <v>135.4444444444436</v>
      </c>
      <c r="O268" s="19">
        <f t="shared" si="71"/>
        <v>147.22222222222342</v>
      </c>
      <c r="P268" s="19">
        <f t="shared" si="71"/>
        <v>154.58333333333243</v>
      </c>
      <c r="Q268" s="20">
        <f t="shared" si="71"/>
        <v>128.08333333333459</v>
      </c>
      <c r="R268" s="20">
        <f t="shared" si="71"/>
        <v>139.86111111111171</v>
      </c>
      <c r="S268" s="20">
        <f t="shared" si="71"/>
        <v>147.22222222222342</v>
      </c>
      <c r="T268" s="21">
        <f t="shared" si="71"/>
        <v>120.72222222222288</v>
      </c>
      <c r="U268" s="21">
        <f t="shared" si="69"/>
        <v>132.5</v>
      </c>
      <c r="V268" s="21">
        <f t="shared" si="69"/>
        <v>139.86111111111171</v>
      </c>
      <c r="W268" s="22">
        <f t="shared" si="69"/>
        <v>113.36111111111117</v>
      </c>
      <c r="X268" s="22">
        <f t="shared" si="69"/>
        <v>125.13888888888829</v>
      </c>
      <c r="Y268" s="22">
        <f t="shared" si="69"/>
        <v>132.5</v>
      </c>
      <c r="Z268" s="23">
        <f t="shared" si="69"/>
        <v>105.99999999999946</v>
      </c>
      <c r="AA268" s="23">
        <f t="shared" si="69"/>
        <v>117.77777777777692</v>
      </c>
      <c r="AB268" s="23">
        <f t="shared" si="69"/>
        <v>125.13888888888829</v>
      </c>
      <c r="AC268" s="24">
        <f t="shared" si="69"/>
        <v>98.638888888888872</v>
      </c>
      <c r="AD268" s="24">
        <f t="shared" si="69"/>
        <v>110.41666666666696</v>
      </c>
      <c r="AE268" s="24">
        <f t="shared" si="69"/>
        <v>117.77777777777692</v>
      </c>
      <c r="AF268" s="25">
        <f t="shared" si="69"/>
        <v>91.277777777777388</v>
      </c>
      <c r="AG268" s="25">
        <f t="shared" si="69"/>
        <v>103.05555555555586</v>
      </c>
      <c r="AH268" s="25">
        <f t="shared" si="69"/>
        <v>110.41666666666696</v>
      </c>
      <c r="AI268" s="26">
        <f t="shared" si="69"/>
        <v>83.916666666667027</v>
      </c>
      <c r="AJ268" s="26">
        <f t="shared" si="69"/>
        <v>95.694444444444144</v>
      </c>
      <c r="AK268" s="26">
        <f t="shared" si="65"/>
        <v>103.05555555555586</v>
      </c>
    </row>
    <row r="269" spans="4:37" ht="20.100000000000001" customHeight="1">
      <c r="D269" s="27">
        <f t="shared" si="72"/>
        <v>0.73888888888888682</v>
      </c>
      <c r="E269" s="16">
        <f t="shared" si="71"/>
        <v>203.93333333333283</v>
      </c>
      <c r="F269" s="16">
        <f t="shared" si="71"/>
        <v>215.75555555555508</v>
      </c>
      <c r="G269" s="16">
        <f t="shared" si="71"/>
        <v>223.14444444444314</v>
      </c>
      <c r="H269" s="17">
        <f t="shared" si="71"/>
        <v>189.15555555555579</v>
      </c>
      <c r="I269" s="17">
        <f t="shared" si="71"/>
        <v>200.97777777777796</v>
      </c>
      <c r="J269" s="17">
        <f t="shared" si="71"/>
        <v>208.36666666666591</v>
      </c>
      <c r="K269" s="18">
        <f t="shared" si="71"/>
        <v>174.37777777777683</v>
      </c>
      <c r="L269" s="18">
        <f t="shared" si="71"/>
        <v>186.20000000000107</v>
      </c>
      <c r="M269" s="18">
        <f t="shared" si="71"/>
        <v>193.58888888888811</v>
      </c>
      <c r="N269" s="19">
        <f t="shared" si="71"/>
        <v>135.95555555555472</v>
      </c>
      <c r="O269" s="19">
        <f t="shared" si="71"/>
        <v>147.77777777777897</v>
      </c>
      <c r="P269" s="19">
        <f t="shared" si="71"/>
        <v>155.16666666666578</v>
      </c>
      <c r="Q269" s="20">
        <f t="shared" si="71"/>
        <v>128.56666666666791</v>
      </c>
      <c r="R269" s="20">
        <f t="shared" si="71"/>
        <v>140.38888888888948</v>
      </c>
      <c r="S269" s="20">
        <f t="shared" si="71"/>
        <v>147.77777777777897</v>
      </c>
      <c r="T269" s="21">
        <f t="shared" si="71"/>
        <v>121.17777777777843</v>
      </c>
      <c r="U269" s="21">
        <f t="shared" si="69"/>
        <v>133</v>
      </c>
      <c r="V269" s="21">
        <f t="shared" si="69"/>
        <v>140.38888888888948</v>
      </c>
      <c r="W269" s="22">
        <f t="shared" si="69"/>
        <v>113.78888888888895</v>
      </c>
      <c r="X269" s="22">
        <f t="shared" si="69"/>
        <v>125.61111111111052</v>
      </c>
      <c r="Y269" s="22">
        <f t="shared" si="69"/>
        <v>133</v>
      </c>
      <c r="Z269" s="23">
        <f t="shared" si="69"/>
        <v>106.39999999999947</v>
      </c>
      <c r="AA269" s="23">
        <f t="shared" si="69"/>
        <v>118.22222222222136</v>
      </c>
      <c r="AB269" s="23">
        <f t="shared" si="69"/>
        <v>125.61111111111052</v>
      </c>
      <c r="AC269" s="24">
        <f t="shared" si="69"/>
        <v>99.011111111111092</v>
      </c>
      <c r="AD269" s="24">
        <f t="shared" si="69"/>
        <v>110.83333333333363</v>
      </c>
      <c r="AE269" s="24">
        <f t="shared" si="69"/>
        <v>118.22222222222136</v>
      </c>
      <c r="AF269" s="25">
        <f t="shared" si="69"/>
        <v>91.622222222221836</v>
      </c>
      <c r="AG269" s="25">
        <f t="shared" si="69"/>
        <v>103.44444444444474</v>
      </c>
      <c r="AH269" s="25">
        <f t="shared" si="69"/>
        <v>110.83333333333363</v>
      </c>
      <c r="AI269" s="26">
        <f t="shared" si="69"/>
        <v>84.23333333333369</v>
      </c>
      <c r="AJ269" s="26">
        <f t="shared" si="69"/>
        <v>96.055555555555259</v>
      </c>
      <c r="AK269" s="26">
        <f t="shared" si="65"/>
        <v>103.44444444444474</v>
      </c>
    </row>
    <row r="270" spans="4:37" ht="20.100000000000001" customHeight="1">
      <c r="D270" s="27">
        <f t="shared" si="72"/>
        <v>0.74166666666666459</v>
      </c>
      <c r="E270" s="16">
        <f t="shared" si="71"/>
        <v>204.69999999999951</v>
      </c>
      <c r="F270" s="16">
        <f t="shared" si="71"/>
        <v>216.56666666666618</v>
      </c>
      <c r="G270" s="16">
        <f t="shared" si="71"/>
        <v>223.98333333333204</v>
      </c>
      <c r="H270" s="17">
        <f t="shared" si="71"/>
        <v>189.8666666666669</v>
      </c>
      <c r="I270" s="17">
        <f t="shared" si="71"/>
        <v>201.73333333333352</v>
      </c>
      <c r="J270" s="17">
        <f t="shared" si="71"/>
        <v>209.14999999999924</v>
      </c>
      <c r="K270" s="18">
        <f t="shared" si="71"/>
        <v>175.03333333333239</v>
      </c>
      <c r="L270" s="18">
        <f t="shared" si="71"/>
        <v>186.90000000000106</v>
      </c>
      <c r="M270" s="18">
        <f t="shared" si="71"/>
        <v>194.3166666666659</v>
      </c>
      <c r="N270" s="19">
        <f t="shared" si="71"/>
        <v>136.46666666666584</v>
      </c>
      <c r="O270" s="19">
        <f t="shared" si="71"/>
        <v>148.33333333333451</v>
      </c>
      <c r="P270" s="19">
        <f t="shared" si="71"/>
        <v>155.74999999999912</v>
      </c>
      <c r="Q270" s="20">
        <f t="shared" si="71"/>
        <v>129.05000000000123</v>
      </c>
      <c r="R270" s="20">
        <f t="shared" si="71"/>
        <v>140.91666666666725</v>
      </c>
      <c r="S270" s="20">
        <f t="shared" si="71"/>
        <v>148.33333333333451</v>
      </c>
      <c r="T270" s="21">
        <f t="shared" si="71"/>
        <v>121.63333333333398</v>
      </c>
      <c r="U270" s="21">
        <f t="shared" si="69"/>
        <v>133.5</v>
      </c>
      <c r="V270" s="21">
        <f t="shared" si="69"/>
        <v>140.91666666666725</v>
      </c>
      <c r="W270" s="22">
        <f t="shared" si="69"/>
        <v>114.21666666666673</v>
      </c>
      <c r="X270" s="22">
        <f t="shared" si="69"/>
        <v>126.08333333333275</v>
      </c>
      <c r="Y270" s="22">
        <f t="shared" si="69"/>
        <v>133.5</v>
      </c>
      <c r="Z270" s="23">
        <f t="shared" si="69"/>
        <v>106.79999999999947</v>
      </c>
      <c r="AA270" s="23">
        <f t="shared" si="69"/>
        <v>118.6666666666658</v>
      </c>
      <c r="AB270" s="23">
        <f t="shared" si="69"/>
        <v>126.08333333333275</v>
      </c>
      <c r="AC270" s="24">
        <f t="shared" si="69"/>
        <v>99.383333333333312</v>
      </c>
      <c r="AD270" s="24">
        <f t="shared" si="69"/>
        <v>111.2500000000003</v>
      </c>
      <c r="AE270" s="24">
        <f t="shared" si="69"/>
        <v>118.6666666666658</v>
      </c>
      <c r="AF270" s="25">
        <f t="shared" si="69"/>
        <v>91.966666666666285</v>
      </c>
      <c r="AG270" s="25">
        <f t="shared" si="69"/>
        <v>103.83333333333363</v>
      </c>
      <c r="AH270" s="25">
        <f t="shared" si="69"/>
        <v>111.2500000000003</v>
      </c>
      <c r="AI270" s="26">
        <f t="shared" si="69"/>
        <v>84.550000000000352</v>
      </c>
      <c r="AJ270" s="26">
        <f t="shared" si="69"/>
        <v>96.416666666666373</v>
      </c>
      <c r="AK270" s="26">
        <f t="shared" si="65"/>
        <v>103.83333333333363</v>
      </c>
    </row>
    <row r="271" spans="4:37" ht="20.100000000000001" customHeight="1">
      <c r="D271" s="27">
        <f t="shared" si="72"/>
        <v>0.74444444444444235</v>
      </c>
      <c r="E271" s="16">
        <f t="shared" si="71"/>
        <v>205.46666666666619</v>
      </c>
      <c r="F271" s="16">
        <f t="shared" si="71"/>
        <v>217.37777777777728</v>
      </c>
      <c r="G271" s="16">
        <f t="shared" si="71"/>
        <v>224.82222222222094</v>
      </c>
      <c r="H271" s="17">
        <f t="shared" si="71"/>
        <v>190.57777777777801</v>
      </c>
      <c r="I271" s="17">
        <f t="shared" si="71"/>
        <v>202.48888888888908</v>
      </c>
      <c r="J271" s="17">
        <f t="shared" si="71"/>
        <v>209.93333333333257</v>
      </c>
      <c r="K271" s="18">
        <f t="shared" si="71"/>
        <v>175.68888888888796</v>
      </c>
      <c r="L271" s="18">
        <f t="shared" si="71"/>
        <v>187.60000000000105</v>
      </c>
      <c r="M271" s="18">
        <f t="shared" si="71"/>
        <v>195.04444444444368</v>
      </c>
      <c r="N271" s="19">
        <f t="shared" si="71"/>
        <v>136.97777777777696</v>
      </c>
      <c r="O271" s="19">
        <f t="shared" si="71"/>
        <v>148.88888888889005</v>
      </c>
      <c r="P271" s="19">
        <f t="shared" si="71"/>
        <v>156.33333333333246</v>
      </c>
      <c r="Q271" s="20">
        <f t="shared" si="71"/>
        <v>129.53333333333455</v>
      </c>
      <c r="R271" s="20">
        <f t="shared" si="71"/>
        <v>141.44444444444503</v>
      </c>
      <c r="S271" s="20">
        <f t="shared" si="71"/>
        <v>148.88888888889005</v>
      </c>
      <c r="T271" s="21">
        <f t="shared" si="71"/>
        <v>122.08888888888953</v>
      </c>
      <c r="U271" s="21">
        <f t="shared" si="69"/>
        <v>134</v>
      </c>
      <c r="V271" s="21">
        <f t="shared" si="69"/>
        <v>141.44444444444503</v>
      </c>
      <c r="W271" s="22">
        <f t="shared" si="69"/>
        <v>114.6444444444445</v>
      </c>
      <c r="X271" s="22">
        <f t="shared" si="69"/>
        <v>126.55555555555497</v>
      </c>
      <c r="Y271" s="22">
        <f t="shared" si="69"/>
        <v>134</v>
      </c>
      <c r="Z271" s="23">
        <f t="shared" si="69"/>
        <v>107.19999999999948</v>
      </c>
      <c r="AA271" s="23">
        <f t="shared" si="69"/>
        <v>119.11111111111025</v>
      </c>
      <c r="AB271" s="23">
        <f t="shared" si="69"/>
        <v>126.55555555555497</v>
      </c>
      <c r="AC271" s="24">
        <f t="shared" si="69"/>
        <v>99.755555555555532</v>
      </c>
      <c r="AD271" s="24">
        <f t="shared" si="69"/>
        <v>111.66666666666697</v>
      </c>
      <c r="AE271" s="24">
        <f t="shared" si="69"/>
        <v>119.11111111111025</v>
      </c>
      <c r="AF271" s="25">
        <f t="shared" si="69"/>
        <v>92.311111111110733</v>
      </c>
      <c r="AG271" s="25">
        <f t="shared" si="69"/>
        <v>104.22222222222251</v>
      </c>
      <c r="AH271" s="25">
        <f t="shared" si="69"/>
        <v>111.66666666666697</v>
      </c>
      <c r="AI271" s="26">
        <f t="shared" si="69"/>
        <v>84.866666666667015</v>
      </c>
      <c r="AJ271" s="26">
        <f t="shared" si="69"/>
        <v>96.777777777777487</v>
      </c>
      <c r="AK271" s="26">
        <f t="shared" si="65"/>
        <v>104.22222222222251</v>
      </c>
    </row>
    <row r="272" spans="4:37" ht="20.100000000000001" customHeight="1">
      <c r="D272" s="27">
        <f t="shared" si="72"/>
        <v>0.74722222222222012</v>
      </c>
      <c r="E272" s="16">
        <f t="shared" si="71"/>
        <v>206.23333333333287</v>
      </c>
      <c r="F272" s="16">
        <f t="shared" si="71"/>
        <v>218.18888888888839</v>
      </c>
      <c r="G272" s="16">
        <f t="shared" si="71"/>
        <v>225.66111111110985</v>
      </c>
      <c r="H272" s="17">
        <f t="shared" si="71"/>
        <v>191.28888888888912</v>
      </c>
      <c r="I272" s="17">
        <f t="shared" si="71"/>
        <v>203.24444444444464</v>
      </c>
      <c r="J272" s="17">
        <f t="shared" si="71"/>
        <v>210.7166666666659</v>
      </c>
      <c r="K272" s="18">
        <f t="shared" si="71"/>
        <v>176.34444444444352</v>
      </c>
      <c r="L272" s="18">
        <f t="shared" si="71"/>
        <v>188.30000000000103</v>
      </c>
      <c r="M272" s="18">
        <f t="shared" si="71"/>
        <v>195.77222222222147</v>
      </c>
      <c r="N272" s="19">
        <f t="shared" si="71"/>
        <v>137.48888888888808</v>
      </c>
      <c r="O272" s="19">
        <f t="shared" si="71"/>
        <v>149.44444444444559</v>
      </c>
      <c r="P272" s="19">
        <f t="shared" si="71"/>
        <v>156.9166666666658</v>
      </c>
      <c r="Q272" s="20">
        <f t="shared" si="71"/>
        <v>130.01666666666787</v>
      </c>
      <c r="R272" s="20">
        <f t="shared" si="71"/>
        <v>141.9722222222228</v>
      </c>
      <c r="S272" s="20">
        <f t="shared" si="71"/>
        <v>149.44444444444559</v>
      </c>
      <c r="T272" s="21">
        <f t="shared" si="71"/>
        <v>122.54444444444508</v>
      </c>
      <c r="U272" s="21">
        <f t="shared" si="69"/>
        <v>134.5</v>
      </c>
      <c r="V272" s="21">
        <f t="shared" si="69"/>
        <v>141.9722222222228</v>
      </c>
      <c r="W272" s="22">
        <f t="shared" si="69"/>
        <v>115.07222222222228</v>
      </c>
      <c r="X272" s="22">
        <f t="shared" si="69"/>
        <v>127.0277777777772</v>
      </c>
      <c r="Y272" s="22">
        <f t="shared" si="69"/>
        <v>134.5</v>
      </c>
      <c r="Z272" s="23">
        <f t="shared" si="69"/>
        <v>107.59999999999948</v>
      </c>
      <c r="AA272" s="23">
        <f t="shared" si="69"/>
        <v>119.55555555555469</v>
      </c>
      <c r="AB272" s="23">
        <f t="shared" si="69"/>
        <v>127.0277777777772</v>
      </c>
      <c r="AC272" s="24">
        <f t="shared" si="69"/>
        <v>100.12777777777775</v>
      </c>
      <c r="AD272" s="24">
        <f t="shared" si="69"/>
        <v>112.08333333333364</v>
      </c>
      <c r="AE272" s="24">
        <f t="shared" si="69"/>
        <v>119.55555555555469</v>
      </c>
      <c r="AF272" s="25">
        <f t="shared" si="69"/>
        <v>92.655555555555182</v>
      </c>
      <c r="AG272" s="25">
        <f t="shared" si="69"/>
        <v>104.6111111111114</v>
      </c>
      <c r="AH272" s="25">
        <f t="shared" si="69"/>
        <v>112.08333333333364</v>
      </c>
      <c r="AI272" s="26">
        <f t="shared" si="69"/>
        <v>85.183333333333678</v>
      </c>
      <c r="AJ272" s="26">
        <f t="shared" si="69"/>
        <v>97.138888888888602</v>
      </c>
      <c r="AK272" s="26">
        <f t="shared" si="65"/>
        <v>104.6111111111114</v>
      </c>
    </row>
    <row r="273" spans="4:37" ht="20.100000000000001" customHeight="1">
      <c r="D273" s="27">
        <f t="shared" si="72"/>
        <v>0.74999999999999789</v>
      </c>
      <c r="E273" s="16">
        <f t="shared" si="71"/>
        <v>206.99999999999955</v>
      </c>
      <c r="F273" s="16">
        <f t="shared" si="71"/>
        <v>218.99999999999949</v>
      </c>
      <c r="G273" s="16">
        <f t="shared" si="71"/>
        <v>226.49999999999875</v>
      </c>
      <c r="H273" s="17">
        <f t="shared" si="71"/>
        <v>192.00000000000023</v>
      </c>
      <c r="I273" s="17">
        <f t="shared" si="71"/>
        <v>204.0000000000002</v>
      </c>
      <c r="J273" s="17">
        <f t="shared" si="71"/>
        <v>211.49999999999923</v>
      </c>
      <c r="K273" s="18">
        <f t="shared" si="71"/>
        <v>176.99999999999909</v>
      </c>
      <c r="L273" s="18">
        <f t="shared" si="71"/>
        <v>189.00000000000102</v>
      </c>
      <c r="M273" s="18">
        <f t="shared" si="71"/>
        <v>196.49999999999926</v>
      </c>
      <c r="N273" s="19">
        <f t="shared" si="71"/>
        <v>137.9999999999992</v>
      </c>
      <c r="O273" s="19">
        <f t="shared" si="71"/>
        <v>150.00000000000114</v>
      </c>
      <c r="P273" s="19">
        <f t="shared" si="71"/>
        <v>157.49999999999915</v>
      </c>
      <c r="Q273" s="20">
        <f t="shared" si="71"/>
        <v>130.50000000000119</v>
      </c>
      <c r="R273" s="20">
        <f t="shared" si="71"/>
        <v>142.50000000000057</v>
      </c>
      <c r="S273" s="20">
        <f t="shared" si="71"/>
        <v>150.00000000000114</v>
      </c>
      <c r="T273" s="21">
        <f t="shared" si="71"/>
        <v>123.00000000000063</v>
      </c>
      <c r="U273" s="21">
        <f t="shared" si="69"/>
        <v>135</v>
      </c>
      <c r="V273" s="21">
        <f t="shared" si="69"/>
        <v>142.50000000000057</v>
      </c>
      <c r="W273" s="22">
        <f t="shared" si="69"/>
        <v>115.50000000000006</v>
      </c>
      <c r="X273" s="22">
        <f t="shared" si="69"/>
        <v>127.49999999999943</v>
      </c>
      <c r="Y273" s="22">
        <f t="shared" si="69"/>
        <v>135</v>
      </c>
      <c r="Z273" s="23">
        <f t="shared" si="69"/>
        <v>107.99999999999949</v>
      </c>
      <c r="AA273" s="23">
        <f t="shared" si="69"/>
        <v>119.99999999999913</v>
      </c>
      <c r="AB273" s="23">
        <f t="shared" si="69"/>
        <v>127.49999999999943</v>
      </c>
      <c r="AC273" s="24">
        <f t="shared" si="69"/>
        <v>100.49999999999997</v>
      </c>
      <c r="AD273" s="24">
        <f t="shared" si="69"/>
        <v>112.50000000000031</v>
      </c>
      <c r="AE273" s="24">
        <f t="shared" si="69"/>
        <v>119.99999999999913</v>
      </c>
      <c r="AF273" s="25">
        <f t="shared" si="69"/>
        <v>92.999999999999631</v>
      </c>
      <c r="AG273" s="25">
        <f t="shared" si="69"/>
        <v>105.00000000000028</v>
      </c>
      <c r="AH273" s="25">
        <f t="shared" si="69"/>
        <v>112.50000000000031</v>
      </c>
      <c r="AI273" s="26">
        <f t="shared" si="69"/>
        <v>85.500000000000341</v>
      </c>
      <c r="AJ273" s="26">
        <f t="shared" ref="AJ273:AJ281" si="73">AJ274-(AJ$363/360)</f>
        <v>97.499999999999716</v>
      </c>
      <c r="AK273" s="26">
        <f t="shared" si="65"/>
        <v>105.00000000000028</v>
      </c>
    </row>
    <row r="274" spans="4:37" ht="20.100000000000001" customHeight="1">
      <c r="D274" s="27">
        <f t="shared" si="72"/>
        <v>0.75277777777777566</v>
      </c>
      <c r="E274" s="16">
        <f t="shared" si="71"/>
        <v>207.76666666666623</v>
      </c>
      <c r="F274" s="16">
        <f t="shared" si="71"/>
        <v>219.81111111111059</v>
      </c>
      <c r="G274" s="16">
        <f t="shared" si="71"/>
        <v>227.33888888888765</v>
      </c>
      <c r="H274" s="17">
        <f t="shared" si="71"/>
        <v>192.71111111111134</v>
      </c>
      <c r="I274" s="17">
        <f t="shared" si="71"/>
        <v>204.75555555555576</v>
      </c>
      <c r="J274" s="17">
        <f t="shared" si="71"/>
        <v>212.28333333333256</v>
      </c>
      <c r="K274" s="18">
        <f t="shared" si="71"/>
        <v>177.65555555555466</v>
      </c>
      <c r="L274" s="18">
        <f t="shared" si="71"/>
        <v>189.70000000000101</v>
      </c>
      <c r="M274" s="18">
        <f t="shared" si="71"/>
        <v>197.22777777777705</v>
      </c>
      <c r="N274" s="19">
        <f t="shared" si="71"/>
        <v>138.51111111111032</v>
      </c>
      <c r="O274" s="19">
        <f t="shared" si="71"/>
        <v>150.55555555555668</v>
      </c>
      <c r="P274" s="19">
        <f t="shared" si="71"/>
        <v>158.08333333333249</v>
      </c>
      <c r="Q274" s="20">
        <f t="shared" si="71"/>
        <v>130.98333333333451</v>
      </c>
      <c r="R274" s="20">
        <f t="shared" si="71"/>
        <v>143.02777777777834</v>
      </c>
      <c r="S274" s="20">
        <f t="shared" si="71"/>
        <v>150.55555555555668</v>
      </c>
      <c r="T274" s="21">
        <f t="shared" si="71"/>
        <v>123.45555555555617</v>
      </c>
      <c r="U274" s="21">
        <f t="shared" ref="U274:AI274" si="74">U275-(U$363/360)</f>
        <v>135.5</v>
      </c>
      <c r="V274" s="21">
        <f t="shared" si="74"/>
        <v>143.02777777777834</v>
      </c>
      <c r="W274" s="22">
        <f t="shared" si="74"/>
        <v>115.92777777777783</v>
      </c>
      <c r="X274" s="22">
        <f t="shared" si="74"/>
        <v>127.97222222222166</v>
      </c>
      <c r="Y274" s="22">
        <f t="shared" si="74"/>
        <v>135.5</v>
      </c>
      <c r="Z274" s="23">
        <f t="shared" si="74"/>
        <v>108.39999999999949</v>
      </c>
      <c r="AA274" s="23">
        <f t="shared" si="74"/>
        <v>120.44444444444358</v>
      </c>
      <c r="AB274" s="23">
        <f t="shared" si="74"/>
        <v>127.97222222222166</v>
      </c>
      <c r="AC274" s="24">
        <f t="shared" si="74"/>
        <v>100.87222222222219</v>
      </c>
      <c r="AD274" s="24">
        <f t="shared" si="74"/>
        <v>112.91666666666698</v>
      </c>
      <c r="AE274" s="24">
        <f t="shared" si="74"/>
        <v>120.44444444444358</v>
      </c>
      <c r="AF274" s="25">
        <f t="shared" si="74"/>
        <v>93.344444444444079</v>
      </c>
      <c r="AG274" s="25">
        <f t="shared" si="74"/>
        <v>105.38888888888917</v>
      </c>
      <c r="AH274" s="25">
        <f t="shared" si="74"/>
        <v>112.91666666666698</v>
      </c>
      <c r="AI274" s="26">
        <f t="shared" si="74"/>
        <v>85.816666666667004</v>
      </c>
      <c r="AJ274" s="26">
        <f t="shared" si="73"/>
        <v>97.86111111111083</v>
      </c>
      <c r="AK274" s="26">
        <f t="shared" si="65"/>
        <v>105.38888888888917</v>
      </c>
    </row>
    <row r="275" spans="4:37" ht="20.100000000000001" customHeight="1">
      <c r="D275" s="27">
        <f t="shared" si="72"/>
        <v>0.75555555555555343</v>
      </c>
      <c r="E275" s="16">
        <f t="shared" si="71"/>
        <v>208.53333333333291</v>
      </c>
      <c r="F275" s="16">
        <f t="shared" si="71"/>
        <v>220.62222222222169</v>
      </c>
      <c r="G275" s="16">
        <f t="shared" si="71"/>
        <v>228.17777777777656</v>
      </c>
      <c r="H275" s="17">
        <f t="shared" si="71"/>
        <v>193.42222222222244</v>
      </c>
      <c r="I275" s="17">
        <f t="shared" si="71"/>
        <v>205.51111111111132</v>
      </c>
      <c r="J275" s="17">
        <f t="shared" si="71"/>
        <v>213.0666666666659</v>
      </c>
      <c r="K275" s="18">
        <f t="shared" si="71"/>
        <v>178.31111111111022</v>
      </c>
      <c r="L275" s="18">
        <f t="shared" si="71"/>
        <v>190.400000000001</v>
      </c>
      <c r="M275" s="18">
        <f t="shared" si="71"/>
        <v>197.95555555555484</v>
      </c>
      <c r="N275" s="19">
        <f t="shared" si="71"/>
        <v>139.02222222222144</v>
      </c>
      <c r="O275" s="19">
        <f t="shared" si="71"/>
        <v>151.11111111111222</v>
      </c>
      <c r="P275" s="19">
        <f t="shared" si="71"/>
        <v>158.66666666666583</v>
      </c>
      <c r="Q275" s="20">
        <f t="shared" si="71"/>
        <v>131.46666666666783</v>
      </c>
      <c r="R275" s="20">
        <f t="shared" si="71"/>
        <v>143.55555555555611</v>
      </c>
      <c r="S275" s="20">
        <f t="shared" si="71"/>
        <v>151.11111111111222</v>
      </c>
      <c r="T275" s="21">
        <f t="shared" ref="T275:AI290" si="75">T276-(T$363/360)</f>
        <v>123.91111111111172</v>
      </c>
      <c r="U275" s="21">
        <f t="shared" si="75"/>
        <v>136</v>
      </c>
      <c r="V275" s="21">
        <f t="shared" si="75"/>
        <v>143.55555555555611</v>
      </c>
      <c r="W275" s="22">
        <f t="shared" si="75"/>
        <v>116.35555555555561</v>
      </c>
      <c r="X275" s="22">
        <f t="shared" si="75"/>
        <v>128.44444444444389</v>
      </c>
      <c r="Y275" s="22">
        <f t="shared" si="75"/>
        <v>136</v>
      </c>
      <c r="Z275" s="23">
        <f t="shared" si="75"/>
        <v>108.7999999999995</v>
      </c>
      <c r="AA275" s="23">
        <f t="shared" si="75"/>
        <v>120.88888888888802</v>
      </c>
      <c r="AB275" s="23">
        <f t="shared" si="75"/>
        <v>128.44444444444389</v>
      </c>
      <c r="AC275" s="24">
        <f t="shared" si="75"/>
        <v>101.24444444444441</v>
      </c>
      <c r="AD275" s="24">
        <f t="shared" si="75"/>
        <v>113.33333333333366</v>
      </c>
      <c r="AE275" s="24">
        <f t="shared" si="75"/>
        <v>120.88888888888802</v>
      </c>
      <c r="AF275" s="25">
        <f t="shared" si="75"/>
        <v>93.688888888888528</v>
      </c>
      <c r="AG275" s="25">
        <f t="shared" si="75"/>
        <v>105.77777777777806</v>
      </c>
      <c r="AH275" s="25">
        <f t="shared" si="75"/>
        <v>113.33333333333366</v>
      </c>
      <c r="AI275" s="26">
        <f t="shared" si="75"/>
        <v>86.133333333333667</v>
      </c>
      <c r="AJ275" s="26">
        <f t="shared" si="73"/>
        <v>98.222222222221944</v>
      </c>
      <c r="AK275" s="26">
        <f t="shared" si="65"/>
        <v>105.77777777777806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209.29999999999959</v>
      </c>
      <c r="F276" s="16">
        <f t="shared" si="76"/>
        <v>221.4333333333328</v>
      </c>
      <c r="G276" s="16">
        <f t="shared" si="76"/>
        <v>229.01666666666546</v>
      </c>
      <c r="H276" s="17">
        <f t="shared" si="76"/>
        <v>194.13333333333355</v>
      </c>
      <c r="I276" s="17">
        <f t="shared" si="76"/>
        <v>206.26666666666688</v>
      </c>
      <c r="J276" s="17">
        <f t="shared" si="76"/>
        <v>213.84999999999923</v>
      </c>
      <c r="K276" s="18">
        <f t="shared" si="76"/>
        <v>178.96666666666579</v>
      </c>
      <c r="L276" s="18">
        <f t="shared" si="76"/>
        <v>191.10000000000099</v>
      </c>
      <c r="M276" s="18">
        <f t="shared" si="76"/>
        <v>198.68333333333263</v>
      </c>
      <c r="N276" s="19">
        <f t="shared" si="76"/>
        <v>139.53333333333256</v>
      </c>
      <c r="O276" s="19">
        <f t="shared" si="76"/>
        <v>151.66666666666777</v>
      </c>
      <c r="P276" s="19">
        <f t="shared" si="76"/>
        <v>159.24999999999918</v>
      </c>
      <c r="Q276" s="20">
        <f t="shared" si="76"/>
        <v>131.95000000000115</v>
      </c>
      <c r="R276" s="20">
        <f t="shared" si="76"/>
        <v>144.08333333333388</v>
      </c>
      <c r="S276" s="20">
        <f t="shared" si="76"/>
        <v>151.66666666666777</v>
      </c>
      <c r="T276" s="21">
        <f t="shared" si="76"/>
        <v>124.36666666666727</v>
      </c>
      <c r="U276" s="21">
        <f t="shared" si="75"/>
        <v>136.5</v>
      </c>
      <c r="V276" s="21">
        <f t="shared" si="75"/>
        <v>144.08333333333388</v>
      </c>
      <c r="W276" s="22">
        <f t="shared" si="75"/>
        <v>116.78333333333339</v>
      </c>
      <c r="X276" s="22">
        <f t="shared" si="75"/>
        <v>128.91666666666612</v>
      </c>
      <c r="Y276" s="22">
        <f t="shared" si="75"/>
        <v>136.5</v>
      </c>
      <c r="Z276" s="23">
        <f t="shared" si="75"/>
        <v>109.19999999999951</v>
      </c>
      <c r="AA276" s="23">
        <f t="shared" si="75"/>
        <v>121.33333333333246</v>
      </c>
      <c r="AB276" s="23">
        <f t="shared" si="75"/>
        <v>128.91666666666612</v>
      </c>
      <c r="AC276" s="24">
        <f t="shared" si="75"/>
        <v>101.61666666666663</v>
      </c>
      <c r="AD276" s="24">
        <f t="shared" si="75"/>
        <v>113.75000000000033</v>
      </c>
      <c r="AE276" s="24">
        <f t="shared" si="75"/>
        <v>121.33333333333246</v>
      </c>
      <c r="AF276" s="25">
        <f t="shared" si="75"/>
        <v>94.033333333332976</v>
      </c>
      <c r="AG276" s="25">
        <f t="shared" si="75"/>
        <v>106.16666666666694</v>
      </c>
      <c r="AH276" s="25">
        <f t="shared" si="75"/>
        <v>113.75000000000033</v>
      </c>
      <c r="AI276" s="26">
        <f t="shared" si="75"/>
        <v>86.45000000000033</v>
      </c>
      <c r="AJ276" s="26">
        <f t="shared" si="73"/>
        <v>98.583333333333059</v>
      </c>
      <c r="AK276" s="26">
        <f t="shared" si="65"/>
        <v>106.16666666666694</v>
      </c>
    </row>
    <row r="277" spans="4:37" ht="20.100000000000001" customHeight="1">
      <c r="D277" s="27">
        <f t="shared" si="72"/>
        <v>0.76111111111110896</v>
      </c>
      <c r="E277" s="16">
        <f t="shared" si="76"/>
        <v>210.06666666666626</v>
      </c>
      <c r="F277" s="16">
        <f t="shared" si="76"/>
        <v>222.2444444444439</v>
      </c>
      <c r="G277" s="16">
        <f t="shared" si="76"/>
        <v>229.85555555555436</v>
      </c>
      <c r="H277" s="17">
        <f t="shared" si="76"/>
        <v>194.84444444444466</v>
      </c>
      <c r="I277" s="17">
        <f t="shared" si="76"/>
        <v>207.02222222222244</v>
      </c>
      <c r="J277" s="17">
        <f t="shared" si="76"/>
        <v>214.63333333333256</v>
      </c>
      <c r="K277" s="18">
        <f t="shared" si="76"/>
        <v>179.62222222222135</v>
      </c>
      <c r="L277" s="18">
        <f t="shared" si="76"/>
        <v>191.80000000000098</v>
      </c>
      <c r="M277" s="18">
        <f t="shared" si="76"/>
        <v>199.41111111111042</v>
      </c>
      <c r="N277" s="19">
        <f t="shared" si="76"/>
        <v>140.04444444444368</v>
      </c>
      <c r="O277" s="19">
        <f t="shared" si="76"/>
        <v>152.22222222222331</v>
      </c>
      <c r="P277" s="19">
        <f t="shared" si="76"/>
        <v>159.83333333333252</v>
      </c>
      <c r="Q277" s="20">
        <f t="shared" si="76"/>
        <v>132.43333333333447</v>
      </c>
      <c r="R277" s="20">
        <f t="shared" si="76"/>
        <v>144.61111111111165</v>
      </c>
      <c r="S277" s="20">
        <f t="shared" si="76"/>
        <v>152.22222222222331</v>
      </c>
      <c r="T277" s="21">
        <f t="shared" si="76"/>
        <v>124.82222222222282</v>
      </c>
      <c r="U277" s="21">
        <f t="shared" si="75"/>
        <v>137</v>
      </c>
      <c r="V277" s="21">
        <f t="shared" si="75"/>
        <v>144.61111111111165</v>
      </c>
      <c r="W277" s="22">
        <f t="shared" si="75"/>
        <v>117.21111111111117</v>
      </c>
      <c r="X277" s="22">
        <f t="shared" si="75"/>
        <v>129.38888888888835</v>
      </c>
      <c r="Y277" s="22">
        <f t="shared" si="75"/>
        <v>137</v>
      </c>
      <c r="Z277" s="23">
        <f t="shared" si="75"/>
        <v>109.59999999999951</v>
      </c>
      <c r="AA277" s="23">
        <f t="shared" si="75"/>
        <v>121.7777777777769</v>
      </c>
      <c r="AB277" s="23">
        <f t="shared" si="75"/>
        <v>129.38888888888835</v>
      </c>
      <c r="AC277" s="24">
        <f t="shared" si="75"/>
        <v>101.98888888888885</v>
      </c>
      <c r="AD277" s="24">
        <f t="shared" si="75"/>
        <v>114.166666666667</v>
      </c>
      <c r="AE277" s="24">
        <f t="shared" si="75"/>
        <v>121.7777777777769</v>
      </c>
      <c r="AF277" s="25">
        <f t="shared" si="75"/>
        <v>94.377777777777425</v>
      </c>
      <c r="AG277" s="25">
        <f t="shared" si="75"/>
        <v>106.55555555555583</v>
      </c>
      <c r="AH277" s="25">
        <f t="shared" si="75"/>
        <v>114.166666666667</v>
      </c>
      <c r="AI277" s="26">
        <f t="shared" si="75"/>
        <v>86.766666666666993</v>
      </c>
      <c r="AJ277" s="26">
        <f t="shared" si="73"/>
        <v>98.944444444444173</v>
      </c>
      <c r="AK277" s="26">
        <f t="shared" ref="AJ277:AK299" si="77">AK278-(AK$363/360)</f>
        <v>106.55555555555583</v>
      </c>
    </row>
    <row r="278" spans="4:37" ht="20.100000000000001" customHeight="1">
      <c r="D278" s="27">
        <f t="shared" si="72"/>
        <v>0.76388888888888673</v>
      </c>
      <c r="E278" s="16">
        <f t="shared" si="76"/>
        <v>210.83333333333294</v>
      </c>
      <c r="F278" s="16">
        <f t="shared" si="76"/>
        <v>223.055555555555</v>
      </c>
      <c r="G278" s="16">
        <f t="shared" si="76"/>
        <v>230.69444444444326</v>
      </c>
      <c r="H278" s="17">
        <f t="shared" si="76"/>
        <v>195.55555555555577</v>
      </c>
      <c r="I278" s="17">
        <f t="shared" si="76"/>
        <v>207.777777777778</v>
      </c>
      <c r="J278" s="17">
        <f t="shared" si="76"/>
        <v>215.41666666666589</v>
      </c>
      <c r="K278" s="18">
        <f t="shared" si="76"/>
        <v>180.27777777777692</v>
      </c>
      <c r="L278" s="18">
        <f t="shared" si="76"/>
        <v>192.50000000000097</v>
      </c>
      <c r="M278" s="18">
        <f t="shared" si="76"/>
        <v>200.1388888888882</v>
      </c>
      <c r="N278" s="19">
        <f t="shared" si="76"/>
        <v>140.5555555555548</v>
      </c>
      <c r="O278" s="19">
        <f t="shared" si="76"/>
        <v>152.77777777777885</v>
      </c>
      <c r="P278" s="19">
        <f t="shared" si="76"/>
        <v>160.41666666666586</v>
      </c>
      <c r="Q278" s="20">
        <f t="shared" si="76"/>
        <v>132.91666666666779</v>
      </c>
      <c r="R278" s="20">
        <f t="shared" si="76"/>
        <v>145.13888888888943</v>
      </c>
      <c r="S278" s="20">
        <f t="shared" si="76"/>
        <v>152.77777777777885</v>
      </c>
      <c r="T278" s="21">
        <f t="shared" si="76"/>
        <v>125.27777777777837</v>
      </c>
      <c r="U278" s="21">
        <f t="shared" si="75"/>
        <v>137.5</v>
      </c>
      <c r="V278" s="21">
        <f t="shared" si="75"/>
        <v>145.13888888888943</v>
      </c>
      <c r="W278" s="22">
        <f t="shared" si="75"/>
        <v>117.63888888888894</v>
      </c>
      <c r="X278" s="22">
        <f t="shared" si="75"/>
        <v>129.86111111111057</v>
      </c>
      <c r="Y278" s="22">
        <f t="shared" si="75"/>
        <v>137.5</v>
      </c>
      <c r="Z278" s="23">
        <f t="shared" si="75"/>
        <v>109.99999999999952</v>
      </c>
      <c r="AA278" s="23">
        <f t="shared" si="75"/>
        <v>122.22222222222135</v>
      </c>
      <c r="AB278" s="23">
        <f t="shared" si="75"/>
        <v>129.86111111111057</v>
      </c>
      <c r="AC278" s="24">
        <f t="shared" si="75"/>
        <v>102.36111111111107</v>
      </c>
      <c r="AD278" s="24">
        <f t="shared" si="75"/>
        <v>114.58333333333367</v>
      </c>
      <c r="AE278" s="24">
        <f t="shared" si="75"/>
        <v>122.22222222222135</v>
      </c>
      <c r="AF278" s="25">
        <f t="shared" si="75"/>
        <v>94.722222222221873</v>
      </c>
      <c r="AG278" s="25">
        <f t="shared" si="75"/>
        <v>106.94444444444471</v>
      </c>
      <c r="AH278" s="25">
        <f t="shared" si="75"/>
        <v>114.58333333333367</v>
      </c>
      <c r="AI278" s="26">
        <f t="shared" si="75"/>
        <v>87.083333333333655</v>
      </c>
      <c r="AJ278" s="26">
        <f t="shared" si="73"/>
        <v>99.305555555555287</v>
      </c>
      <c r="AK278" s="26">
        <f t="shared" si="77"/>
        <v>106.94444444444471</v>
      </c>
    </row>
    <row r="279" spans="4:37" ht="20.100000000000001" customHeight="1">
      <c r="D279" s="27">
        <f t="shared" si="72"/>
        <v>0.7666666666666645</v>
      </c>
      <c r="E279" s="16">
        <f t="shared" si="76"/>
        <v>211.59999999999962</v>
      </c>
      <c r="F279" s="16">
        <f t="shared" si="76"/>
        <v>223.86666666666611</v>
      </c>
      <c r="G279" s="16">
        <f t="shared" si="76"/>
        <v>231.53333333333217</v>
      </c>
      <c r="H279" s="17">
        <f t="shared" si="76"/>
        <v>196.26666666666688</v>
      </c>
      <c r="I279" s="17">
        <f t="shared" si="76"/>
        <v>208.53333333333356</v>
      </c>
      <c r="J279" s="17">
        <f t="shared" si="76"/>
        <v>216.19999999999922</v>
      </c>
      <c r="K279" s="18">
        <f t="shared" si="76"/>
        <v>180.93333333333248</v>
      </c>
      <c r="L279" s="18">
        <f t="shared" si="76"/>
        <v>193.20000000000095</v>
      </c>
      <c r="M279" s="18">
        <f t="shared" si="76"/>
        <v>200.86666666666599</v>
      </c>
      <c r="N279" s="19">
        <f t="shared" si="76"/>
        <v>141.06666666666592</v>
      </c>
      <c r="O279" s="19">
        <f t="shared" si="76"/>
        <v>153.33333333333439</v>
      </c>
      <c r="P279" s="19">
        <f t="shared" si="76"/>
        <v>160.9999999999992</v>
      </c>
      <c r="Q279" s="20">
        <f t="shared" si="76"/>
        <v>133.40000000000111</v>
      </c>
      <c r="R279" s="20">
        <f t="shared" si="76"/>
        <v>145.6666666666672</v>
      </c>
      <c r="S279" s="20">
        <f t="shared" si="76"/>
        <v>153.33333333333439</v>
      </c>
      <c r="T279" s="21">
        <f t="shared" si="76"/>
        <v>125.73333333333392</v>
      </c>
      <c r="U279" s="21">
        <f t="shared" si="75"/>
        <v>138</v>
      </c>
      <c r="V279" s="21">
        <f t="shared" si="75"/>
        <v>145.6666666666672</v>
      </c>
      <c r="W279" s="22">
        <f t="shared" si="75"/>
        <v>118.06666666666672</v>
      </c>
      <c r="X279" s="22">
        <f t="shared" si="75"/>
        <v>130.3333333333328</v>
      </c>
      <c r="Y279" s="22">
        <f t="shared" si="75"/>
        <v>138</v>
      </c>
      <c r="Z279" s="23">
        <f t="shared" si="75"/>
        <v>110.39999999999952</v>
      </c>
      <c r="AA279" s="23">
        <f t="shared" si="75"/>
        <v>122.66666666666579</v>
      </c>
      <c r="AB279" s="23">
        <f t="shared" si="75"/>
        <v>130.3333333333328</v>
      </c>
      <c r="AC279" s="24">
        <f t="shared" si="75"/>
        <v>102.73333333333329</v>
      </c>
      <c r="AD279" s="24">
        <f t="shared" si="75"/>
        <v>115.00000000000034</v>
      </c>
      <c r="AE279" s="24">
        <f t="shared" si="75"/>
        <v>122.66666666666579</v>
      </c>
      <c r="AF279" s="25">
        <f t="shared" si="75"/>
        <v>95.066666666666322</v>
      </c>
      <c r="AG279" s="25">
        <f t="shared" si="75"/>
        <v>107.3333333333336</v>
      </c>
      <c r="AH279" s="25">
        <f t="shared" si="75"/>
        <v>115.00000000000034</v>
      </c>
      <c r="AI279" s="26">
        <f t="shared" si="75"/>
        <v>87.400000000000318</v>
      </c>
      <c r="AJ279" s="26">
        <f t="shared" si="73"/>
        <v>99.666666666666401</v>
      </c>
      <c r="AK279" s="26">
        <f t="shared" si="77"/>
        <v>107.3333333333336</v>
      </c>
    </row>
    <row r="280" spans="4:37" ht="20.100000000000001" customHeight="1">
      <c r="D280" s="27">
        <f t="shared" si="72"/>
        <v>0.76944444444444227</v>
      </c>
      <c r="E280" s="16">
        <f t="shared" si="76"/>
        <v>212.3666666666663</v>
      </c>
      <c r="F280" s="16">
        <f t="shared" si="76"/>
        <v>224.67777777777721</v>
      </c>
      <c r="G280" s="16">
        <f t="shared" si="76"/>
        <v>232.37222222222107</v>
      </c>
      <c r="H280" s="17">
        <f t="shared" si="76"/>
        <v>196.97777777777799</v>
      </c>
      <c r="I280" s="17">
        <f t="shared" si="76"/>
        <v>209.28888888888912</v>
      </c>
      <c r="J280" s="17">
        <f t="shared" si="76"/>
        <v>216.98333333333255</v>
      </c>
      <c r="K280" s="18">
        <f t="shared" si="76"/>
        <v>181.58888888888805</v>
      </c>
      <c r="L280" s="18">
        <f t="shared" si="76"/>
        <v>193.90000000000094</v>
      </c>
      <c r="M280" s="18">
        <f t="shared" si="76"/>
        <v>201.59444444444378</v>
      </c>
      <c r="N280" s="19">
        <f t="shared" si="76"/>
        <v>141.57777777777704</v>
      </c>
      <c r="O280" s="19">
        <f t="shared" si="76"/>
        <v>153.88888888888994</v>
      </c>
      <c r="P280" s="19">
        <f t="shared" si="76"/>
        <v>161.58333333333255</v>
      </c>
      <c r="Q280" s="20">
        <f t="shared" si="76"/>
        <v>133.88333333333443</v>
      </c>
      <c r="R280" s="20">
        <f t="shared" si="76"/>
        <v>146.19444444444497</v>
      </c>
      <c r="S280" s="20">
        <f t="shared" si="76"/>
        <v>153.88888888888994</v>
      </c>
      <c r="T280" s="21">
        <f t="shared" si="76"/>
        <v>126.18888888888947</v>
      </c>
      <c r="U280" s="21">
        <f t="shared" si="75"/>
        <v>138.5</v>
      </c>
      <c r="V280" s="21">
        <f t="shared" si="75"/>
        <v>146.19444444444497</v>
      </c>
      <c r="W280" s="22">
        <f t="shared" si="75"/>
        <v>118.4944444444445</v>
      </c>
      <c r="X280" s="22">
        <f t="shared" si="75"/>
        <v>130.80555555555503</v>
      </c>
      <c r="Y280" s="22">
        <f t="shared" si="75"/>
        <v>138.5</v>
      </c>
      <c r="Z280" s="23">
        <f t="shared" si="75"/>
        <v>110.79999999999953</v>
      </c>
      <c r="AA280" s="23">
        <f t="shared" si="75"/>
        <v>123.11111111111023</v>
      </c>
      <c r="AB280" s="23">
        <f t="shared" si="75"/>
        <v>130.80555555555503</v>
      </c>
      <c r="AC280" s="24">
        <f t="shared" si="75"/>
        <v>103.10555555555551</v>
      </c>
      <c r="AD280" s="24">
        <f t="shared" si="75"/>
        <v>115.41666666666701</v>
      </c>
      <c r="AE280" s="24">
        <f t="shared" si="75"/>
        <v>123.11111111111023</v>
      </c>
      <c r="AF280" s="25">
        <f t="shared" si="75"/>
        <v>95.41111111111077</v>
      </c>
      <c r="AG280" s="25">
        <f t="shared" si="75"/>
        <v>107.72222222222248</v>
      </c>
      <c r="AH280" s="25">
        <f t="shared" si="75"/>
        <v>115.41666666666701</v>
      </c>
      <c r="AI280" s="26">
        <f t="shared" si="75"/>
        <v>87.716666666666981</v>
      </c>
      <c r="AJ280" s="26">
        <f t="shared" si="73"/>
        <v>100.02777777777752</v>
      </c>
      <c r="AK280" s="26">
        <f t="shared" si="77"/>
        <v>107.72222222222248</v>
      </c>
    </row>
    <row r="281" spans="4:37" ht="20.100000000000001" customHeight="1">
      <c r="D281" s="27">
        <f t="shared" si="72"/>
        <v>0.77222222222222003</v>
      </c>
      <c r="E281" s="16">
        <f t="shared" si="76"/>
        <v>213.13333333333298</v>
      </c>
      <c r="F281" s="16">
        <f t="shared" si="76"/>
        <v>225.48888888888831</v>
      </c>
      <c r="G281" s="16">
        <f t="shared" si="76"/>
        <v>233.21111111110997</v>
      </c>
      <c r="H281" s="17">
        <f t="shared" si="76"/>
        <v>197.6888888888891</v>
      </c>
      <c r="I281" s="17">
        <f t="shared" si="76"/>
        <v>210.04444444444468</v>
      </c>
      <c r="J281" s="17">
        <f t="shared" si="76"/>
        <v>217.76666666666588</v>
      </c>
      <c r="K281" s="18">
        <f t="shared" si="76"/>
        <v>182.24444444444362</v>
      </c>
      <c r="L281" s="18">
        <f t="shared" si="76"/>
        <v>194.60000000000093</v>
      </c>
      <c r="M281" s="18">
        <f t="shared" si="76"/>
        <v>202.32222222222157</v>
      </c>
      <c r="N281" s="19">
        <f t="shared" si="76"/>
        <v>142.08888888888816</v>
      </c>
      <c r="O281" s="19">
        <f t="shared" si="76"/>
        <v>154.44444444444548</v>
      </c>
      <c r="P281" s="19">
        <f t="shared" si="76"/>
        <v>162.16666666666589</v>
      </c>
      <c r="Q281" s="20">
        <f t="shared" si="76"/>
        <v>134.36666666666775</v>
      </c>
      <c r="R281" s="20">
        <f t="shared" si="76"/>
        <v>146.72222222222274</v>
      </c>
      <c r="S281" s="20">
        <f t="shared" si="76"/>
        <v>154.44444444444548</v>
      </c>
      <c r="T281" s="21">
        <f t="shared" si="76"/>
        <v>126.64444444444501</v>
      </c>
      <c r="U281" s="21">
        <f t="shared" si="75"/>
        <v>139</v>
      </c>
      <c r="V281" s="21">
        <f t="shared" si="75"/>
        <v>146.72222222222274</v>
      </c>
      <c r="W281" s="22">
        <f t="shared" si="75"/>
        <v>118.92222222222227</v>
      </c>
      <c r="X281" s="22">
        <f t="shared" si="75"/>
        <v>131.27777777777726</v>
      </c>
      <c r="Y281" s="22">
        <f t="shared" si="75"/>
        <v>139</v>
      </c>
      <c r="Z281" s="23">
        <f t="shared" si="75"/>
        <v>111.19999999999953</v>
      </c>
      <c r="AA281" s="23">
        <f t="shared" si="75"/>
        <v>123.55555555555468</v>
      </c>
      <c r="AB281" s="23">
        <f t="shared" si="75"/>
        <v>131.27777777777726</v>
      </c>
      <c r="AC281" s="24">
        <f t="shared" si="75"/>
        <v>103.47777777777773</v>
      </c>
      <c r="AD281" s="24">
        <f t="shared" si="75"/>
        <v>115.83333333333368</v>
      </c>
      <c r="AE281" s="24">
        <f t="shared" si="75"/>
        <v>123.55555555555468</v>
      </c>
      <c r="AF281" s="25">
        <f t="shared" si="75"/>
        <v>95.755555555555219</v>
      </c>
      <c r="AG281" s="25">
        <f t="shared" si="75"/>
        <v>108.11111111111137</v>
      </c>
      <c r="AH281" s="25">
        <f t="shared" si="75"/>
        <v>115.83333333333368</v>
      </c>
      <c r="AI281" s="26">
        <f t="shared" si="75"/>
        <v>88.033333333333644</v>
      </c>
      <c r="AJ281" s="26">
        <f t="shared" si="73"/>
        <v>100.38888888888863</v>
      </c>
      <c r="AK281" s="26">
        <f t="shared" si="77"/>
        <v>108.11111111111137</v>
      </c>
    </row>
    <row r="282" spans="4:37" ht="20.100000000000001" customHeight="1">
      <c r="D282" s="27">
        <f t="shared" si="72"/>
        <v>0.7749999999999978</v>
      </c>
      <c r="E282" s="16">
        <f t="shared" si="76"/>
        <v>213.89999999999966</v>
      </c>
      <c r="F282" s="16">
        <f t="shared" si="76"/>
        <v>226.29999999999941</v>
      </c>
      <c r="G282" s="16">
        <f t="shared" si="76"/>
        <v>234.04999999999887</v>
      </c>
      <c r="H282" s="17">
        <f t="shared" si="76"/>
        <v>198.4000000000002</v>
      </c>
      <c r="I282" s="17">
        <f t="shared" si="76"/>
        <v>210.80000000000024</v>
      </c>
      <c r="J282" s="17">
        <f t="shared" si="76"/>
        <v>218.54999999999922</v>
      </c>
      <c r="K282" s="18">
        <f t="shared" si="76"/>
        <v>182.89999999999918</v>
      </c>
      <c r="L282" s="18">
        <f t="shared" si="76"/>
        <v>195.30000000000092</v>
      </c>
      <c r="M282" s="18">
        <f t="shared" si="76"/>
        <v>203.04999999999936</v>
      </c>
      <c r="N282" s="19">
        <f t="shared" si="76"/>
        <v>142.59999999999928</v>
      </c>
      <c r="O282" s="19">
        <f t="shared" si="76"/>
        <v>155.00000000000102</v>
      </c>
      <c r="P282" s="19">
        <f t="shared" si="76"/>
        <v>162.74999999999923</v>
      </c>
      <c r="Q282" s="20">
        <f t="shared" si="76"/>
        <v>134.85000000000107</v>
      </c>
      <c r="R282" s="20">
        <f t="shared" si="76"/>
        <v>147.25000000000051</v>
      </c>
      <c r="S282" s="20">
        <f t="shared" si="76"/>
        <v>155.00000000000102</v>
      </c>
      <c r="T282" s="21">
        <f t="shared" si="76"/>
        <v>127.10000000000056</v>
      </c>
      <c r="U282" s="21">
        <f t="shared" si="75"/>
        <v>139.5</v>
      </c>
      <c r="V282" s="21">
        <f t="shared" si="75"/>
        <v>147.25000000000051</v>
      </c>
      <c r="W282" s="22">
        <f t="shared" si="75"/>
        <v>119.35000000000005</v>
      </c>
      <c r="X282" s="22">
        <f t="shared" si="75"/>
        <v>131.74999999999949</v>
      </c>
      <c r="Y282" s="22">
        <f t="shared" si="75"/>
        <v>139.5</v>
      </c>
      <c r="Z282" s="23">
        <f t="shared" si="75"/>
        <v>111.59999999999954</v>
      </c>
      <c r="AA282" s="23">
        <f t="shared" si="75"/>
        <v>123.99999999999912</v>
      </c>
      <c r="AB282" s="23">
        <f t="shared" si="75"/>
        <v>131.74999999999949</v>
      </c>
      <c r="AC282" s="24">
        <f t="shared" si="75"/>
        <v>103.84999999999995</v>
      </c>
      <c r="AD282" s="24">
        <f t="shared" si="75"/>
        <v>116.25000000000036</v>
      </c>
      <c r="AE282" s="24">
        <f t="shared" si="75"/>
        <v>123.99999999999912</v>
      </c>
      <c r="AF282" s="25">
        <f t="shared" si="75"/>
        <v>96.099999999999667</v>
      </c>
      <c r="AG282" s="25">
        <f t="shared" si="75"/>
        <v>108.50000000000026</v>
      </c>
      <c r="AH282" s="25">
        <f t="shared" si="75"/>
        <v>116.25000000000036</v>
      </c>
      <c r="AI282" s="26">
        <f t="shared" si="75"/>
        <v>88.350000000000307</v>
      </c>
      <c r="AJ282" s="26">
        <f t="shared" si="77"/>
        <v>100.74999999999974</v>
      </c>
      <c r="AK282" s="26">
        <f t="shared" si="77"/>
        <v>108.50000000000026</v>
      </c>
    </row>
    <row r="283" spans="4:37" ht="20.100000000000001" customHeight="1">
      <c r="D283" s="27">
        <f t="shared" si="72"/>
        <v>0.77777777777777557</v>
      </c>
      <c r="E283" s="16">
        <f t="shared" si="76"/>
        <v>214.66666666666634</v>
      </c>
      <c r="F283" s="16">
        <f t="shared" si="76"/>
        <v>227.11111111111052</v>
      </c>
      <c r="G283" s="16">
        <f t="shared" si="76"/>
        <v>234.88888888888778</v>
      </c>
      <c r="H283" s="17">
        <f t="shared" si="76"/>
        <v>199.11111111111131</v>
      </c>
      <c r="I283" s="17">
        <f t="shared" si="76"/>
        <v>211.5555555555558</v>
      </c>
      <c r="J283" s="17">
        <f t="shared" si="76"/>
        <v>219.33333333333255</v>
      </c>
      <c r="K283" s="18">
        <f t="shared" si="76"/>
        <v>183.55555555555475</v>
      </c>
      <c r="L283" s="18">
        <f t="shared" si="76"/>
        <v>196.00000000000091</v>
      </c>
      <c r="M283" s="18">
        <f t="shared" si="76"/>
        <v>203.77777777777715</v>
      </c>
      <c r="N283" s="19">
        <f t="shared" si="76"/>
        <v>143.1111111111104</v>
      </c>
      <c r="O283" s="19">
        <f t="shared" si="76"/>
        <v>155.55555555555657</v>
      </c>
      <c r="P283" s="19">
        <f t="shared" si="76"/>
        <v>163.33333333333258</v>
      </c>
      <c r="Q283" s="20">
        <f t="shared" si="76"/>
        <v>135.33333333333439</v>
      </c>
      <c r="R283" s="20">
        <f t="shared" si="76"/>
        <v>147.77777777777828</v>
      </c>
      <c r="S283" s="20">
        <f t="shared" si="76"/>
        <v>155.55555555555657</v>
      </c>
      <c r="T283" s="21">
        <f t="shared" si="76"/>
        <v>127.55555555555611</v>
      </c>
      <c r="U283" s="21">
        <f t="shared" si="75"/>
        <v>140</v>
      </c>
      <c r="V283" s="21">
        <f t="shared" si="75"/>
        <v>147.77777777777828</v>
      </c>
      <c r="W283" s="22">
        <f t="shared" si="75"/>
        <v>119.77777777777783</v>
      </c>
      <c r="X283" s="22">
        <f t="shared" si="75"/>
        <v>132.22222222222172</v>
      </c>
      <c r="Y283" s="22">
        <f t="shared" si="75"/>
        <v>140</v>
      </c>
      <c r="Z283" s="23">
        <f t="shared" si="75"/>
        <v>111.99999999999955</v>
      </c>
      <c r="AA283" s="23">
        <f t="shared" si="75"/>
        <v>124.44444444444356</v>
      </c>
      <c r="AB283" s="23">
        <f t="shared" si="75"/>
        <v>132.22222222222172</v>
      </c>
      <c r="AC283" s="24">
        <f t="shared" si="75"/>
        <v>104.22222222222217</v>
      </c>
      <c r="AD283" s="24">
        <f t="shared" si="75"/>
        <v>116.66666666666703</v>
      </c>
      <c r="AE283" s="24">
        <f t="shared" si="75"/>
        <v>124.44444444444356</v>
      </c>
      <c r="AF283" s="25">
        <f t="shared" si="75"/>
        <v>96.444444444444116</v>
      </c>
      <c r="AG283" s="25">
        <f t="shared" si="75"/>
        <v>108.88888888888914</v>
      </c>
      <c r="AH283" s="25">
        <f t="shared" si="75"/>
        <v>116.66666666666703</v>
      </c>
      <c r="AI283" s="26">
        <f t="shared" si="75"/>
        <v>88.66666666666697</v>
      </c>
      <c r="AJ283" s="26">
        <f t="shared" si="77"/>
        <v>101.11111111111086</v>
      </c>
      <c r="AK283" s="26">
        <f t="shared" si="77"/>
        <v>108.88888888888914</v>
      </c>
    </row>
    <row r="284" spans="4:37" ht="20.100000000000001" customHeight="1">
      <c r="D284" s="27">
        <f t="shared" si="72"/>
        <v>0.78055555555555334</v>
      </c>
      <c r="E284" s="16">
        <f t="shared" si="76"/>
        <v>215.43333333333302</v>
      </c>
      <c r="F284" s="16">
        <f t="shared" si="76"/>
        <v>227.92222222222162</v>
      </c>
      <c r="G284" s="16">
        <f t="shared" si="76"/>
        <v>235.72777777777668</v>
      </c>
      <c r="H284" s="17">
        <f t="shared" si="76"/>
        <v>199.82222222222242</v>
      </c>
      <c r="I284" s="17">
        <f t="shared" si="76"/>
        <v>212.31111111111136</v>
      </c>
      <c r="J284" s="17">
        <f t="shared" si="76"/>
        <v>220.11666666666588</v>
      </c>
      <c r="K284" s="18">
        <f t="shared" si="76"/>
        <v>184.21111111111031</v>
      </c>
      <c r="L284" s="18">
        <f t="shared" si="76"/>
        <v>196.7000000000009</v>
      </c>
      <c r="M284" s="18">
        <f t="shared" si="76"/>
        <v>204.50555555555493</v>
      </c>
      <c r="N284" s="19">
        <f t="shared" si="76"/>
        <v>143.62222222222152</v>
      </c>
      <c r="O284" s="19">
        <f t="shared" si="76"/>
        <v>156.11111111111211</v>
      </c>
      <c r="P284" s="19">
        <f t="shared" si="76"/>
        <v>163.91666666666592</v>
      </c>
      <c r="Q284" s="20">
        <f t="shared" si="76"/>
        <v>135.81666666666771</v>
      </c>
      <c r="R284" s="20">
        <f t="shared" si="76"/>
        <v>148.30555555555605</v>
      </c>
      <c r="S284" s="20">
        <f t="shared" si="76"/>
        <v>156.11111111111211</v>
      </c>
      <c r="T284" s="21">
        <f t="shared" si="76"/>
        <v>128.01111111111166</v>
      </c>
      <c r="U284" s="21">
        <f t="shared" si="75"/>
        <v>140.5</v>
      </c>
      <c r="V284" s="21">
        <f t="shared" si="75"/>
        <v>148.30555555555605</v>
      </c>
      <c r="W284" s="22">
        <f t="shared" si="75"/>
        <v>120.20555555555561</v>
      </c>
      <c r="X284" s="22">
        <f t="shared" si="75"/>
        <v>132.69444444444395</v>
      </c>
      <c r="Y284" s="22">
        <f t="shared" si="75"/>
        <v>140.5</v>
      </c>
      <c r="Z284" s="23">
        <f t="shared" si="75"/>
        <v>112.39999999999955</v>
      </c>
      <c r="AA284" s="23">
        <f t="shared" si="75"/>
        <v>124.888888888888</v>
      </c>
      <c r="AB284" s="23">
        <f t="shared" si="75"/>
        <v>132.69444444444395</v>
      </c>
      <c r="AC284" s="24">
        <f t="shared" si="75"/>
        <v>104.59444444444439</v>
      </c>
      <c r="AD284" s="24">
        <f t="shared" si="75"/>
        <v>117.0833333333337</v>
      </c>
      <c r="AE284" s="24">
        <f t="shared" si="75"/>
        <v>124.888888888888</v>
      </c>
      <c r="AF284" s="25">
        <f t="shared" si="75"/>
        <v>96.788888888888565</v>
      </c>
      <c r="AG284" s="25">
        <f t="shared" si="75"/>
        <v>109.27777777777803</v>
      </c>
      <c r="AH284" s="25">
        <f t="shared" si="75"/>
        <v>117.0833333333337</v>
      </c>
      <c r="AI284" s="26">
        <f t="shared" si="75"/>
        <v>88.983333333333633</v>
      </c>
      <c r="AJ284" s="26">
        <f t="shared" si="77"/>
        <v>101.47222222222197</v>
      </c>
      <c r="AK284" s="26">
        <f t="shared" si="77"/>
        <v>109.27777777777803</v>
      </c>
    </row>
    <row r="285" spans="4:37" ht="20.100000000000001" customHeight="1">
      <c r="D285" s="27">
        <f t="shared" si="72"/>
        <v>0.78333333333333111</v>
      </c>
      <c r="E285" s="16">
        <f t="shared" si="76"/>
        <v>216.1999999999997</v>
      </c>
      <c r="F285" s="16">
        <f t="shared" si="76"/>
        <v>228.73333333333272</v>
      </c>
      <c r="G285" s="16">
        <f t="shared" si="76"/>
        <v>236.56666666666558</v>
      </c>
      <c r="H285" s="17">
        <f t="shared" si="76"/>
        <v>200.53333333333353</v>
      </c>
      <c r="I285" s="17">
        <f t="shared" si="76"/>
        <v>213.06666666666692</v>
      </c>
      <c r="J285" s="17">
        <f t="shared" si="76"/>
        <v>220.89999999999921</v>
      </c>
      <c r="K285" s="18">
        <f t="shared" si="76"/>
        <v>184.86666666666588</v>
      </c>
      <c r="L285" s="18">
        <f t="shared" si="76"/>
        <v>197.40000000000089</v>
      </c>
      <c r="M285" s="18">
        <f t="shared" si="76"/>
        <v>205.23333333333272</v>
      </c>
      <c r="N285" s="19">
        <f t="shared" si="76"/>
        <v>144.13333333333264</v>
      </c>
      <c r="O285" s="19">
        <f t="shared" si="76"/>
        <v>156.66666666666765</v>
      </c>
      <c r="P285" s="19">
        <f t="shared" si="76"/>
        <v>164.49999999999926</v>
      </c>
      <c r="Q285" s="20">
        <f t="shared" si="76"/>
        <v>136.30000000000103</v>
      </c>
      <c r="R285" s="20">
        <f t="shared" si="76"/>
        <v>148.83333333333383</v>
      </c>
      <c r="S285" s="20">
        <f t="shared" si="76"/>
        <v>156.66666666666765</v>
      </c>
      <c r="T285" s="21">
        <f t="shared" si="76"/>
        <v>128.46666666666721</v>
      </c>
      <c r="U285" s="21">
        <f t="shared" si="75"/>
        <v>141</v>
      </c>
      <c r="V285" s="21">
        <f t="shared" si="75"/>
        <v>148.83333333333383</v>
      </c>
      <c r="W285" s="22">
        <f t="shared" si="75"/>
        <v>120.63333333333338</v>
      </c>
      <c r="X285" s="22">
        <f t="shared" si="75"/>
        <v>133.16666666666617</v>
      </c>
      <c r="Y285" s="22">
        <f t="shared" si="75"/>
        <v>141</v>
      </c>
      <c r="Z285" s="23">
        <f t="shared" si="75"/>
        <v>112.79999999999956</v>
      </c>
      <c r="AA285" s="23">
        <f t="shared" si="75"/>
        <v>125.33333333333245</v>
      </c>
      <c r="AB285" s="23">
        <f t="shared" si="75"/>
        <v>133.16666666666617</v>
      </c>
      <c r="AC285" s="24">
        <f t="shared" si="75"/>
        <v>104.96666666666661</v>
      </c>
      <c r="AD285" s="24">
        <f t="shared" si="75"/>
        <v>117.50000000000037</v>
      </c>
      <c r="AE285" s="24">
        <f t="shared" si="75"/>
        <v>125.33333333333245</v>
      </c>
      <c r="AF285" s="25">
        <f t="shared" si="75"/>
        <v>97.133333333333013</v>
      </c>
      <c r="AG285" s="25">
        <f t="shared" si="75"/>
        <v>109.66666666666691</v>
      </c>
      <c r="AH285" s="25">
        <f t="shared" si="75"/>
        <v>117.50000000000037</v>
      </c>
      <c r="AI285" s="26">
        <f t="shared" si="75"/>
        <v>89.300000000000296</v>
      </c>
      <c r="AJ285" s="26">
        <f t="shared" si="77"/>
        <v>101.83333333333309</v>
      </c>
      <c r="AK285" s="26">
        <f t="shared" si="77"/>
        <v>109.66666666666691</v>
      </c>
    </row>
    <row r="286" spans="4:37" ht="20.100000000000001" customHeight="1">
      <c r="D286" s="27">
        <f t="shared" si="72"/>
        <v>0.78611111111110887</v>
      </c>
      <c r="E286" s="16">
        <f t="shared" si="76"/>
        <v>216.96666666666638</v>
      </c>
      <c r="F286" s="16">
        <f t="shared" si="76"/>
        <v>229.54444444444383</v>
      </c>
      <c r="G286" s="16">
        <f t="shared" si="76"/>
        <v>237.40555555555449</v>
      </c>
      <c r="H286" s="17">
        <f t="shared" si="76"/>
        <v>201.24444444444464</v>
      </c>
      <c r="I286" s="17">
        <f t="shared" si="76"/>
        <v>213.82222222222248</v>
      </c>
      <c r="J286" s="17">
        <f t="shared" si="76"/>
        <v>221.68333333333254</v>
      </c>
      <c r="K286" s="18">
        <f t="shared" si="76"/>
        <v>185.52222222222144</v>
      </c>
      <c r="L286" s="18">
        <f t="shared" si="76"/>
        <v>198.10000000000088</v>
      </c>
      <c r="M286" s="18">
        <f t="shared" si="76"/>
        <v>205.96111111111051</v>
      </c>
      <c r="N286" s="19">
        <f t="shared" si="76"/>
        <v>144.64444444444376</v>
      </c>
      <c r="O286" s="19">
        <f t="shared" si="76"/>
        <v>157.22222222222319</v>
      </c>
      <c r="P286" s="19">
        <f t="shared" si="76"/>
        <v>165.0833333333326</v>
      </c>
      <c r="Q286" s="20">
        <f t="shared" si="76"/>
        <v>136.78333333333435</v>
      </c>
      <c r="R286" s="20">
        <f t="shared" si="76"/>
        <v>149.3611111111116</v>
      </c>
      <c r="S286" s="20">
        <f t="shared" si="76"/>
        <v>157.22222222222319</v>
      </c>
      <c r="T286" s="21">
        <f t="shared" si="76"/>
        <v>128.92222222222276</v>
      </c>
      <c r="U286" s="21">
        <f t="shared" si="75"/>
        <v>141.5</v>
      </c>
      <c r="V286" s="21">
        <f t="shared" si="75"/>
        <v>149.3611111111116</v>
      </c>
      <c r="W286" s="22">
        <f t="shared" si="75"/>
        <v>121.06111111111116</v>
      </c>
      <c r="X286" s="22">
        <f t="shared" si="75"/>
        <v>133.6388888888884</v>
      </c>
      <c r="Y286" s="22">
        <f t="shared" si="75"/>
        <v>141.5</v>
      </c>
      <c r="Z286" s="23">
        <f t="shared" si="75"/>
        <v>113.19999999999956</v>
      </c>
      <c r="AA286" s="23">
        <f t="shared" si="75"/>
        <v>125.77777777777689</v>
      </c>
      <c r="AB286" s="23">
        <f t="shared" si="75"/>
        <v>133.6388888888884</v>
      </c>
      <c r="AC286" s="24">
        <f t="shared" si="75"/>
        <v>105.33888888888883</v>
      </c>
      <c r="AD286" s="24">
        <f t="shared" si="75"/>
        <v>117.91666666666704</v>
      </c>
      <c r="AE286" s="24">
        <f t="shared" si="75"/>
        <v>125.77777777777689</v>
      </c>
      <c r="AF286" s="25">
        <f t="shared" si="75"/>
        <v>97.477777777777462</v>
      </c>
      <c r="AG286" s="25">
        <f t="shared" si="75"/>
        <v>110.0555555555558</v>
      </c>
      <c r="AH286" s="25">
        <f t="shared" si="75"/>
        <v>117.91666666666704</v>
      </c>
      <c r="AI286" s="26">
        <f t="shared" si="75"/>
        <v>89.616666666666958</v>
      </c>
      <c r="AJ286" s="26">
        <f t="shared" si="77"/>
        <v>102.1944444444442</v>
      </c>
      <c r="AK286" s="26">
        <f t="shared" si="77"/>
        <v>110.0555555555558</v>
      </c>
    </row>
    <row r="287" spans="4:37" ht="20.100000000000001" customHeight="1">
      <c r="D287" s="27">
        <f t="shared" si="72"/>
        <v>0.78888888888888664</v>
      </c>
      <c r="E287" s="16">
        <f t="shared" si="76"/>
        <v>217.73333333333306</v>
      </c>
      <c r="F287" s="16">
        <f t="shared" si="76"/>
        <v>230.35555555555493</v>
      </c>
      <c r="G287" s="16">
        <f t="shared" si="76"/>
        <v>238.24444444444339</v>
      </c>
      <c r="H287" s="17">
        <f t="shared" si="76"/>
        <v>201.95555555555575</v>
      </c>
      <c r="I287" s="17">
        <f t="shared" si="76"/>
        <v>214.57777777777804</v>
      </c>
      <c r="J287" s="17">
        <f t="shared" si="76"/>
        <v>222.46666666666587</v>
      </c>
      <c r="K287" s="18">
        <f t="shared" si="76"/>
        <v>186.17777777777701</v>
      </c>
      <c r="L287" s="18">
        <f t="shared" si="76"/>
        <v>198.80000000000086</v>
      </c>
      <c r="M287" s="18">
        <f t="shared" si="76"/>
        <v>206.6888888888883</v>
      </c>
      <c r="N287" s="19">
        <f t="shared" si="76"/>
        <v>145.15555555555488</v>
      </c>
      <c r="O287" s="19">
        <f t="shared" si="76"/>
        <v>157.77777777777874</v>
      </c>
      <c r="P287" s="19">
        <f t="shared" si="76"/>
        <v>165.66666666666595</v>
      </c>
      <c r="Q287" s="20">
        <f t="shared" si="76"/>
        <v>137.26666666666767</v>
      </c>
      <c r="R287" s="20">
        <f t="shared" si="76"/>
        <v>149.88888888888937</v>
      </c>
      <c r="S287" s="20">
        <f t="shared" si="76"/>
        <v>157.77777777777874</v>
      </c>
      <c r="T287" s="21">
        <f t="shared" si="76"/>
        <v>129.37777777777831</v>
      </c>
      <c r="U287" s="21">
        <f t="shared" si="75"/>
        <v>142</v>
      </c>
      <c r="V287" s="21">
        <f t="shared" si="75"/>
        <v>149.88888888888937</v>
      </c>
      <c r="W287" s="22">
        <f t="shared" si="75"/>
        <v>121.48888888888894</v>
      </c>
      <c r="X287" s="22">
        <f t="shared" si="75"/>
        <v>134.11111111111063</v>
      </c>
      <c r="Y287" s="22">
        <f t="shared" si="75"/>
        <v>142</v>
      </c>
      <c r="Z287" s="23">
        <f t="shared" si="75"/>
        <v>113.59999999999957</v>
      </c>
      <c r="AA287" s="23">
        <f t="shared" si="75"/>
        <v>126.22222222222133</v>
      </c>
      <c r="AB287" s="23">
        <f t="shared" si="75"/>
        <v>134.11111111111063</v>
      </c>
      <c r="AC287" s="24">
        <f t="shared" si="75"/>
        <v>105.71111111111105</v>
      </c>
      <c r="AD287" s="24">
        <f t="shared" si="75"/>
        <v>118.33333333333371</v>
      </c>
      <c r="AE287" s="24">
        <f t="shared" si="75"/>
        <v>126.22222222222133</v>
      </c>
      <c r="AF287" s="25">
        <f t="shared" si="75"/>
        <v>97.82222222222191</v>
      </c>
      <c r="AG287" s="25">
        <f t="shared" si="75"/>
        <v>110.44444444444468</v>
      </c>
      <c r="AH287" s="25">
        <f t="shared" si="75"/>
        <v>118.33333333333371</v>
      </c>
      <c r="AI287" s="26">
        <f t="shared" si="75"/>
        <v>89.933333333333621</v>
      </c>
      <c r="AJ287" s="26">
        <f t="shared" si="77"/>
        <v>102.55555555555532</v>
      </c>
      <c r="AK287" s="26">
        <f t="shared" si="77"/>
        <v>110.44444444444468</v>
      </c>
    </row>
    <row r="288" spans="4:37" ht="20.100000000000001" customHeight="1">
      <c r="D288" s="27">
        <f t="shared" si="72"/>
        <v>0.79166666666666441</v>
      </c>
      <c r="E288" s="16">
        <f t="shared" si="76"/>
        <v>218.49999999999974</v>
      </c>
      <c r="F288" s="16">
        <f t="shared" si="76"/>
        <v>231.16666666666603</v>
      </c>
      <c r="G288" s="16">
        <f t="shared" si="76"/>
        <v>239.08333333333229</v>
      </c>
      <c r="H288" s="17">
        <f t="shared" si="76"/>
        <v>202.66666666666686</v>
      </c>
      <c r="I288" s="17">
        <f t="shared" si="76"/>
        <v>215.3333333333336</v>
      </c>
      <c r="J288" s="17">
        <f t="shared" si="76"/>
        <v>223.2499999999992</v>
      </c>
      <c r="K288" s="18">
        <f t="shared" si="76"/>
        <v>186.83333333333258</v>
      </c>
      <c r="L288" s="18">
        <f t="shared" si="76"/>
        <v>199.50000000000085</v>
      </c>
      <c r="M288" s="18">
        <f t="shared" si="76"/>
        <v>207.41666666666609</v>
      </c>
      <c r="N288" s="19">
        <f t="shared" si="76"/>
        <v>145.666666666666</v>
      </c>
      <c r="O288" s="19">
        <f t="shared" si="76"/>
        <v>158.33333333333428</v>
      </c>
      <c r="P288" s="19">
        <f t="shared" si="76"/>
        <v>166.24999999999929</v>
      </c>
      <c r="Q288" s="20">
        <f t="shared" si="76"/>
        <v>137.75000000000099</v>
      </c>
      <c r="R288" s="20">
        <f t="shared" si="76"/>
        <v>150.41666666666714</v>
      </c>
      <c r="S288" s="20">
        <f t="shared" si="76"/>
        <v>158.33333333333428</v>
      </c>
      <c r="T288" s="21">
        <f t="shared" si="76"/>
        <v>129.83333333333385</v>
      </c>
      <c r="U288" s="21">
        <f t="shared" si="75"/>
        <v>142.5</v>
      </c>
      <c r="V288" s="21">
        <f t="shared" si="75"/>
        <v>150.41666666666714</v>
      </c>
      <c r="W288" s="22">
        <f t="shared" si="75"/>
        <v>121.91666666666671</v>
      </c>
      <c r="X288" s="22">
        <f t="shared" si="75"/>
        <v>134.58333333333286</v>
      </c>
      <c r="Y288" s="22">
        <f t="shared" si="75"/>
        <v>142.5</v>
      </c>
      <c r="Z288" s="23">
        <f t="shared" si="75"/>
        <v>113.99999999999957</v>
      </c>
      <c r="AA288" s="23">
        <f t="shared" si="75"/>
        <v>126.66666666666578</v>
      </c>
      <c r="AB288" s="23">
        <f t="shared" si="75"/>
        <v>134.58333333333286</v>
      </c>
      <c r="AC288" s="24">
        <f t="shared" si="75"/>
        <v>106.08333333333327</v>
      </c>
      <c r="AD288" s="24">
        <f t="shared" si="75"/>
        <v>118.75000000000038</v>
      </c>
      <c r="AE288" s="24">
        <f t="shared" si="75"/>
        <v>126.66666666666578</v>
      </c>
      <c r="AF288" s="25">
        <f t="shared" si="75"/>
        <v>98.166666666666359</v>
      </c>
      <c r="AG288" s="25">
        <f t="shared" si="75"/>
        <v>110.83333333333357</v>
      </c>
      <c r="AH288" s="25">
        <f t="shared" si="75"/>
        <v>118.75000000000038</v>
      </c>
      <c r="AI288" s="26">
        <f t="shared" si="75"/>
        <v>90.250000000000284</v>
      </c>
      <c r="AJ288" s="26">
        <f t="shared" si="77"/>
        <v>102.91666666666643</v>
      </c>
      <c r="AK288" s="26">
        <f t="shared" si="77"/>
        <v>110.83333333333357</v>
      </c>
    </row>
    <row r="289" spans="4:37" ht="20.100000000000001" customHeight="1">
      <c r="D289" s="27">
        <f t="shared" si="72"/>
        <v>0.79444444444444218</v>
      </c>
      <c r="E289" s="16">
        <f t="shared" si="76"/>
        <v>219.26666666666642</v>
      </c>
      <c r="F289" s="16">
        <f t="shared" si="76"/>
        <v>231.97777777777713</v>
      </c>
      <c r="G289" s="16">
        <f t="shared" si="76"/>
        <v>239.92222222222119</v>
      </c>
      <c r="H289" s="17">
        <f t="shared" si="76"/>
        <v>203.37777777777796</v>
      </c>
      <c r="I289" s="17">
        <f t="shared" si="76"/>
        <v>216.08888888888916</v>
      </c>
      <c r="J289" s="17">
        <f t="shared" si="76"/>
        <v>224.03333333333254</v>
      </c>
      <c r="K289" s="18">
        <f t="shared" si="76"/>
        <v>187.48888888888814</v>
      </c>
      <c r="L289" s="18">
        <f t="shared" si="76"/>
        <v>200.20000000000084</v>
      </c>
      <c r="M289" s="18">
        <f t="shared" si="76"/>
        <v>208.14444444444388</v>
      </c>
      <c r="N289" s="19">
        <f t="shared" si="76"/>
        <v>146.17777777777712</v>
      </c>
      <c r="O289" s="19">
        <f t="shared" si="76"/>
        <v>158.88888888888982</v>
      </c>
      <c r="P289" s="19">
        <f t="shared" si="76"/>
        <v>166.83333333333263</v>
      </c>
      <c r="Q289" s="20">
        <f t="shared" si="76"/>
        <v>138.23333333333431</v>
      </c>
      <c r="R289" s="20">
        <f t="shared" si="76"/>
        <v>150.94444444444491</v>
      </c>
      <c r="S289" s="20">
        <f t="shared" si="76"/>
        <v>158.88888888888982</v>
      </c>
      <c r="T289" s="21">
        <f t="shared" si="76"/>
        <v>130.2888888888894</v>
      </c>
      <c r="U289" s="21">
        <f t="shared" si="75"/>
        <v>143</v>
      </c>
      <c r="V289" s="21">
        <f t="shared" si="75"/>
        <v>150.94444444444491</v>
      </c>
      <c r="W289" s="22">
        <f t="shared" si="75"/>
        <v>122.34444444444449</v>
      </c>
      <c r="X289" s="22">
        <f t="shared" si="75"/>
        <v>135.05555555555509</v>
      </c>
      <c r="Y289" s="22">
        <f t="shared" si="75"/>
        <v>143</v>
      </c>
      <c r="Z289" s="23">
        <f t="shared" si="75"/>
        <v>114.39999999999958</v>
      </c>
      <c r="AA289" s="23">
        <f t="shared" si="75"/>
        <v>127.11111111111022</v>
      </c>
      <c r="AB289" s="23">
        <f t="shared" si="75"/>
        <v>135.05555555555509</v>
      </c>
      <c r="AC289" s="24">
        <f t="shared" si="75"/>
        <v>106.45555555555549</v>
      </c>
      <c r="AD289" s="24">
        <f t="shared" si="75"/>
        <v>119.16666666666706</v>
      </c>
      <c r="AE289" s="24">
        <f t="shared" si="75"/>
        <v>127.11111111111022</v>
      </c>
      <c r="AF289" s="25">
        <f t="shared" si="75"/>
        <v>98.511111111110807</v>
      </c>
      <c r="AG289" s="25">
        <f t="shared" si="75"/>
        <v>111.22222222222246</v>
      </c>
      <c r="AH289" s="25">
        <f t="shared" si="75"/>
        <v>119.16666666666706</v>
      </c>
      <c r="AI289" s="26">
        <f t="shared" si="75"/>
        <v>90.566666666666947</v>
      </c>
      <c r="AJ289" s="26">
        <f t="shared" si="77"/>
        <v>103.27777777777754</v>
      </c>
      <c r="AK289" s="26">
        <f t="shared" si="77"/>
        <v>111.22222222222246</v>
      </c>
    </row>
    <row r="290" spans="4:37" ht="20.100000000000001" customHeight="1">
      <c r="D290" s="27">
        <f t="shared" si="72"/>
        <v>0.79722222222221995</v>
      </c>
      <c r="E290" s="16">
        <f t="shared" si="76"/>
        <v>220.0333333333331</v>
      </c>
      <c r="F290" s="16">
        <f t="shared" si="76"/>
        <v>232.78888888888824</v>
      </c>
      <c r="G290" s="16">
        <f t="shared" si="76"/>
        <v>240.7611111111101</v>
      </c>
      <c r="H290" s="17">
        <f t="shared" si="76"/>
        <v>204.08888888888907</v>
      </c>
      <c r="I290" s="17">
        <f t="shared" si="76"/>
        <v>216.84444444444472</v>
      </c>
      <c r="J290" s="17">
        <f t="shared" si="76"/>
        <v>224.81666666666587</v>
      </c>
      <c r="K290" s="18">
        <f t="shared" si="76"/>
        <v>188.14444444444371</v>
      </c>
      <c r="L290" s="18">
        <f t="shared" si="76"/>
        <v>200.90000000000083</v>
      </c>
      <c r="M290" s="18">
        <f t="shared" si="76"/>
        <v>208.87222222222167</v>
      </c>
      <c r="N290" s="19">
        <f t="shared" si="76"/>
        <v>146.68888888888824</v>
      </c>
      <c r="O290" s="19">
        <f t="shared" si="76"/>
        <v>159.44444444444537</v>
      </c>
      <c r="P290" s="19">
        <f t="shared" si="76"/>
        <v>167.41666666666598</v>
      </c>
      <c r="Q290" s="20">
        <f t="shared" si="76"/>
        <v>138.71666666666763</v>
      </c>
      <c r="R290" s="20">
        <f t="shared" si="76"/>
        <v>151.47222222222268</v>
      </c>
      <c r="S290" s="20">
        <f t="shared" si="76"/>
        <v>159.44444444444537</v>
      </c>
      <c r="T290" s="21">
        <f t="shared" si="76"/>
        <v>130.74444444444495</v>
      </c>
      <c r="U290" s="21">
        <f t="shared" si="75"/>
        <v>143.5</v>
      </c>
      <c r="V290" s="21">
        <f t="shared" si="75"/>
        <v>151.47222222222268</v>
      </c>
      <c r="W290" s="22">
        <f t="shared" si="75"/>
        <v>122.77222222222227</v>
      </c>
      <c r="X290" s="22">
        <f t="shared" si="75"/>
        <v>135.52777777777732</v>
      </c>
      <c r="Y290" s="22">
        <f t="shared" si="75"/>
        <v>143.5</v>
      </c>
      <c r="Z290" s="23">
        <f t="shared" si="75"/>
        <v>114.79999999999959</v>
      </c>
      <c r="AA290" s="23">
        <f t="shared" si="75"/>
        <v>127.55555555555466</v>
      </c>
      <c r="AB290" s="23">
        <f t="shared" si="75"/>
        <v>135.52777777777732</v>
      </c>
      <c r="AC290" s="24">
        <f t="shared" si="75"/>
        <v>106.82777777777771</v>
      </c>
      <c r="AD290" s="24">
        <f t="shared" si="75"/>
        <v>119.58333333333373</v>
      </c>
      <c r="AE290" s="24">
        <f t="shared" si="75"/>
        <v>127.55555555555466</v>
      </c>
      <c r="AF290" s="25">
        <f t="shared" si="75"/>
        <v>98.855555555555256</v>
      </c>
      <c r="AG290" s="25">
        <f t="shared" si="75"/>
        <v>111.61111111111134</v>
      </c>
      <c r="AH290" s="25">
        <f t="shared" si="75"/>
        <v>119.58333333333373</v>
      </c>
      <c r="AI290" s="26">
        <f t="shared" si="75"/>
        <v>90.88333333333361</v>
      </c>
      <c r="AJ290" s="26">
        <f t="shared" si="77"/>
        <v>103.63888888888866</v>
      </c>
      <c r="AK290" s="26">
        <f t="shared" si="77"/>
        <v>111.61111111111134</v>
      </c>
    </row>
    <row r="291" spans="4:37" ht="20.100000000000001" customHeight="1">
      <c r="D291" s="27">
        <f t="shared" si="72"/>
        <v>0.79999999999999771</v>
      </c>
      <c r="E291" s="16">
        <f t="shared" si="76"/>
        <v>220.79999999999978</v>
      </c>
      <c r="F291" s="16">
        <f t="shared" si="76"/>
        <v>233.59999999999934</v>
      </c>
      <c r="G291" s="16">
        <f t="shared" si="76"/>
        <v>241.599999999999</v>
      </c>
      <c r="H291" s="17">
        <f t="shared" si="76"/>
        <v>204.80000000000018</v>
      </c>
      <c r="I291" s="17">
        <f t="shared" si="76"/>
        <v>217.60000000000028</v>
      </c>
      <c r="J291" s="17">
        <f t="shared" si="76"/>
        <v>225.5999999999992</v>
      </c>
      <c r="K291" s="18">
        <f t="shared" si="76"/>
        <v>188.79999999999927</v>
      </c>
      <c r="L291" s="18">
        <f t="shared" si="76"/>
        <v>201.60000000000082</v>
      </c>
      <c r="M291" s="18">
        <f t="shared" si="76"/>
        <v>209.59999999999945</v>
      </c>
      <c r="N291" s="19">
        <f t="shared" si="76"/>
        <v>147.19999999999936</v>
      </c>
      <c r="O291" s="19">
        <f t="shared" si="76"/>
        <v>160.00000000000091</v>
      </c>
      <c r="P291" s="19">
        <f t="shared" si="76"/>
        <v>167.99999999999932</v>
      </c>
      <c r="Q291" s="20">
        <f t="shared" si="76"/>
        <v>139.20000000000095</v>
      </c>
      <c r="R291" s="20">
        <f t="shared" si="76"/>
        <v>152.00000000000045</v>
      </c>
      <c r="S291" s="20">
        <f t="shared" si="76"/>
        <v>160.00000000000091</v>
      </c>
      <c r="T291" s="21">
        <f t="shared" ref="T291:AI306" si="78">T292-(T$363/360)</f>
        <v>131.2000000000005</v>
      </c>
      <c r="U291" s="21">
        <f t="shared" si="78"/>
        <v>144</v>
      </c>
      <c r="V291" s="21">
        <f t="shared" si="78"/>
        <v>152.00000000000045</v>
      </c>
      <c r="W291" s="22">
        <f t="shared" si="78"/>
        <v>123.20000000000005</v>
      </c>
      <c r="X291" s="22">
        <f t="shared" si="78"/>
        <v>135.99999999999955</v>
      </c>
      <c r="Y291" s="22">
        <f t="shared" si="78"/>
        <v>144</v>
      </c>
      <c r="Z291" s="23">
        <f t="shared" si="78"/>
        <v>115.19999999999959</v>
      </c>
      <c r="AA291" s="23">
        <f t="shared" si="78"/>
        <v>127.9999999999991</v>
      </c>
      <c r="AB291" s="23">
        <f t="shared" si="78"/>
        <v>135.99999999999955</v>
      </c>
      <c r="AC291" s="24">
        <f t="shared" si="78"/>
        <v>107.19999999999993</v>
      </c>
      <c r="AD291" s="24">
        <f t="shared" si="78"/>
        <v>120.0000000000004</v>
      </c>
      <c r="AE291" s="24">
        <f t="shared" si="78"/>
        <v>127.9999999999991</v>
      </c>
      <c r="AF291" s="25">
        <f t="shared" si="78"/>
        <v>99.199999999999704</v>
      </c>
      <c r="AG291" s="25">
        <f t="shared" si="78"/>
        <v>112.00000000000023</v>
      </c>
      <c r="AH291" s="25">
        <f t="shared" si="78"/>
        <v>120.0000000000004</v>
      </c>
      <c r="AI291" s="26">
        <f t="shared" si="78"/>
        <v>91.200000000000273</v>
      </c>
      <c r="AJ291" s="26">
        <f t="shared" si="77"/>
        <v>103.99999999999977</v>
      </c>
      <c r="AK291" s="26">
        <f t="shared" si="77"/>
        <v>112.00000000000023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221.56666666666646</v>
      </c>
      <c r="F292" s="16">
        <f t="shared" si="79"/>
        <v>234.41111111111044</v>
      </c>
      <c r="G292" s="16">
        <f t="shared" si="79"/>
        <v>242.4388888888879</v>
      </c>
      <c r="H292" s="17">
        <f t="shared" si="79"/>
        <v>205.51111111111129</v>
      </c>
      <c r="I292" s="17">
        <f t="shared" si="79"/>
        <v>218.35555555555584</v>
      </c>
      <c r="J292" s="17">
        <f t="shared" si="79"/>
        <v>226.38333333333253</v>
      </c>
      <c r="K292" s="18">
        <f t="shared" si="79"/>
        <v>189.45555555555484</v>
      </c>
      <c r="L292" s="18">
        <f t="shared" si="79"/>
        <v>202.30000000000081</v>
      </c>
      <c r="M292" s="18">
        <f t="shared" si="79"/>
        <v>210.32777777777724</v>
      </c>
      <c r="N292" s="19">
        <f t="shared" si="79"/>
        <v>147.71111111111048</v>
      </c>
      <c r="O292" s="19">
        <f t="shared" si="79"/>
        <v>160.55555555555645</v>
      </c>
      <c r="P292" s="19">
        <f t="shared" si="79"/>
        <v>168.58333333333266</v>
      </c>
      <c r="Q292" s="20">
        <f t="shared" si="79"/>
        <v>139.68333333333428</v>
      </c>
      <c r="R292" s="20">
        <f t="shared" si="79"/>
        <v>152.52777777777823</v>
      </c>
      <c r="S292" s="20">
        <f t="shared" si="79"/>
        <v>160.55555555555645</v>
      </c>
      <c r="T292" s="21">
        <f t="shared" si="79"/>
        <v>131.65555555555605</v>
      </c>
      <c r="U292" s="21">
        <f t="shared" si="78"/>
        <v>144.5</v>
      </c>
      <c r="V292" s="21">
        <f t="shared" si="78"/>
        <v>152.52777777777823</v>
      </c>
      <c r="W292" s="22">
        <f t="shared" si="78"/>
        <v>123.62777777777782</v>
      </c>
      <c r="X292" s="22">
        <f t="shared" si="78"/>
        <v>136.47222222222177</v>
      </c>
      <c r="Y292" s="22">
        <f t="shared" si="78"/>
        <v>144.5</v>
      </c>
      <c r="Z292" s="23">
        <f t="shared" si="78"/>
        <v>115.5999999999996</v>
      </c>
      <c r="AA292" s="23">
        <f t="shared" si="78"/>
        <v>128.44444444444355</v>
      </c>
      <c r="AB292" s="23">
        <f t="shared" si="78"/>
        <v>136.47222222222177</v>
      </c>
      <c r="AC292" s="24">
        <f t="shared" si="78"/>
        <v>107.57222222222215</v>
      </c>
      <c r="AD292" s="24">
        <f t="shared" si="78"/>
        <v>120.41666666666707</v>
      </c>
      <c r="AE292" s="24">
        <f t="shared" si="78"/>
        <v>128.44444444444355</v>
      </c>
      <c r="AF292" s="25">
        <f t="shared" si="78"/>
        <v>99.544444444444153</v>
      </c>
      <c r="AG292" s="25">
        <f t="shared" si="78"/>
        <v>112.38888888888911</v>
      </c>
      <c r="AH292" s="25">
        <f t="shared" si="78"/>
        <v>120.41666666666707</v>
      </c>
      <c r="AI292" s="26">
        <f t="shared" si="78"/>
        <v>91.516666666666936</v>
      </c>
      <c r="AJ292" s="26">
        <f t="shared" si="77"/>
        <v>104.36111111111089</v>
      </c>
      <c r="AK292" s="26">
        <f t="shared" si="77"/>
        <v>112.38888888888911</v>
      </c>
    </row>
    <row r="293" spans="4:37" ht="20.100000000000001" customHeight="1">
      <c r="D293" s="27">
        <f t="shared" si="72"/>
        <v>0.80555555555555325</v>
      </c>
      <c r="E293" s="16">
        <f t="shared" si="79"/>
        <v>222.33333333333314</v>
      </c>
      <c r="F293" s="16">
        <f t="shared" si="79"/>
        <v>235.22222222222155</v>
      </c>
      <c r="G293" s="16">
        <f t="shared" si="79"/>
        <v>243.27777777777681</v>
      </c>
      <c r="H293" s="17">
        <f t="shared" si="79"/>
        <v>206.2222222222224</v>
      </c>
      <c r="I293" s="17">
        <f t="shared" si="79"/>
        <v>219.1111111111114</v>
      </c>
      <c r="J293" s="17">
        <f t="shared" si="79"/>
        <v>227.16666666666586</v>
      </c>
      <c r="K293" s="18">
        <f t="shared" si="79"/>
        <v>190.1111111111104</v>
      </c>
      <c r="L293" s="18">
        <f t="shared" si="79"/>
        <v>203.0000000000008</v>
      </c>
      <c r="M293" s="18">
        <f t="shared" si="79"/>
        <v>211.05555555555503</v>
      </c>
      <c r="N293" s="19">
        <f t="shared" si="79"/>
        <v>148.2222222222216</v>
      </c>
      <c r="O293" s="19">
        <f t="shared" si="79"/>
        <v>161.111111111112</v>
      </c>
      <c r="P293" s="19">
        <f t="shared" si="79"/>
        <v>169.166666666666</v>
      </c>
      <c r="Q293" s="20">
        <f t="shared" si="79"/>
        <v>140.1666666666676</v>
      </c>
      <c r="R293" s="20">
        <f t="shared" si="79"/>
        <v>153.055555555556</v>
      </c>
      <c r="S293" s="20">
        <f t="shared" si="79"/>
        <v>161.111111111112</v>
      </c>
      <c r="T293" s="21">
        <f t="shared" si="79"/>
        <v>132.1111111111116</v>
      </c>
      <c r="U293" s="21">
        <f t="shared" si="78"/>
        <v>145</v>
      </c>
      <c r="V293" s="21">
        <f t="shared" si="78"/>
        <v>153.055555555556</v>
      </c>
      <c r="W293" s="22">
        <f t="shared" si="78"/>
        <v>124.0555555555556</v>
      </c>
      <c r="X293" s="22">
        <f t="shared" si="78"/>
        <v>136.944444444444</v>
      </c>
      <c r="Y293" s="22">
        <f t="shared" si="78"/>
        <v>145</v>
      </c>
      <c r="Z293" s="23">
        <f t="shared" si="78"/>
        <v>115.9999999999996</v>
      </c>
      <c r="AA293" s="23">
        <f t="shared" si="78"/>
        <v>128.888888888888</v>
      </c>
      <c r="AB293" s="23">
        <f t="shared" si="78"/>
        <v>136.944444444444</v>
      </c>
      <c r="AC293" s="24">
        <f t="shared" si="78"/>
        <v>107.94444444444437</v>
      </c>
      <c r="AD293" s="24">
        <f t="shared" si="78"/>
        <v>120.83333333333374</v>
      </c>
      <c r="AE293" s="24">
        <f t="shared" si="78"/>
        <v>128.888888888888</v>
      </c>
      <c r="AF293" s="25">
        <f t="shared" si="78"/>
        <v>99.888888888888602</v>
      </c>
      <c r="AG293" s="25">
        <f t="shared" si="78"/>
        <v>112.777777777778</v>
      </c>
      <c r="AH293" s="25">
        <f t="shared" si="78"/>
        <v>120.83333333333374</v>
      </c>
      <c r="AI293" s="26">
        <f t="shared" si="78"/>
        <v>91.833333333333599</v>
      </c>
      <c r="AJ293" s="26">
        <f t="shared" si="77"/>
        <v>104.722222222222</v>
      </c>
      <c r="AK293" s="26">
        <f t="shared" si="77"/>
        <v>112.777777777778</v>
      </c>
    </row>
    <row r="294" spans="4:37" ht="20.100000000000001" customHeight="1">
      <c r="D294" s="27">
        <f t="shared" si="72"/>
        <v>0.80833333333333102</v>
      </c>
      <c r="E294" s="16">
        <f t="shared" si="79"/>
        <v>223.09999999999982</v>
      </c>
      <c r="F294" s="16">
        <f t="shared" si="79"/>
        <v>236.03333333333265</v>
      </c>
      <c r="G294" s="16">
        <f t="shared" si="79"/>
        <v>244.11666666666571</v>
      </c>
      <c r="H294" s="17">
        <f t="shared" si="79"/>
        <v>206.93333333333351</v>
      </c>
      <c r="I294" s="17">
        <f t="shared" si="79"/>
        <v>219.86666666666696</v>
      </c>
      <c r="J294" s="17">
        <f t="shared" si="79"/>
        <v>227.94999999999919</v>
      </c>
      <c r="K294" s="18">
        <f t="shared" si="79"/>
        <v>190.76666666666597</v>
      </c>
      <c r="L294" s="18">
        <f t="shared" si="79"/>
        <v>203.70000000000078</v>
      </c>
      <c r="M294" s="18">
        <f t="shared" si="79"/>
        <v>211.78333333333282</v>
      </c>
      <c r="N294" s="19">
        <f t="shared" si="79"/>
        <v>148.73333333333272</v>
      </c>
      <c r="O294" s="19">
        <f t="shared" si="79"/>
        <v>161.66666666666754</v>
      </c>
      <c r="P294" s="19">
        <f t="shared" si="79"/>
        <v>169.74999999999935</v>
      </c>
      <c r="Q294" s="20">
        <f t="shared" si="79"/>
        <v>140.65000000000092</v>
      </c>
      <c r="R294" s="20">
        <f t="shared" si="79"/>
        <v>153.58333333333377</v>
      </c>
      <c r="S294" s="20">
        <f t="shared" si="79"/>
        <v>161.66666666666754</v>
      </c>
      <c r="T294" s="21">
        <f t="shared" si="79"/>
        <v>132.56666666666715</v>
      </c>
      <c r="U294" s="21">
        <f t="shared" si="78"/>
        <v>145.5</v>
      </c>
      <c r="V294" s="21">
        <f t="shared" si="78"/>
        <v>153.58333333333377</v>
      </c>
      <c r="W294" s="22">
        <f t="shared" si="78"/>
        <v>124.48333333333338</v>
      </c>
      <c r="X294" s="22">
        <f t="shared" si="78"/>
        <v>137.41666666666623</v>
      </c>
      <c r="Y294" s="22">
        <f t="shared" si="78"/>
        <v>145.5</v>
      </c>
      <c r="Z294" s="23">
        <f t="shared" si="78"/>
        <v>116.39999999999961</v>
      </c>
      <c r="AA294" s="23">
        <f t="shared" si="78"/>
        <v>129.33333333333246</v>
      </c>
      <c r="AB294" s="23">
        <f t="shared" si="78"/>
        <v>137.41666666666623</v>
      </c>
      <c r="AC294" s="24">
        <f t="shared" si="78"/>
        <v>108.31666666666659</v>
      </c>
      <c r="AD294" s="24">
        <f t="shared" si="78"/>
        <v>121.25000000000041</v>
      </c>
      <c r="AE294" s="24">
        <f t="shared" si="78"/>
        <v>129.33333333333246</v>
      </c>
      <c r="AF294" s="25">
        <f t="shared" si="78"/>
        <v>100.23333333333305</v>
      </c>
      <c r="AG294" s="25">
        <f t="shared" si="78"/>
        <v>113.16666666666688</v>
      </c>
      <c r="AH294" s="25">
        <f t="shared" si="78"/>
        <v>121.25000000000041</v>
      </c>
      <c r="AI294" s="26">
        <f t="shared" si="78"/>
        <v>92.150000000000261</v>
      </c>
      <c r="AJ294" s="26">
        <f t="shared" si="77"/>
        <v>105.08333333333312</v>
      </c>
      <c r="AK294" s="26">
        <f t="shared" si="77"/>
        <v>113.16666666666688</v>
      </c>
    </row>
    <row r="295" spans="4:37" ht="20.100000000000001" customHeight="1">
      <c r="D295" s="27">
        <f t="shared" si="72"/>
        <v>0.81111111111110878</v>
      </c>
      <c r="E295" s="16">
        <f t="shared" si="79"/>
        <v>223.8666666666665</v>
      </c>
      <c r="F295" s="16">
        <f t="shared" si="79"/>
        <v>236.84444444444375</v>
      </c>
      <c r="G295" s="16">
        <f t="shared" si="79"/>
        <v>244.95555555555461</v>
      </c>
      <c r="H295" s="17">
        <f t="shared" si="79"/>
        <v>207.64444444444462</v>
      </c>
      <c r="I295" s="17">
        <f t="shared" si="79"/>
        <v>220.62222222222252</v>
      </c>
      <c r="J295" s="17">
        <f t="shared" si="79"/>
        <v>228.73333333333252</v>
      </c>
      <c r="K295" s="18">
        <f t="shared" si="79"/>
        <v>191.42222222222154</v>
      </c>
      <c r="L295" s="18">
        <f t="shared" si="79"/>
        <v>204.40000000000077</v>
      </c>
      <c r="M295" s="18">
        <f t="shared" si="79"/>
        <v>212.51111111111061</v>
      </c>
      <c r="N295" s="19">
        <f t="shared" si="79"/>
        <v>149.24444444444384</v>
      </c>
      <c r="O295" s="19">
        <f t="shared" si="79"/>
        <v>162.22222222222308</v>
      </c>
      <c r="P295" s="19">
        <f t="shared" si="79"/>
        <v>170.33333333333269</v>
      </c>
      <c r="Q295" s="20">
        <f t="shared" si="79"/>
        <v>141.13333333333424</v>
      </c>
      <c r="R295" s="20">
        <f t="shared" si="79"/>
        <v>154.11111111111154</v>
      </c>
      <c r="S295" s="20">
        <f t="shared" si="79"/>
        <v>162.22222222222308</v>
      </c>
      <c r="T295" s="21">
        <f t="shared" si="79"/>
        <v>133.02222222222269</v>
      </c>
      <c r="U295" s="21">
        <f t="shared" si="78"/>
        <v>146</v>
      </c>
      <c r="V295" s="21">
        <f t="shared" si="78"/>
        <v>154.11111111111154</v>
      </c>
      <c r="W295" s="22">
        <f t="shared" si="78"/>
        <v>124.91111111111115</v>
      </c>
      <c r="X295" s="22">
        <f t="shared" si="78"/>
        <v>137.88888888888846</v>
      </c>
      <c r="Y295" s="22">
        <f t="shared" si="78"/>
        <v>146</v>
      </c>
      <c r="Z295" s="23">
        <f t="shared" si="78"/>
        <v>116.79999999999961</v>
      </c>
      <c r="AA295" s="23">
        <f t="shared" si="78"/>
        <v>129.77777777777692</v>
      </c>
      <c r="AB295" s="23">
        <f t="shared" si="78"/>
        <v>137.88888888888846</v>
      </c>
      <c r="AC295" s="24">
        <f t="shared" si="78"/>
        <v>108.68888888888881</v>
      </c>
      <c r="AD295" s="24">
        <f t="shared" si="78"/>
        <v>121.66666666666708</v>
      </c>
      <c r="AE295" s="24">
        <f t="shared" si="78"/>
        <v>129.77777777777692</v>
      </c>
      <c r="AF295" s="25">
        <f t="shared" si="78"/>
        <v>100.5777777777775</v>
      </c>
      <c r="AG295" s="25">
        <f t="shared" si="78"/>
        <v>113.55555555555577</v>
      </c>
      <c r="AH295" s="25">
        <f t="shared" si="78"/>
        <v>121.66666666666708</v>
      </c>
      <c r="AI295" s="26">
        <f t="shared" si="78"/>
        <v>92.466666666666924</v>
      </c>
      <c r="AJ295" s="26">
        <f t="shared" si="77"/>
        <v>105.44444444444423</v>
      </c>
      <c r="AK295" s="26">
        <f t="shared" si="77"/>
        <v>113.55555555555577</v>
      </c>
    </row>
    <row r="296" spans="4:37" ht="20.100000000000001" customHeight="1">
      <c r="D296" s="27">
        <f t="shared" si="72"/>
        <v>0.81388888888888655</v>
      </c>
      <c r="E296" s="16">
        <f t="shared" si="79"/>
        <v>224.63333333333318</v>
      </c>
      <c r="F296" s="16">
        <f t="shared" si="79"/>
        <v>237.65555555555486</v>
      </c>
      <c r="G296" s="16">
        <f t="shared" si="79"/>
        <v>245.79444444444351</v>
      </c>
      <c r="H296" s="17">
        <f t="shared" si="79"/>
        <v>208.35555555555572</v>
      </c>
      <c r="I296" s="17">
        <f t="shared" si="79"/>
        <v>221.37777777777808</v>
      </c>
      <c r="J296" s="17">
        <f t="shared" si="79"/>
        <v>229.51666666666586</v>
      </c>
      <c r="K296" s="18">
        <f t="shared" si="79"/>
        <v>192.0777777777771</v>
      </c>
      <c r="L296" s="18">
        <f t="shared" si="79"/>
        <v>205.10000000000076</v>
      </c>
      <c r="M296" s="18">
        <f t="shared" si="79"/>
        <v>213.2388888888884</v>
      </c>
      <c r="N296" s="19">
        <f t="shared" si="79"/>
        <v>149.75555555555496</v>
      </c>
      <c r="O296" s="19">
        <f t="shared" si="79"/>
        <v>162.77777777777862</v>
      </c>
      <c r="P296" s="19">
        <f t="shared" si="79"/>
        <v>170.91666666666603</v>
      </c>
      <c r="Q296" s="20">
        <f t="shared" si="79"/>
        <v>141.61666666666756</v>
      </c>
      <c r="R296" s="20">
        <f t="shared" si="79"/>
        <v>154.63888888888931</v>
      </c>
      <c r="S296" s="20">
        <f t="shared" si="79"/>
        <v>162.77777777777862</v>
      </c>
      <c r="T296" s="21">
        <f t="shared" si="79"/>
        <v>133.47777777777824</v>
      </c>
      <c r="U296" s="21">
        <f t="shared" si="78"/>
        <v>146.5</v>
      </c>
      <c r="V296" s="21">
        <f t="shared" si="78"/>
        <v>154.63888888888931</v>
      </c>
      <c r="W296" s="22">
        <f t="shared" si="78"/>
        <v>125.33888888888893</v>
      </c>
      <c r="X296" s="22">
        <f t="shared" si="78"/>
        <v>138.36111111111069</v>
      </c>
      <c r="Y296" s="22">
        <f t="shared" si="78"/>
        <v>146.5</v>
      </c>
      <c r="Z296" s="23">
        <f t="shared" si="78"/>
        <v>117.19999999999962</v>
      </c>
      <c r="AA296" s="23">
        <f t="shared" si="78"/>
        <v>130.22222222222138</v>
      </c>
      <c r="AB296" s="23">
        <f t="shared" si="78"/>
        <v>138.36111111111069</v>
      </c>
      <c r="AC296" s="24">
        <f t="shared" si="78"/>
        <v>109.06111111111103</v>
      </c>
      <c r="AD296" s="24">
        <f t="shared" si="78"/>
        <v>122.08333333333375</v>
      </c>
      <c r="AE296" s="24">
        <f t="shared" si="78"/>
        <v>130.22222222222138</v>
      </c>
      <c r="AF296" s="25">
        <f t="shared" si="78"/>
        <v>100.92222222222195</v>
      </c>
      <c r="AG296" s="25">
        <f t="shared" si="78"/>
        <v>113.94444444444466</v>
      </c>
      <c r="AH296" s="25">
        <f t="shared" si="78"/>
        <v>122.08333333333375</v>
      </c>
      <c r="AI296" s="26">
        <f t="shared" si="78"/>
        <v>92.783333333333587</v>
      </c>
      <c r="AJ296" s="26">
        <f t="shared" si="77"/>
        <v>105.80555555555534</v>
      </c>
      <c r="AK296" s="26">
        <f t="shared" si="77"/>
        <v>113.94444444444466</v>
      </c>
    </row>
    <row r="297" spans="4:37" ht="20.100000000000001" customHeight="1">
      <c r="D297" s="27">
        <f t="shared" si="72"/>
        <v>0.81666666666666432</v>
      </c>
      <c r="E297" s="16">
        <f t="shared" si="79"/>
        <v>225.39999999999986</v>
      </c>
      <c r="F297" s="16">
        <f t="shared" si="79"/>
        <v>238.46666666666596</v>
      </c>
      <c r="G297" s="16">
        <f t="shared" si="79"/>
        <v>246.63333333333242</v>
      </c>
      <c r="H297" s="17">
        <f t="shared" si="79"/>
        <v>209.06666666666683</v>
      </c>
      <c r="I297" s="17">
        <f t="shared" si="79"/>
        <v>222.13333333333364</v>
      </c>
      <c r="J297" s="17">
        <f t="shared" si="79"/>
        <v>230.29999999999919</v>
      </c>
      <c r="K297" s="18">
        <f t="shared" si="79"/>
        <v>192.73333333333267</v>
      </c>
      <c r="L297" s="18">
        <f t="shared" si="79"/>
        <v>205.80000000000075</v>
      </c>
      <c r="M297" s="18">
        <f t="shared" si="79"/>
        <v>213.96666666666619</v>
      </c>
      <c r="N297" s="19">
        <f t="shared" si="79"/>
        <v>150.26666666666608</v>
      </c>
      <c r="O297" s="19">
        <f t="shared" si="79"/>
        <v>163.33333333333417</v>
      </c>
      <c r="P297" s="19">
        <f t="shared" si="79"/>
        <v>171.49999999999937</v>
      </c>
      <c r="Q297" s="20">
        <f t="shared" si="79"/>
        <v>142.10000000000088</v>
      </c>
      <c r="R297" s="20">
        <f t="shared" si="79"/>
        <v>155.16666666666708</v>
      </c>
      <c r="S297" s="20">
        <f t="shared" si="79"/>
        <v>163.33333333333417</v>
      </c>
      <c r="T297" s="21">
        <f t="shared" si="79"/>
        <v>133.93333333333379</v>
      </c>
      <c r="U297" s="21">
        <f t="shared" si="78"/>
        <v>147</v>
      </c>
      <c r="V297" s="21">
        <f t="shared" si="78"/>
        <v>155.16666666666708</v>
      </c>
      <c r="W297" s="22">
        <f t="shared" si="78"/>
        <v>125.76666666666671</v>
      </c>
      <c r="X297" s="22">
        <f t="shared" si="78"/>
        <v>138.83333333333292</v>
      </c>
      <c r="Y297" s="22">
        <f t="shared" si="78"/>
        <v>147</v>
      </c>
      <c r="Z297" s="23">
        <f t="shared" si="78"/>
        <v>117.59999999999962</v>
      </c>
      <c r="AA297" s="23">
        <f t="shared" si="78"/>
        <v>130.66666666666583</v>
      </c>
      <c r="AB297" s="23">
        <f t="shared" si="78"/>
        <v>138.83333333333292</v>
      </c>
      <c r="AC297" s="24">
        <f t="shared" si="78"/>
        <v>109.43333333333325</v>
      </c>
      <c r="AD297" s="24">
        <f t="shared" si="78"/>
        <v>122.50000000000043</v>
      </c>
      <c r="AE297" s="24">
        <f t="shared" si="78"/>
        <v>130.66666666666583</v>
      </c>
      <c r="AF297" s="25">
        <f t="shared" si="78"/>
        <v>101.2666666666664</v>
      </c>
      <c r="AG297" s="25">
        <f t="shared" si="78"/>
        <v>114.33333333333354</v>
      </c>
      <c r="AH297" s="25">
        <f t="shared" si="78"/>
        <v>122.50000000000043</v>
      </c>
      <c r="AI297" s="26">
        <f t="shared" si="78"/>
        <v>93.10000000000025</v>
      </c>
      <c r="AJ297" s="26">
        <f t="shared" si="77"/>
        <v>106.16666666666646</v>
      </c>
      <c r="AK297" s="26">
        <f t="shared" si="77"/>
        <v>114.33333333333354</v>
      </c>
    </row>
    <row r="298" spans="4:37" ht="20.100000000000001" customHeight="1">
      <c r="D298" s="27">
        <f t="shared" si="72"/>
        <v>0.81944444444444209</v>
      </c>
      <c r="E298" s="16">
        <f t="shared" si="79"/>
        <v>226.16666666666654</v>
      </c>
      <c r="F298" s="16">
        <f t="shared" si="79"/>
        <v>239.27777777777706</v>
      </c>
      <c r="G298" s="16">
        <f t="shared" si="79"/>
        <v>247.47222222222132</v>
      </c>
      <c r="H298" s="17">
        <f t="shared" si="79"/>
        <v>209.77777777777794</v>
      </c>
      <c r="I298" s="17">
        <f t="shared" si="79"/>
        <v>222.8888888888892</v>
      </c>
      <c r="J298" s="17">
        <f t="shared" si="79"/>
        <v>231.08333333333252</v>
      </c>
      <c r="K298" s="18">
        <f t="shared" si="79"/>
        <v>193.38888888888823</v>
      </c>
      <c r="L298" s="18">
        <f t="shared" si="79"/>
        <v>206.50000000000074</v>
      </c>
      <c r="M298" s="18">
        <f t="shared" si="79"/>
        <v>214.69444444444397</v>
      </c>
      <c r="N298" s="19">
        <f t="shared" si="79"/>
        <v>150.7777777777772</v>
      </c>
      <c r="O298" s="19">
        <f t="shared" si="79"/>
        <v>163.88888888888971</v>
      </c>
      <c r="P298" s="19">
        <f t="shared" si="79"/>
        <v>172.08333333333272</v>
      </c>
      <c r="Q298" s="20">
        <f t="shared" si="79"/>
        <v>142.5833333333342</v>
      </c>
      <c r="R298" s="20">
        <f t="shared" si="79"/>
        <v>155.69444444444485</v>
      </c>
      <c r="S298" s="20">
        <f t="shared" si="79"/>
        <v>163.88888888888971</v>
      </c>
      <c r="T298" s="21">
        <f t="shared" si="79"/>
        <v>134.38888888888934</v>
      </c>
      <c r="U298" s="21">
        <f t="shared" si="78"/>
        <v>147.5</v>
      </c>
      <c r="V298" s="21">
        <f t="shared" si="78"/>
        <v>155.69444444444485</v>
      </c>
      <c r="W298" s="22">
        <f t="shared" si="78"/>
        <v>126.19444444444449</v>
      </c>
      <c r="X298" s="22">
        <f t="shared" si="78"/>
        <v>139.30555555555515</v>
      </c>
      <c r="Y298" s="22">
        <f t="shared" si="78"/>
        <v>147.5</v>
      </c>
      <c r="Z298" s="23">
        <f t="shared" si="78"/>
        <v>117.99999999999963</v>
      </c>
      <c r="AA298" s="23">
        <f t="shared" si="78"/>
        <v>131.11111111111029</v>
      </c>
      <c r="AB298" s="23">
        <f t="shared" si="78"/>
        <v>139.30555555555515</v>
      </c>
      <c r="AC298" s="24">
        <f t="shared" si="78"/>
        <v>109.80555555555547</v>
      </c>
      <c r="AD298" s="24">
        <f t="shared" si="78"/>
        <v>122.9166666666671</v>
      </c>
      <c r="AE298" s="24">
        <f t="shared" si="78"/>
        <v>131.11111111111029</v>
      </c>
      <c r="AF298" s="25">
        <f t="shared" si="78"/>
        <v>101.61111111111084</v>
      </c>
      <c r="AG298" s="25">
        <f t="shared" si="78"/>
        <v>114.72222222222243</v>
      </c>
      <c r="AH298" s="25">
        <f t="shared" si="78"/>
        <v>122.9166666666671</v>
      </c>
      <c r="AI298" s="26">
        <f t="shared" si="78"/>
        <v>93.416666666666913</v>
      </c>
      <c r="AJ298" s="26">
        <f t="shared" si="77"/>
        <v>106.52777777777757</v>
      </c>
      <c r="AK298" s="26">
        <f t="shared" si="77"/>
        <v>114.72222222222243</v>
      </c>
    </row>
    <row r="299" spans="4:37" ht="20.100000000000001" customHeight="1">
      <c r="D299" s="27">
        <f t="shared" si="72"/>
        <v>0.82222222222221986</v>
      </c>
      <c r="E299" s="16">
        <f t="shared" si="79"/>
        <v>226.93333333333322</v>
      </c>
      <c r="F299" s="16">
        <f t="shared" si="79"/>
        <v>240.08888888888816</v>
      </c>
      <c r="G299" s="16">
        <f t="shared" si="79"/>
        <v>248.31111111111022</v>
      </c>
      <c r="H299" s="17">
        <f t="shared" si="79"/>
        <v>210.48888888888905</v>
      </c>
      <c r="I299" s="17">
        <f t="shared" si="79"/>
        <v>223.64444444444476</v>
      </c>
      <c r="J299" s="17">
        <f t="shared" si="79"/>
        <v>231.86666666666585</v>
      </c>
      <c r="K299" s="18">
        <f t="shared" si="79"/>
        <v>194.0444444444438</v>
      </c>
      <c r="L299" s="18">
        <f t="shared" si="79"/>
        <v>207.20000000000073</v>
      </c>
      <c r="M299" s="18">
        <f t="shared" si="79"/>
        <v>215.42222222222176</v>
      </c>
      <c r="N299" s="19">
        <f t="shared" si="79"/>
        <v>151.28888888888832</v>
      </c>
      <c r="O299" s="19">
        <f t="shared" si="79"/>
        <v>164.44444444444525</v>
      </c>
      <c r="P299" s="19">
        <f t="shared" si="79"/>
        <v>172.66666666666606</v>
      </c>
      <c r="Q299" s="20">
        <f t="shared" si="79"/>
        <v>143.06666666666752</v>
      </c>
      <c r="R299" s="20">
        <f t="shared" si="79"/>
        <v>156.22222222222263</v>
      </c>
      <c r="S299" s="20">
        <f t="shared" si="79"/>
        <v>164.44444444444525</v>
      </c>
      <c r="T299" s="21">
        <f t="shared" si="79"/>
        <v>134.84444444444489</v>
      </c>
      <c r="U299" s="21">
        <f t="shared" si="78"/>
        <v>148</v>
      </c>
      <c r="V299" s="21">
        <f t="shared" si="78"/>
        <v>156.22222222222263</v>
      </c>
      <c r="W299" s="22">
        <f t="shared" si="78"/>
        <v>126.62222222222226</v>
      </c>
      <c r="X299" s="22">
        <f t="shared" si="78"/>
        <v>139.77777777777737</v>
      </c>
      <c r="Y299" s="22">
        <f t="shared" si="78"/>
        <v>148</v>
      </c>
      <c r="Z299" s="23">
        <f t="shared" si="78"/>
        <v>118.39999999999964</v>
      </c>
      <c r="AA299" s="23">
        <f t="shared" si="78"/>
        <v>131.55555555555475</v>
      </c>
      <c r="AB299" s="23">
        <f t="shared" si="78"/>
        <v>139.77777777777737</v>
      </c>
      <c r="AC299" s="24">
        <f t="shared" si="78"/>
        <v>110.17777777777769</v>
      </c>
      <c r="AD299" s="24">
        <f t="shared" si="78"/>
        <v>123.33333333333377</v>
      </c>
      <c r="AE299" s="24">
        <f t="shared" si="78"/>
        <v>131.55555555555475</v>
      </c>
      <c r="AF299" s="25">
        <f t="shared" si="78"/>
        <v>101.95555555555529</v>
      </c>
      <c r="AG299" s="25">
        <f t="shared" si="78"/>
        <v>115.11111111111131</v>
      </c>
      <c r="AH299" s="25">
        <f t="shared" si="78"/>
        <v>123.33333333333377</v>
      </c>
      <c r="AI299" s="26">
        <f t="shared" si="78"/>
        <v>93.733333333333576</v>
      </c>
      <c r="AJ299" s="26">
        <f t="shared" si="77"/>
        <v>106.88888888888869</v>
      </c>
      <c r="AK299" s="26">
        <f t="shared" si="77"/>
        <v>115.11111111111131</v>
      </c>
    </row>
    <row r="300" spans="4:37" ht="20.100000000000001" customHeight="1">
      <c r="D300" s="27">
        <f t="shared" si="72"/>
        <v>0.82499999999999762</v>
      </c>
      <c r="E300" s="16">
        <f t="shared" si="79"/>
        <v>227.6999999999999</v>
      </c>
      <c r="F300" s="16">
        <f t="shared" si="79"/>
        <v>240.89999999999927</v>
      </c>
      <c r="G300" s="16">
        <f t="shared" si="79"/>
        <v>249.14999999999912</v>
      </c>
      <c r="H300" s="17">
        <f t="shared" si="79"/>
        <v>211.20000000000016</v>
      </c>
      <c r="I300" s="17">
        <f t="shared" si="79"/>
        <v>224.40000000000032</v>
      </c>
      <c r="J300" s="17">
        <f t="shared" si="79"/>
        <v>232.64999999999918</v>
      </c>
      <c r="K300" s="18">
        <f t="shared" si="79"/>
        <v>194.69999999999936</v>
      </c>
      <c r="L300" s="18">
        <f t="shared" si="79"/>
        <v>207.90000000000072</v>
      </c>
      <c r="M300" s="18">
        <f t="shared" si="79"/>
        <v>216.14999999999955</v>
      </c>
      <c r="N300" s="19">
        <f t="shared" si="79"/>
        <v>151.79999999999944</v>
      </c>
      <c r="O300" s="19">
        <f t="shared" si="79"/>
        <v>165.0000000000008</v>
      </c>
      <c r="P300" s="19">
        <f t="shared" si="79"/>
        <v>173.2499999999994</v>
      </c>
      <c r="Q300" s="20">
        <f t="shared" si="79"/>
        <v>143.55000000000084</v>
      </c>
      <c r="R300" s="20">
        <f t="shared" si="79"/>
        <v>156.7500000000004</v>
      </c>
      <c r="S300" s="20">
        <f t="shared" si="79"/>
        <v>165.0000000000008</v>
      </c>
      <c r="T300" s="21">
        <f t="shared" si="79"/>
        <v>135.30000000000044</v>
      </c>
      <c r="U300" s="21">
        <f t="shared" si="78"/>
        <v>148.5</v>
      </c>
      <c r="V300" s="21">
        <f t="shared" si="78"/>
        <v>156.7500000000004</v>
      </c>
      <c r="W300" s="22">
        <f t="shared" si="78"/>
        <v>127.05000000000004</v>
      </c>
      <c r="X300" s="22">
        <f t="shared" si="78"/>
        <v>140.2499999999996</v>
      </c>
      <c r="Y300" s="22">
        <f t="shared" si="78"/>
        <v>148.5</v>
      </c>
      <c r="Z300" s="23">
        <f t="shared" si="78"/>
        <v>118.79999999999964</v>
      </c>
      <c r="AA300" s="23">
        <f t="shared" si="78"/>
        <v>131.9999999999992</v>
      </c>
      <c r="AB300" s="23">
        <f t="shared" si="78"/>
        <v>140.2499999999996</v>
      </c>
      <c r="AC300" s="24">
        <f t="shared" si="78"/>
        <v>110.54999999999991</v>
      </c>
      <c r="AD300" s="24">
        <f t="shared" si="78"/>
        <v>123.75000000000044</v>
      </c>
      <c r="AE300" s="24">
        <f t="shared" si="78"/>
        <v>131.9999999999992</v>
      </c>
      <c r="AF300" s="25">
        <f t="shared" si="78"/>
        <v>102.29999999999974</v>
      </c>
      <c r="AG300" s="25">
        <f t="shared" si="78"/>
        <v>115.5000000000002</v>
      </c>
      <c r="AH300" s="25">
        <f t="shared" si="78"/>
        <v>123.75000000000044</v>
      </c>
      <c r="AI300" s="26">
        <f t="shared" si="78"/>
        <v>94.050000000000239</v>
      </c>
      <c r="AJ300" s="26">
        <f t="shared" ref="AJ300:AK306" si="80">AJ301-(AJ$363/360)</f>
        <v>107.2499999999998</v>
      </c>
      <c r="AK300" s="26">
        <f t="shared" si="80"/>
        <v>115.5000000000002</v>
      </c>
    </row>
    <row r="301" spans="4:37" ht="20.100000000000001" customHeight="1">
      <c r="D301" s="27">
        <f t="shared" si="72"/>
        <v>0.82777777777777539</v>
      </c>
      <c r="E301" s="16">
        <f t="shared" si="79"/>
        <v>228.46666666666658</v>
      </c>
      <c r="F301" s="16">
        <f t="shared" si="79"/>
        <v>241.71111111111037</v>
      </c>
      <c r="G301" s="16">
        <f t="shared" si="79"/>
        <v>249.98888888888803</v>
      </c>
      <c r="H301" s="17">
        <f t="shared" si="79"/>
        <v>211.91111111111127</v>
      </c>
      <c r="I301" s="17">
        <f t="shared" si="79"/>
        <v>225.15555555555588</v>
      </c>
      <c r="J301" s="17">
        <f t="shared" si="79"/>
        <v>233.43333333333251</v>
      </c>
      <c r="K301" s="18">
        <f t="shared" si="79"/>
        <v>195.35555555555493</v>
      </c>
      <c r="L301" s="18">
        <f t="shared" si="79"/>
        <v>208.6000000000007</v>
      </c>
      <c r="M301" s="18">
        <f t="shared" si="79"/>
        <v>216.87777777777734</v>
      </c>
      <c r="N301" s="19">
        <f t="shared" si="79"/>
        <v>152.31111111111056</v>
      </c>
      <c r="O301" s="19">
        <f t="shared" si="79"/>
        <v>165.55555555555634</v>
      </c>
      <c r="P301" s="19">
        <f t="shared" si="79"/>
        <v>173.83333333333275</v>
      </c>
      <c r="Q301" s="20">
        <f t="shared" si="79"/>
        <v>144.03333333333416</v>
      </c>
      <c r="R301" s="20">
        <f t="shared" si="79"/>
        <v>157.27777777777817</v>
      </c>
      <c r="S301" s="20">
        <f t="shared" si="79"/>
        <v>165.55555555555634</v>
      </c>
      <c r="T301" s="21">
        <f t="shared" si="79"/>
        <v>135.75555555555599</v>
      </c>
      <c r="U301" s="21">
        <f t="shared" si="78"/>
        <v>149</v>
      </c>
      <c r="V301" s="21">
        <f t="shared" si="78"/>
        <v>157.27777777777817</v>
      </c>
      <c r="W301" s="22">
        <f t="shared" si="78"/>
        <v>127.47777777777782</v>
      </c>
      <c r="X301" s="22">
        <f t="shared" si="78"/>
        <v>140.72222222222183</v>
      </c>
      <c r="Y301" s="22">
        <f t="shared" si="78"/>
        <v>149</v>
      </c>
      <c r="Z301" s="23">
        <f t="shared" si="78"/>
        <v>119.19999999999965</v>
      </c>
      <c r="AA301" s="23">
        <f t="shared" si="78"/>
        <v>132.44444444444366</v>
      </c>
      <c r="AB301" s="23">
        <f t="shared" si="78"/>
        <v>140.72222222222183</v>
      </c>
      <c r="AC301" s="24">
        <f t="shared" si="78"/>
        <v>110.92222222222213</v>
      </c>
      <c r="AD301" s="24">
        <f t="shared" si="78"/>
        <v>124.16666666666711</v>
      </c>
      <c r="AE301" s="24">
        <f t="shared" si="78"/>
        <v>132.44444444444366</v>
      </c>
      <c r="AF301" s="25">
        <f t="shared" si="78"/>
        <v>102.64444444444419</v>
      </c>
      <c r="AG301" s="25">
        <f t="shared" si="78"/>
        <v>115.88888888888908</v>
      </c>
      <c r="AH301" s="25">
        <f t="shared" si="78"/>
        <v>124.16666666666711</v>
      </c>
      <c r="AI301" s="26">
        <f t="shared" si="78"/>
        <v>94.366666666666902</v>
      </c>
      <c r="AJ301" s="26">
        <f t="shared" si="80"/>
        <v>107.61111111111092</v>
      </c>
      <c r="AK301" s="26">
        <f t="shared" si="80"/>
        <v>115.88888888888908</v>
      </c>
    </row>
    <row r="302" spans="4:37" ht="20.100000000000001" customHeight="1">
      <c r="D302" s="27">
        <f t="shared" si="72"/>
        <v>0.83055555555555316</v>
      </c>
      <c r="E302" s="16">
        <f t="shared" si="79"/>
        <v>229.23333333333326</v>
      </c>
      <c r="F302" s="16">
        <f t="shared" si="79"/>
        <v>242.52222222222147</v>
      </c>
      <c r="G302" s="16">
        <f t="shared" si="79"/>
        <v>250.82777777777693</v>
      </c>
      <c r="H302" s="17">
        <f t="shared" si="79"/>
        <v>212.62222222222238</v>
      </c>
      <c r="I302" s="17">
        <f t="shared" si="79"/>
        <v>225.91111111111144</v>
      </c>
      <c r="J302" s="17">
        <f t="shared" si="79"/>
        <v>234.21666666666584</v>
      </c>
      <c r="K302" s="18">
        <f t="shared" si="79"/>
        <v>196.01111111111049</v>
      </c>
      <c r="L302" s="18">
        <f t="shared" si="79"/>
        <v>209.30000000000069</v>
      </c>
      <c r="M302" s="18">
        <f t="shared" si="79"/>
        <v>217.60555555555513</v>
      </c>
      <c r="N302" s="19">
        <f t="shared" si="79"/>
        <v>152.82222222222168</v>
      </c>
      <c r="O302" s="19">
        <f t="shared" si="79"/>
        <v>166.11111111111188</v>
      </c>
      <c r="P302" s="19">
        <f t="shared" si="79"/>
        <v>174.41666666666609</v>
      </c>
      <c r="Q302" s="20">
        <f t="shared" si="79"/>
        <v>144.51666666666748</v>
      </c>
      <c r="R302" s="20">
        <f t="shared" si="79"/>
        <v>157.80555555555594</v>
      </c>
      <c r="S302" s="20">
        <f t="shared" si="79"/>
        <v>166.11111111111188</v>
      </c>
      <c r="T302" s="21">
        <f t="shared" si="79"/>
        <v>136.21111111111153</v>
      </c>
      <c r="U302" s="21">
        <f t="shared" si="78"/>
        <v>149.5</v>
      </c>
      <c r="V302" s="21">
        <f t="shared" si="78"/>
        <v>157.80555555555594</v>
      </c>
      <c r="W302" s="22">
        <f t="shared" si="78"/>
        <v>127.90555555555559</v>
      </c>
      <c r="X302" s="22">
        <f t="shared" si="78"/>
        <v>141.19444444444406</v>
      </c>
      <c r="Y302" s="22">
        <f t="shared" si="78"/>
        <v>149.5</v>
      </c>
      <c r="Z302" s="23">
        <f t="shared" si="78"/>
        <v>119.59999999999965</v>
      </c>
      <c r="AA302" s="23">
        <f t="shared" si="78"/>
        <v>132.88888888888812</v>
      </c>
      <c r="AB302" s="23">
        <f t="shared" si="78"/>
        <v>141.19444444444406</v>
      </c>
      <c r="AC302" s="24">
        <f t="shared" si="78"/>
        <v>111.29444444444435</v>
      </c>
      <c r="AD302" s="24">
        <f t="shared" si="78"/>
        <v>124.58333333333378</v>
      </c>
      <c r="AE302" s="24">
        <f t="shared" si="78"/>
        <v>132.88888888888812</v>
      </c>
      <c r="AF302" s="25">
        <f t="shared" si="78"/>
        <v>102.98888888888864</v>
      </c>
      <c r="AG302" s="25">
        <f t="shared" si="78"/>
        <v>116.27777777777797</v>
      </c>
      <c r="AH302" s="25">
        <f t="shared" si="78"/>
        <v>124.58333333333378</v>
      </c>
      <c r="AI302" s="26">
        <f t="shared" si="78"/>
        <v>94.683333333333564</v>
      </c>
      <c r="AJ302" s="26">
        <f t="shared" si="80"/>
        <v>107.97222222222203</v>
      </c>
      <c r="AK302" s="26">
        <f t="shared" si="80"/>
        <v>116.27777777777797</v>
      </c>
    </row>
    <row r="303" spans="4:37" ht="20.100000000000001" customHeight="1">
      <c r="D303" s="27">
        <f t="shared" si="72"/>
        <v>0.83333333333333093</v>
      </c>
      <c r="E303" s="16">
        <f t="shared" si="79"/>
        <v>229.99999999999994</v>
      </c>
      <c r="F303" s="16">
        <f t="shared" si="79"/>
        <v>243.33333333333258</v>
      </c>
      <c r="G303" s="16">
        <f t="shared" si="79"/>
        <v>251.66666666666583</v>
      </c>
      <c r="H303" s="17">
        <f t="shared" si="79"/>
        <v>213.33333333333348</v>
      </c>
      <c r="I303" s="17">
        <f t="shared" si="79"/>
        <v>226.666666666667</v>
      </c>
      <c r="J303" s="17">
        <f t="shared" si="79"/>
        <v>234.99999999999918</v>
      </c>
      <c r="K303" s="18">
        <f t="shared" si="79"/>
        <v>196.66666666666606</v>
      </c>
      <c r="L303" s="18">
        <f t="shared" si="79"/>
        <v>210.00000000000068</v>
      </c>
      <c r="M303" s="18">
        <f t="shared" si="79"/>
        <v>218.33333333333292</v>
      </c>
      <c r="N303" s="19">
        <f t="shared" si="79"/>
        <v>153.3333333333328</v>
      </c>
      <c r="O303" s="19">
        <f t="shared" si="79"/>
        <v>166.66666666666742</v>
      </c>
      <c r="P303" s="19">
        <f t="shared" si="79"/>
        <v>174.99999999999943</v>
      </c>
      <c r="Q303" s="20">
        <f t="shared" si="79"/>
        <v>145.0000000000008</v>
      </c>
      <c r="R303" s="20">
        <f t="shared" si="79"/>
        <v>158.33333333333371</v>
      </c>
      <c r="S303" s="20">
        <f t="shared" si="79"/>
        <v>166.66666666666742</v>
      </c>
      <c r="T303" s="21">
        <f t="shared" si="79"/>
        <v>136.66666666666708</v>
      </c>
      <c r="U303" s="21">
        <f t="shared" si="78"/>
        <v>150</v>
      </c>
      <c r="V303" s="21">
        <f t="shared" si="78"/>
        <v>158.33333333333371</v>
      </c>
      <c r="W303" s="22">
        <f t="shared" si="78"/>
        <v>128.33333333333337</v>
      </c>
      <c r="X303" s="22">
        <f t="shared" si="78"/>
        <v>141.66666666666629</v>
      </c>
      <c r="Y303" s="22">
        <f t="shared" si="78"/>
        <v>150</v>
      </c>
      <c r="Z303" s="23">
        <f t="shared" si="78"/>
        <v>119.99999999999966</v>
      </c>
      <c r="AA303" s="23">
        <f t="shared" si="78"/>
        <v>133.33333333333258</v>
      </c>
      <c r="AB303" s="23">
        <f t="shared" si="78"/>
        <v>141.66666666666629</v>
      </c>
      <c r="AC303" s="24">
        <f t="shared" si="78"/>
        <v>111.66666666666657</v>
      </c>
      <c r="AD303" s="24">
        <f t="shared" si="78"/>
        <v>125.00000000000045</v>
      </c>
      <c r="AE303" s="24">
        <f t="shared" si="78"/>
        <v>133.33333333333258</v>
      </c>
      <c r="AF303" s="25">
        <f t="shared" si="78"/>
        <v>103.33333333333309</v>
      </c>
      <c r="AG303" s="25">
        <f t="shared" si="78"/>
        <v>116.66666666666686</v>
      </c>
      <c r="AH303" s="25">
        <f t="shared" si="78"/>
        <v>125.00000000000045</v>
      </c>
      <c r="AI303" s="26">
        <f t="shared" si="78"/>
        <v>95.000000000000227</v>
      </c>
      <c r="AJ303" s="26">
        <f t="shared" si="80"/>
        <v>108.33333333333314</v>
      </c>
      <c r="AK303" s="26">
        <f t="shared" si="80"/>
        <v>116.66666666666686</v>
      </c>
    </row>
    <row r="304" spans="4:37" ht="20.100000000000001" customHeight="1">
      <c r="D304" s="27">
        <f t="shared" si="72"/>
        <v>0.8361111111111087</v>
      </c>
      <c r="E304" s="16">
        <f t="shared" si="79"/>
        <v>230.76666666666662</v>
      </c>
      <c r="F304" s="16">
        <f t="shared" si="79"/>
        <v>244.14444444444368</v>
      </c>
      <c r="G304" s="16">
        <f t="shared" si="79"/>
        <v>252.50555555555474</v>
      </c>
      <c r="H304" s="17">
        <f t="shared" si="79"/>
        <v>214.04444444444459</v>
      </c>
      <c r="I304" s="17">
        <f t="shared" si="79"/>
        <v>227.42222222222256</v>
      </c>
      <c r="J304" s="17">
        <f t="shared" si="79"/>
        <v>235.78333333333251</v>
      </c>
      <c r="K304" s="18">
        <f t="shared" si="79"/>
        <v>197.32222222222163</v>
      </c>
      <c r="L304" s="18">
        <f t="shared" si="79"/>
        <v>210.70000000000067</v>
      </c>
      <c r="M304" s="18">
        <f t="shared" si="79"/>
        <v>219.0611111111107</v>
      </c>
      <c r="N304" s="19">
        <f t="shared" si="79"/>
        <v>153.84444444444392</v>
      </c>
      <c r="O304" s="19">
        <f t="shared" si="79"/>
        <v>167.22222222222297</v>
      </c>
      <c r="P304" s="19">
        <f t="shared" si="79"/>
        <v>175.58333333333277</v>
      </c>
      <c r="Q304" s="20">
        <f t="shared" si="79"/>
        <v>145.48333333333412</v>
      </c>
      <c r="R304" s="20">
        <f t="shared" si="79"/>
        <v>158.86111111111148</v>
      </c>
      <c r="S304" s="20">
        <f t="shared" si="79"/>
        <v>167.22222222222297</v>
      </c>
      <c r="T304" s="21">
        <f t="shared" si="79"/>
        <v>137.12222222222263</v>
      </c>
      <c r="U304" s="21">
        <f t="shared" si="78"/>
        <v>150.5</v>
      </c>
      <c r="V304" s="21">
        <f t="shared" si="78"/>
        <v>158.86111111111148</v>
      </c>
      <c r="W304" s="22">
        <f t="shared" si="78"/>
        <v>128.76111111111115</v>
      </c>
      <c r="X304" s="22">
        <f t="shared" si="78"/>
        <v>142.13888888888852</v>
      </c>
      <c r="Y304" s="22">
        <f t="shared" si="78"/>
        <v>150.5</v>
      </c>
      <c r="Z304" s="23">
        <f t="shared" si="78"/>
        <v>120.39999999999966</v>
      </c>
      <c r="AA304" s="23">
        <f t="shared" si="78"/>
        <v>133.77777777777703</v>
      </c>
      <c r="AB304" s="23">
        <f t="shared" si="78"/>
        <v>142.13888888888852</v>
      </c>
      <c r="AC304" s="24">
        <f t="shared" si="78"/>
        <v>112.03888888888879</v>
      </c>
      <c r="AD304" s="24">
        <f t="shared" si="78"/>
        <v>125.41666666666713</v>
      </c>
      <c r="AE304" s="24">
        <f t="shared" si="78"/>
        <v>133.77777777777703</v>
      </c>
      <c r="AF304" s="25">
        <f t="shared" si="78"/>
        <v>103.67777777777754</v>
      </c>
      <c r="AG304" s="25">
        <f t="shared" si="78"/>
        <v>117.05555555555574</v>
      </c>
      <c r="AH304" s="25">
        <f t="shared" si="78"/>
        <v>125.41666666666713</v>
      </c>
      <c r="AI304" s="26">
        <f t="shared" si="78"/>
        <v>95.31666666666689</v>
      </c>
      <c r="AJ304" s="26">
        <f t="shared" si="80"/>
        <v>108.69444444444426</v>
      </c>
      <c r="AK304" s="26">
        <f t="shared" si="80"/>
        <v>117.05555555555574</v>
      </c>
    </row>
    <row r="305" spans="4:37" ht="20.100000000000001" customHeight="1">
      <c r="D305" s="27">
        <f t="shared" si="72"/>
        <v>0.83888888888888646</v>
      </c>
      <c r="E305" s="16">
        <f t="shared" si="79"/>
        <v>231.5333333333333</v>
      </c>
      <c r="F305" s="16">
        <f t="shared" si="79"/>
        <v>244.95555555555478</v>
      </c>
      <c r="G305" s="16">
        <f t="shared" si="79"/>
        <v>253.34444444444364</v>
      </c>
      <c r="H305" s="17">
        <f t="shared" si="79"/>
        <v>214.7555555555557</v>
      </c>
      <c r="I305" s="17">
        <f t="shared" si="79"/>
        <v>228.17777777777812</v>
      </c>
      <c r="J305" s="17">
        <f t="shared" si="79"/>
        <v>236.56666666666584</v>
      </c>
      <c r="K305" s="18">
        <f t="shared" si="79"/>
        <v>197.97777777777719</v>
      </c>
      <c r="L305" s="18">
        <f t="shared" si="79"/>
        <v>211.40000000000066</v>
      </c>
      <c r="M305" s="18">
        <f t="shared" si="79"/>
        <v>219.78888888888849</v>
      </c>
      <c r="N305" s="19">
        <f t="shared" si="79"/>
        <v>154.35555555555504</v>
      </c>
      <c r="O305" s="19">
        <f t="shared" si="79"/>
        <v>167.77777777777851</v>
      </c>
      <c r="P305" s="19">
        <f t="shared" si="79"/>
        <v>176.16666666666612</v>
      </c>
      <c r="Q305" s="20">
        <f t="shared" si="79"/>
        <v>145.96666666666744</v>
      </c>
      <c r="R305" s="20">
        <f t="shared" si="79"/>
        <v>159.38888888888926</v>
      </c>
      <c r="S305" s="20">
        <f t="shared" si="79"/>
        <v>167.77777777777851</v>
      </c>
      <c r="T305" s="21">
        <f t="shared" si="79"/>
        <v>137.57777777777818</v>
      </c>
      <c r="U305" s="21">
        <f t="shared" si="78"/>
        <v>151</v>
      </c>
      <c r="V305" s="21">
        <f t="shared" si="78"/>
        <v>159.38888888888926</v>
      </c>
      <c r="W305" s="22">
        <f t="shared" si="78"/>
        <v>129.18888888888893</v>
      </c>
      <c r="X305" s="22">
        <f t="shared" si="78"/>
        <v>142.61111111111074</v>
      </c>
      <c r="Y305" s="22">
        <f t="shared" si="78"/>
        <v>151</v>
      </c>
      <c r="Z305" s="23">
        <f t="shared" si="78"/>
        <v>120.79999999999967</v>
      </c>
      <c r="AA305" s="23">
        <f t="shared" si="78"/>
        <v>134.22222222222149</v>
      </c>
      <c r="AB305" s="23">
        <f t="shared" si="78"/>
        <v>142.61111111111074</v>
      </c>
      <c r="AC305" s="24">
        <f t="shared" si="78"/>
        <v>112.41111111111101</v>
      </c>
      <c r="AD305" s="24">
        <f t="shared" si="78"/>
        <v>125.8333333333338</v>
      </c>
      <c r="AE305" s="24">
        <f t="shared" si="78"/>
        <v>134.22222222222149</v>
      </c>
      <c r="AF305" s="25">
        <f t="shared" si="78"/>
        <v>104.02222222222198</v>
      </c>
      <c r="AG305" s="25">
        <f t="shared" si="78"/>
        <v>117.44444444444463</v>
      </c>
      <c r="AH305" s="25">
        <f t="shared" si="78"/>
        <v>125.8333333333338</v>
      </c>
      <c r="AI305" s="26">
        <f t="shared" si="78"/>
        <v>95.633333333333553</v>
      </c>
      <c r="AJ305" s="26">
        <f t="shared" si="80"/>
        <v>109.05555555555537</v>
      </c>
      <c r="AK305" s="26">
        <f t="shared" si="80"/>
        <v>117.44444444444463</v>
      </c>
    </row>
    <row r="306" spans="4:37" ht="20.100000000000001" customHeight="1">
      <c r="D306" s="27">
        <f t="shared" si="72"/>
        <v>0.84166666666666423</v>
      </c>
      <c r="E306" s="16">
        <f t="shared" si="79"/>
        <v>232.29999999999998</v>
      </c>
      <c r="F306" s="16">
        <f t="shared" si="79"/>
        <v>245.76666666666588</v>
      </c>
      <c r="G306" s="16">
        <f t="shared" si="79"/>
        <v>254.18333333333254</v>
      </c>
      <c r="H306" s="17">
        <f t="shared" si="79"/>
        <v>215.46666666666681</v>
      </c>
      <c r="I306" s="17">
        <f t="shared" si="79"/>
        <v>228.93333333333368</v>
      </c>
      <c r="J306" s="17">
        <f t="shared" si="79"/>
        <v>237.34999999999917</v>
      </c>
      <c r="K306" s="18">
        <f t="shared" si="79"/>
        <v>198.63333333333276</v>
      </c>
      <c r="L306" s="18">
        <f t="shared" si="79"/>
        <v>212.10000000000065</v>
      </c>
      <c r="M306" s="18">
        <f t="shared" si="79"/>
        <v>220.51666666666628</v>
      </c>
      <c r="N306" s="19">
        <f t="shared" si="79"/>
        <v>154.86666666666616</v>
      </c>
      <c r="O306" s="19">
        <f t="shared" si="79"/>
        <v>168.33333333333405</v>
      </c>
      <c r="P306" s="19">
        <f t="shared" si="79"/>
        <v>176.74999999999946</v>
      </c>
      <c r="Q306" s="20">
        <f t="shared" si="79"/>
        <v>146.45000000000076</v>
      </c>
      <c r="R306" s="20">
        <f t="shared" si="79"/>
        <v>159.91666666666703</v>
      </c>
      <c r="S306" s="20">
        <f t="shared" si="79"/>
        <v>168.33333333333405</v>
      </c>
      <c r="T306" s="21">
        <f t="shared" si="79"/>
        <v>138.03333333333373</v>
      </c>
      <c r="U306" s="21">
        <f t="shared" si="78"/>
        <v>151.5</v>
      </c>
      <c r="V306" s="21">
        <f t="shared" si="78"/>
        <v>159.91666666666703</v>
      </c>
      <c r="W306" s="22">
        <f t="shared" si="78"/>
        <v>129.6166666666667</v>
      </c>
      <c r="X306" s="22">
        <f t="shared" si="78"/>
        <v>143.08333333333297</v>
      </c>
      <c r="Y306" s="22">
        <f t="shared" si="78"/>
        <v>151.5</v>
      </c>
      <c r="Z306" s="23">
        <f t="shared" si="78"/>
        <v>121.19999999999968</v>
      </c>
      <c r="AA306" s="23">
        <f t="shared" si="78"/>
        <v>134.66666666666595</v>
      </c>
      <c r="AB306" s="23">
        <f>AB307-(AB$363/360)</f>
        <v>143.08333333333297</v>
      </c>
      <c r="AC306" s="24">
        <f t="shared" si="78"/>
        <v>112.78333333333323</v>
      </c>
      <c r="AD306" s="24">
        <f t="shared" si="78"/>
        <v>126.25000000000047</v>
      </c>
      <c r="AE306" s="24">
        <f t="shared" si="78"/>
        <v>134.66666666666595</v>
      </c>
      <c r="AF306" s="25">
        <f t="shared" si="78"/>
        <v>104.36666666666643</v>
      </c>
      <c r="AG306" s="25">
        <f t="shared" si="78"/>
        <v>117.83333333333351</v>
      </c>
      <c r="AH306" s="25">
        <f t="shared" si="78"/>
        <v>126.25000000000047</v>
      </c>
      <c r="AI306" s="26">
        <f t="shared" si="78"/>
        <v>95.950000000000216</v>
      </c>
      <c r="AJ306" s="26">
        <f t="shared" si="80"/>
        <v>109.41666666666649</v>
      </c>
      <c r="AK306" s="26">
        <f t="shared" si="80"/>
        <v>117.83333333333351</v>
      </c>
    </row>
    <row r="307" spans="4:37" ht="20.100000000000001" customHeight="1">
      <c r="D307" s="27">
        <f t="shared" si="72"/>
        <v>0.844444444444442</v>
      </c>
      <c r="E307" s="16">
        <f t="shared" si="79"/>
        <v>233.06666666666666</v>
      </c>
      <c r="F307" s="16">
        <f t="shared" si="79"/>
        <v>246.57777777777699</v>
      </c>
      <c r="G307" s="16">
        <f t="shared" si="79"/>
        <v>255.02222222222144</v>
      </c>
      <c r="H307" s="17">
        <f t="shared" si="79"/>
        <v>216.17777777777792</v>
      </c>
      <c r="I307" s="17">
        <f t="shared" si="79"/>
        <v>229.68888888888924</v>
      </c>
      <c r="J307" s="17">
        <f t="shared" si="79"/>
        <v>238.1333333333325</v>
      </c>
      <c r="K307" s="18">
        <f t="shared" si="79"/>
        <v>199.28888888888832</v>
      </c>
      <c r="L307" s="18">
        <f t="shared" si="79"/>
        <v>212.80000000000064</v>
      </c>
      <c r="M307" s="18">
        <f t="shared" si="79"/>
        <v>221.24444444444407</v>
      </c>
      <c r="N307" s="19">
        <f t="shared" si="79"/>
        <v>155.37777777777728</v>
      </c>
      <c r="O307" s="19">
        <f t="shared" si="79"/>
        <v>168.8888888888896</v>
      </c>
      <c r="P307" s="19">
        <f t="shared" si="79"/>
        <v>177.3333333333328</v>
      </c>
      <c r="Q307" s="20">
        <f t="shared" si="79"/>
        <v>146.93333333333408</v>
      </c>
      <c r="R307" s="20">
        <f t="shared" si="79"/>
        <v>160.4444444444448</v>
      </c>
      <c r="S307" s="20">
        <f t="shared" si="79"/>
        <v>168.8888888888896</v>
      </c>
      <c r="T307" s="21">
        <f t="shared" ref="T307:AI323" si="81">T308-(T$363/360)</f>
        <v>138.48888888888928</v>
      </c>
      <c r="U307" s="21">
        <f t="shared" si="81"/>
        <v>152</v>
      </c>
      <c r="V307" s="21">
        <f t="shared" si="81"/>
        <v>160.4444444444448</v>
      </c>
      <c r="W307" s="22">
        <f t="shared" si="81"/>
        <v>130.04444444444448</v>
      </c>
      <c r="X307" s="22">
        <f t="shared" si="81"/>
        <v>143.5555555555552</v>
      </c>
      <c r="Y307" s="22">
        <f t="shared" si="81"/>
        <v>152</v>
      </c>
      <c r="Z307" s="23">
        <f t="shared" si="81"/>
        <v>121.59999999999968</v>
      </c>
      <c r="AA307" s="23">
        <f t="shared" si="81"/>
        <v>135.1111111111104</v>
      </c>
      <c r="AB307" s="23">
        <f>AB308-(AB$363/360)</f>
        <v>143.5555555555552</v>
      </c>
      <c r="AC307" s="24">
        <f t="shared" ref="AC307:AK307" si="82">AC308-(AC$363/360)</f>
        <v>113.15555555555545</v>
      </c>
      <c r="AD307" s="24">
        <f t="shared" si="82"/>
        <v>126.66666666666714</v>
      </c>
      <c r="AE307" s="24">
        <f t="shared" si="82"/>
        <v>135.1111111111104</v>
      </c>
      <c r="AF307" s="25">
        <f t="shared" si="82"/>
        <v>104.71111111111088</v>
      </c>
      <c r="AG307" s="25">
        <f t="shared" si="82"/>
        <v>118.2222222222224</v>
      </c>
      <c r="AH307" s="25">
        <f t="shared" si="82"/>
        <v>126.66666666666714</v>
      </c>
      <c r="AI307" s="26">
        <f t="shared" si="82"/>
        <v>96.266666666666879</v>
      </c>
      <c r="AJ307" s="26">
        <f t="shared" si="82"/>
        <v>109.7777777777776</v>
      </c>
      <c r="AK307" s="26">
        <f t="shared" si="82"/>
        <v>118.2222222222224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233.83333333333334</v>
      </c>
      <c r="F308" s="16">
        <f t="shared" si="83"/>
        <v>247.38888888888809</v>
      </c>
      <c r="G308" s="16">
        <f t="shared" si="83"/>
        <v>255.86111111111035</v>
      </c>
      <c r="H308" s="17">
        <f t="shared" si="83"/>
        <v>216.88888888888903</v>
      </c>
      <c r="I308" s="17">
        <f t="shared" si="83"/>
        <v>230.4444444444448</v>
      </c>
      <c r="J308" s="17">
        <f t="shared" si="83"/>
        <v>238.91666666666583</v>
      </c>
      <c r="K308" s="18">
        <f t="shared" si="83"/>
        <v>199.94444444444389</v>
      </c>
      <c r="L308" s="18">
        <f t="shared" si="83"/>
        <v>213.50000000000063</v>
      </c>
      <c r="M308" s="18">
        <f t="shared" si="83"/>
        <v>221.97222222222186</v>
      </c>
      <c r="N308" s="19">
        <f t="shared" si="83"/>
        <v>155.8888888888884</v>
      </c>
      <c r="O308" s="19">
        <f t="shared" si="83"/>
        <v>169.44444444444514</v>
      </c>
      <c r="P308" s="19">
        <f t="shared" si="83"/>
        <v>177.91666666666615</v>
      </c>
      <c r="Q308" s="20">
        <f t="shared" si="83"/>
        <v>147.4166666666674</v>
      </c>
      <c r="R308" s="20">
        <f t="shared" si="83"/>
        <v>160.97222222222257</v>
      </c>
      <c r="S308" s="20">
        <f t="shared" si="83"/>
        <v>169.44444444444514</v>
      </c>
      <c r="T308" s="21">
        <f t="shared" si="83"/>
        <v>138.94444444444483</v>
      </c>
      <c r="U308" s="21">
        <f t="shared" si="81"/>
        <v>152.5</v>
      </c>
      <c r="V308" s="21">
        <f t="shared" si="81"/>
        <v>160.97222222222257</v>
      </c>
      <c r="W308" s="22">
        <f t="shared" si="81"/>
        <v>130.47222222222226</v>
      </c>
      <c r="X308" s="22">
        <f t="shared" si="81"/>
        <v>144.02777777777743</v>
      </c>
      <c r="Y308" s="22">
        <f t="shared" si="81"/>
        <v>152.5</v>
      </c>
      <c r="Z308" s="23">
        <f t="shared" si="81"/>
        <v>121.99999999999969</v>
      </c>
      <c r="AA308" s="23">
        <f t="shared" si="81"/>
        <v>135.55555555555486</v>
      </c>
      <c r="AB308" s="23">
        <f t="shared" si="81"/>
        <v>144.02777777777743</v>
      </c>
      <c r="AC308" s="24">
        <f t="shared" si="81"/>
        <v>113.52777777777767</v>
      </c>
      <c r="AD308" s="24">
        <f t="shared" si="81"/>
        <v>127.08333333333381</v>
      </c>
      <c r="AE308" s="24">
        <f t="shared" si="81"/>
        <v>135.55555555555486</v>
      </c>
      <c r="AF308" s="25">
        <f t="shared" si="81"/>
        <v>105.05555555555533</v>
      </c>
      <c r="AG308" s="25">
        <f t="shared" si="81"/>
        <v>118.61111111111128</v>
      </c>
      <c r="AH308" s="25">
        <f t="shared" si="81"/>
        <v>127.08333333333381</v>
      </c>
      <c r="AI308" s="26">
        <f t="shared" si="81"/>
        <v>96.583333333333542</v>
      </c>
      <c r="AJ308" s="26">
        <f t="shared" ref="AJ308:AJ323" si="84">AJ309-(AJ$363/360)</f>
        <v>110.13888888888872</v>
      </c>
      <c r="AK308" s="26">
        <f t="shared" ref="AK308:AK323" si="85">AK309-(AK$363/360)</f>
        <v>118.61111111111128</v>
      </c>
    </row>
    <row r="309" spans="4:37" ht="20.100000000000001" customHeight="1">
      <c r="D309" s="27">
        <f t="shared" si="72"/>
        <v>0.84999999999999754</v>
      </c>
      <c r="E309" s="16">
        <f t="shared" si="83"/>
        <v>234.60000000000002</v>
      </c>
      <c r="F309" s="16">
        <f t="shared" si="83"/>
        <v>248.19999999999919</v>
      </c>
      <c r="G309" s="16">
        <f t="shared" si="83"/>
        <v>256.69999999999925</v>
      </c>
      <c r="H309" s="17">
        <f t="shared" si="83"/>
        <v>217.60000000000014</v>
      </c>
      <c r="I309" s="17">
        <f t="shared" si="83"/>
        <v>231.20000000000036</v>
      </c>
      <c r="J309" s="17">
        <f t="shared" si="83"/>
        <v>239.69999999999916</v>
      </c>
      <c r="K309" s="18">
        <f t="shared" si="83"/>
        <v>200.59999999999945</v>
      </c>
      <c r="L309" s="18">
        <f t="shared" si="83"/>
        <v>214.20000000000061</v>
      </c>
      <c r="M309" s="18">
        <f t="shared" si="83"/>
        <v>222.69999999999965</v>
      </c>
      <c r="N309" s="19">
        <f t="shared" si="83"/>
        <v>156.39999999999952</v>
      </c>
      <c r="O309" s="19">
        <f t="shared" si="83"/>
        <v>170.00000000000068</v>
      </c>
      <c r="P309" s="19">
        <f t="shared" si="83"/>
        <v>178.49999999999949</v>
      </c>
      <c r="Q309" s="20">
        <f t="shared" si="83"/>
        <v>147.90000000000072</v>
      </c>
      <c r="R309" s="20">
        <f t="shared" si="83"/>
        <v>161.50000000000034</v>
      </c>
      <c r="S309" s="20">
        <f t="shared" si="83"/>
        <v>170.00000000000068</v>
      </c>
      <c r="T309" s="21">
        <f t="shared" si="83"/>
        <v>139.40000000000038</v>
      </c>
      <c r="U309" s="21">
        <f t="shared" si="81"/>
        <v>153</v>
      </c>
      <c r="V309" s="21">
        <f t="shared" si="81"/>
        <v>161.50000000000034</v>
      </c>
      <c r="W309" s="22">
        <f t="shared" si="81"/>
        <v>130.90000000000003</v>
      </c>
      <c r="X309" s="22">
        <f t="shared" si="81"/>
        <v>144.49999999999966</v>
      </c>
      <c r="Y309" s="22">
        <f t="shared" si="81"/>
        <v>153</v>
      </c>
      <c r="Z309" s="23">
        <f t="shared" si="81"/>
        <v>122.39999999999969</v>
      </c>
      <c r="AA309" s="23">
        <f t="shared" si="81"/>
        <v>135.99999999999932</v>
      </c>
      <c r="AB309" s="23">
        <f t="shared" si="81"/>
        <v>144.49999999999966</v>
      </c>
      <c r="AC309" s="24">
        <f t="shared" si="81"/>
        <v>113.89999999999989</v>
      </c>
      <c r="AD309" s="24">
        <f t="shared" si="81"/>
        <v>127.50000000000048</v>
      </c>
      <c r="AE309" s="24">
        <f t="shared" si="81"/>
        <v>135.99999999999932</v>
      </c>
      <c r="AF309" s="25">
        <f t="shared" si="81"/>
        <v>105.39999999999978</v>
      </c>
      <c r="AG309" s="25">
        <f t="shared" si="81"/>
        <v>119.00000000000017</v>
      </c>
      <c r="AH309" s="25">
        <f t="shared" si="81"/>
        <v>127.50000000000048</v>
      </c>
      <c r="AI309" s="26">
        <f t="shared" si="81"/>
        <v>96.900000000000205</v>
      </c>
      <c r="AJ309" s="26">
        <f t="shared" si="84"/>
        <v>110.49999999999983</v>
      </c>
      <c r="AK309" s="26">
        <f t="shared" si="85"/>
        <v>119.00000000000017</v>
      </c>
    </row>
    <row r="310" spans="4:37" ht="20.100000000000001" customHeight="1">
      <c r="D310" s="27">
        <f t="shared" si="72"/>
        <v>0.8527777777777753</v>
      </c>
      <c r="E310" s="16">
        <f t="shared" si="83"/>
        <v>235.3666666666667</v>
      </c>
      <c r="F310" s="16">
        <f t="shared" si="83"/>
        <v>249.0111111111103</v>
      </c>
      <c r="G310" s="16">
        <f t="shared" si="83"/>
        <v>257.53888888888815</v>
      </c>
      <c r="H310" s="17">
        <f t="shared" si="83"/>
        <v>218.31111111111125</v>
      </c>
      <c r="I310" s="17">
        <f t="shared" si="83"/>
        <v>231.95555555555592</v>
      </c>
      <c r="J310" s="17">
        <f t="shared" si="83"/>
        <v>240.4833333333325</v>
      </c>
      <c r="K310" s="18">
        <f t="shared" si="83"/>
        <v>201.25555555555502</v>
      </c>
      <c r="L310" s="18">
        <f t="shared" si="83"/>
        <v>214.9000000000006</v>
      </c>
      <c r="M310" s="18">
        <f t="shared" si="83"/>
        <v>223.42777777777744</v>
      </c>
      <c r="N310" s="19">
        <f t="shared" si="83"/>
        <v>156.91111111111064</v>
      </c>
      <c r="O310" s="19">
        <f t="shared" si="83"/>
        <v>170.55555555555623</v>
      </c>
      <c r="P310" s="19">
        <f t="shared" si="83"/>
        <v>179.08333333333283</v>
      </c>
      <c r="Q310" s="20">
        <f t="shared" si="83"/>
        <v>148.38333333333404</v>
      </c>
      <c r="R310" s="20">
        <f t="shared" si="83"/>
        <v>162.02777777777811</v>
      </c>
      <c r="S310" s="20">
        <f t="shared" si="83"/>
        <v>170.55555555555623</v>
      </c>
      <c r="T310" s="21">
        <f t="shared" si="83"/>
        <v>139.85555555555592</v>
      </c>
      <c r="U310" s="21">
        <f t="shared" si="81"/>
        <v>153.5</v>
      </c>
      <c r="V310" s="21">
        <f t="shared" si="81"/>
        <v>162.02777777777811</v>
      </c>
      <c r="W310" s="22">
        <f t="shared" si="81"/>
        <v>131.32777777777781</v>
      </c>
      <c r="X310" s="22">
        <f t="shared" si="81"/>
        <v>144.97222222222189</v>
      </c>
      <c r="Y310" s="22">
        <f t="shared" si="81"/>
        <v>153.5</v>
      </c>
      <c r="Z310" s="23">
        <f t="shared" si="81"/>
        <v>122.7999999999997</v>
      </c>
      <c r="AA310" s="23">
        <f t="shared" si="81"/>
        <v>136.44444444444377</v>
      </c>
      <c r="AB310" s="23">
        <f t="shared" si="81"/>
        <v>144.97222222222189</v>
      </c>
      <c r="AC310" s="24">
        <f t="shared" si="81"/>
        <v>114.27222222222211</v>
      </c>
      <c r="AD310" s="24">
        <f t="shared" si="81"/>
        <v>127.91666666666715</v>
      </c>
      <c r="AE310" s="24">
        <f t="shared" si="81"/>
        <v>136.44444444444377</v>
      </c>
      <c r="AF310" s="25">
        <f t="shared" si="81"/>
        <v>105.74444444444423</v>
      </c>
      <c r="AG310" s="25">
        <f t="shared" si="81"/>
        <v>119.38888888888906</v>
      </c>
      <c r="AH310" s="25">
        <f t="shared" si="81"/>
        <v>127.91666666666715</v>
      </c>
      <c r="AI310" s="26">
        <f t="shared" si="81"/>
        <v>97.216666666666868</v>
      </c>
      <c r="AJ310" s="26">
        <f t="shared" si="84"/>
        <v>110.86111111111094</v>
      </c>
      <c r="AK310" s="26">
        <f t="shared" si="85"/>
        <v>119.38888888888906</v>
      </c>
    </row>
    <row r="311" spans="4:37" ht="20.100000000000001" customHeight="1">
      <c r="D311" s="27">
        <f t="shared" si="72"/>
        <v>0.85555555555555307</v>
      </c>
      <c r="E311" s="16">
        <f t="shared" si="83"/>
        <v>236.13333333333338</v>
      </c>
      <c r="F311" s="16">
        <f t="shared" si="83"/>
        <v>249.8222222222214</v>
      </c>
      <c r="G311" s="16">
        <f t="shared" si="83"/>
        <v>258.37777777777706</v>
      </c>
      <c r="H311" s="17">
        <f t="shared" si="83"/>
        <v>219.02222222222235</v>
      </c>
      <c r="I311" s="17">
        <f t="shared" si="83"/>
        <v>232.71111111111148</v>
      </c>
      <c r="J311" s="17">
        <f t="shared" si="83"/>
        <v>241.26666666666583</v>
      </c>
      <c r="K311" s="18">
        <f t="shared" si="83"/>
        <v>201.91111111111059</v>
      </c>
      <c r="L311" s="18">
        <f t="shared" si="83"/>
        <v>215.60000000000059</v>
      </c>
      <c r="M311" s="18">
        <f t="shared" si="83"/>
        <v>224.15555555555522</v>
      </c>
      <c r="N311" s="19">
        <f t="shared" si="83"/>
        <v>157.42222222222176</v>
      </c>
      <c r="O311" s="19">
        <f t="shared" si="83"/>
        <v>171.11111111111177</v>
      </c>
      <c r="P311" s="19">
        <f t="shared" si="83"/>
        <v>179.66666666666617</v>
      </c>
      <c r="Q311" s="20">
        <f t="shared" si="83"/>
        <v>148.86666666666736</v>
      </c>
      <c r="R311" s="20">
        <f t="shared" si="83"/>
        <v>162.55555555555588</v>
      </c>
      <c r="S311" s="20">
        <f t="shared" si="83"/>
        <v>171.11111111111177</v>
      </c>
      <c r="T311" s="21">
        <f t="shared" si="83"/>
        <v>140.31111111111147</v>
      </c>
      <c r="U311" s="21">
        <f t="shared" si="81"/>
        <v>154</v>
      </c>
      <c r="V311" s="21">
        <f t="shared" si="81"/>
        <v>162.55555555555588</v>
      </c>
      <c r="W311" s="22">
        <f t="shared" si="81"/>
        <v>131.75555555555559</v>
      </c>
      <c r="X311" s="22">
        <f t="shared" si="81"/>
        <v>145.44444444444412</v>
      </c>
      <c r="Y311" s="22">
        <f t="shared" si="81"/>
        <v>154</v>
      </c>
      <c r="Z311" s="23">
        <f t="shared" si="81"/>
        <v>123.1999999999997</v>
      </c>
      <c r="AA311" s="23">
        <f t="shared" si="81"/>
        <v>136.88888888888823</v>
      </c>
      <c r="AB311" s="23">
        <f t="shared" si="81"/>
        <v>145.44444444444412</v>
      </c>
      <c r="AC311" s="24">
        <f t="shared" si="81"/>
        <v>114.64444444444433</v>
      </c>
      <c r="AD311" s="24">
        <f t="shared" si="81"/>
        <v>128.33333333333383</v>
      </c>
      <c r="AE311" s="24">
        <f t="shared" si="81"/>
        <v>136.88888888888823</v>
      </c>
      <c r="AF311" s="25">
        <f t="shared" si="81"/>
        <v>106.08888888888868</v>
      </c>
      <c r="AG311" s="25">
        <f t="shared" si="81"/>
        <v>119.77777777777794</v>
      </c>
      <c r="AH311" s="25">
        <f t="shared" si="81"/>
        <v>128.33333333333383</v>
      </c>
      <c r="AI311" s="26">
        <f t="shared" si="81"/>
        <v>97.53333333333353</v>
      </c>
      <c r="AJ311" s="26">
        <f t="shared" si="84"/>
        <v>111.22222222222206</v>
      </c>
      <c r="AK311" s="26">
        <f t="shared" si="85"/>
        <v>119.77777777777794</v>
      </c>
    </row>
    <row r="312" spans="4:37" ht="20.100000000000001" customHeight="1">
      <c r="D312" s="27">
        <f t="shared" si="72"/>
        <v>0.85833333333333084</v>
      </c>
      <c r="E312" s="16">
        <f t="shared" si="83"/>
        <v>236.90000000000006</v>
      </c>
      <c r="F312" s="16">
        <f t="shared" si="83"/>
        <v>250.6333333333325</v>
      </c>
      <c r="G312" s="16">
        <f t="shared" si="83"/>
        <v>259.21666666666596</v>
      </c>
      <c r="H312" s="17">
        <f t="shared" si="83"/>
        <v>219.73333333333346</v>
      </c>
      <c r="I312" s="17">
        <f t="shared" si="83"/>
        <v>233.46666666666704</v>
      </c>
      <c r="J312" s="17">
        <f t="shared" si="83"/>
        <v>242.04999999999916</v>
      </c>
      <c r="K312" s="18">
        <f t="shared" si="83"/>
        <v>202.56666666666615</v>
      </c>
      <c r="L312" s="18">
        <f t="shared" si="83"/>
        <v>216.30000000000058</v>
      </c>
      <c r="M312" s="18">
        <f t="shared" si="83"/>
        <v>224.88333333333301</v>
      </c>
      <c r="N312" s="19">
        <f t="shared" si="83"/>
        <v>157.93333333333288</v>
      </c>
      <c r="O312" s="19">
        <f t="shared" si="83"/>
        <v>171.66666666666731</v>
      </c>
      <c r="P312" s="19">
        <f t="shared" si="83"/>
        <v>180.24999999999952</v>
      </c>
      <c r="Q312" s="20">
        <f t="shared" si="83"/>
        <v>149.35000000000068</v>
      </c>
      <c r="R312" s="20">
        <f t="shared" si="83"/>
        <v>163.08333333333366</v>
      </c>
      <c r="S312" s="20">
        <f t="shared" si="83"/>
        <v>171.66666666666731</v>
      </c>
      <c r="T312" s="21">
        <f t="shared" si="83"/>
        <v>140.76666666666702</v>
      </c>
      <c r="U312" s="21">
        <f t="shared" si="81"/>
        <v>154.5</v>
      </c>
      <c r="V312" s="21">
        <f t="shared" si="81"/>
        <v>163.08333333333366</v>
      </c>
      <c r="W312" s="22">
        <f t="shared" si="81"/>
        <v>132.18333333333337</v>
      </c>
      <c r="X312" s="22">
        <f t="shared" si="81"/>
        <v>145.91666666666634</v>
      </c>
      <c r="Y312" s="22">
        <f t="shared" si="81"/>
        <v>154.5</v>
      </c>
      <c r="Z312" s="23">
        <f t="shared" si="81"/>
        <v>123.59999999999971</v>
      </c>
      <c r="AA312" s="23">
        <f t="shared" si="81"/>
        <v>137.33333333333269</v>
      </c>
      <c r="AB312" s="23">
        <f t="shared" si="81"/>
        <v>145.91666666666634</v>
      </c>
      <c r="AC312" s="24">
        <f t="shared" si="81"/>
        <v>115.01666666666655</v>
      </c>
      <c r="AD312" s="24">
        <f t="shared" si="81"/>
        <v>128.75000000000048</v>
      </c>
      <c r="AE312" s="24">
        <f t="shared" si="81"/>
        <v>137.33333333333269</v>
      </c>
      <c r="AF312" s="25">
        <f t="shared" si="81"/>
        <v>106.43333333333312</v>
      </c>
      <c r="AG312" s="25">
        <f t="shared" si="81"/>
        <v>120.16666666666683</v>
      </c>
      <c r="AH312" s="25">
        <f t="shared" si="81"/>
        <v>128.75000000000048</v>
      </c>
      <c r="AI312" s="26">
        <f t="shared" si="81"/>
        <v>97.850000000000193</v>
      </c>
      <c r="AJ312" s="26">
        <f t="shared" si="84"/>
        <v>111.58333333333317</v>
      </c>
      <c r="AK312" s="26">
        <f t="shared" si="85"/>
        <v>120.16666666666683</v>
      </c>
    </row>
    <row r="313" spans="4:37" ht="20.100000000000001" customHeight="1">
      <c r="D313" s="27">
        <f t="shared" si="72"/>
        <v>0.86111111111110861</v>
      </c>
      <c r="E313" s="16">
        <f t="shared" si="83"/>
        <v>237.66666666666674</v>
      </c>
      <c r="F313" s="16">
        <f t="shared" si="83"/>
        <v>251.4444444444436</v>
      </c>
      <c r="G313" s="16">
        <f t="shared" si="83"/>
        <v>260.05555555555486</v>
      </c>
      <c r="H313" s="17">
        <f t="shared" si="83"/>
        <v>220.44444444444457</v>
      </c>
      <c r="I313" s="17">
        <f t="shared" si="83"/>
        <v>234.2222222222226</v>
      </c>
      <c r="J313" s="17">
        <f t="shared" si="83"/>
        <v>242.83333333333249</v>
      </c>
      <c r="K313" s="18">
        <f t="shared" si="83"/>
        <v>203.22222222222172</v>
      </c>
      <c r="L313" s="18">
        <f t="shared" si="83"/>
        <v>217.00000000000057</v>
      </c>
      <c r="M313" s="18">
        <f t="shared" si="83"/>
        <v>225.6111111111108</v>
      </c>
      <c r="N313" s="19">
        <f t="shared" si="83"/>
        <v>158.444444444444</v>
      </c>
      <c r="O313" s="19">
        <f t="shared" si="83"/>
        <v>172.22222222222285</v>
      </c>
      <c r="P313" s="19">
        <f t="shared" si="83"/>
        <v>180.83333333333286</v>
      </c>
      <c r="Q313" s="20">
        <f t="shared" si="83"/>
        <v>149.833333333334</v>
      </c>
      <c r="R313" s="20">
        <f t="shared" si="83"/>
        <v>163.61111111111143</v>
      </c>
      <c r="S313" s="20">
        <f t="shared" si="83"/>
        <v>172.22222222222285</v>
      </c>
      <c r="T313" s="21">
        <f t="shared" si="83"/>
        <v>141.22222222222257</v>
      </c>
      <c r="U313" s="21">
        <f t="shared" si="81"/>
        <v>155</v>
      </c>
      <c r="V313" s="21">
        <f t="shared" si="81"/>
        <v>163.61111111111143</v>
      </c>
      <c r="W313" s="22">
        <f t="shared" si="81"/>
        <v>132.61111111111114</v>
      </c>
      <c r="X313" s="22">
        <f t="shared" si="81"/>
        <v>146.38888888888857</v>
      </c>
      <c r="Y313" s="22">
        <f t="shared" si="81"/>
        <v>155</v>
      </c>
      <c r="Z313" s="23">
        <f t="shared" si="81"/>
        <v>123.99999999999972</v>
      </c>
      <c r="AA313" s="23">
        <f t="shared" si="81"/>
        <v>137.77777777777715</v>
      </c>
      <c r="AB313" s="23">
        <f t="shared" si="81"/>
        <v>146.38888888888857</v>
      </c>
      <c r="AC313" s="24">
        <f t="shared" si="81"/>
        <v>115.38888888888877</v>
      </c>
      <c r="AD313" s="24">
        <f t="shared" si="81"/>
        <v>129.16666666666714</v>
      </c>
      <c r="AE313" s="24">
        <f t="shared" si="81"/>
        <v>137.77777777777715</v>
      </c>
      <c r="AF313" s="25">
        <f t="shared" si="81"/>
        <v>106.77777777777757</v>
      </c>
      <c r="AG313" s="25">
        <f t="shared" si="81"/>
        <v>120.55555555555571</v>
      </c>
      <c r="AH313" s="25">
        <f t="shared" si="81"/>
        <v>129.16666666666714</v>
      </c>
      <c r="AI313" s="26">
        <f t="shared" si="81"/>
        <v>98.166666666666856</v>
      </c>
      <c r="AJ313" s="26">
        <f t="shared" si="84"/>
        <v>111.94444444444429</v>
      </c>
      <c r="AK313" s="26">
        <f t="shared" si="85"/>
        <v>120.55555555555571</v>
      </c>
    </row>
    <row r="314" spans="4:37" ht="20.100000000000001" customHeight="1">
      <c r="D314" s="27">
        <f t="shared" si="72"/>
        <v>0.86388888888888637</v>
      </c>
      <c r="E314" s="16">
        <f t="shared" si="83"/>
        <v>238.43333333333342</v>
      </c>
      <c r="F314" s="16">
        <f t="shared" si="83"/>
        <v>252.25555555555471</v>
      </c>
      <c r="G314" s="16">
        <f t="shared" si="83"/>
        <v>260.89444444444376</v>
      </c>
      <c r="H314" s="17">
        <f t="shared" si="83"/>
        <v>221.15555555555568</v>
      </c>
      <c r="I314" s="17">
        <f t="shared" si="83"/>
        <v>234.97777777777816</v>
      </c>
      <c r="J314" s="17">
        <f t="shared" si="83"/>
        <v>243.61666666666582</v>
      </c>
      <c r="K314" s="18">
        <f t="shared" si="83"/>
        <v>203.87777777777728</v>
      </c>
      <c r="L314" s="18">
        <f t="shared" si="83"/>
        <v>217.70000000000056</v>
      </c>
      <c r="M314" s="18">
        <f t="shared" si="83"/>
        <v>226.33888888888859</v>
      </c>
      <c r="N314" s="19">
        <f t="shared" si="83"/>
        <v>158.95555555555512</v>
      </c>
      <c r="O314" s="19">
        <f t="shared" si="83"/>
        <v>172.7777777777784</v>
      </c>
      <c r="P314" s="19">
        <f t="shared" si="83"/>
        <v>181.4166666666662</v>
      </c>
      <c r="Q314" s="20">
        <f t="shared" si="83"/>
        <v>150.31666666666732</v>
      </c>
      <c r="R314" s="20">
        <f t="shared" si="83"/>
        <v>164.1388888888892</v>
      </c>
      <c r="S314" s="20">
        <f t="shared" si="83"/>
        <v>172.7777777777784</v>
      </c>
      <c r="T314" s="21">
        <f t="shared" si="83"/>
        <v>141.67777777777812</v>
      </c>
      <c r="U314" s="21">
        <f t="shared" si="81"/>
        <v>155.5</v>
      </c>
      <c r="V314" s="21">
        <f t="shared" si="81"/>
        <v>164.1388888888892</v>
      </c>
      <c r="W314" s="22">
        <f t="shared" si="81"/>
        <v>133.03888888888892</v>
      </c>
      <c r="X314" s="22">
        <f t="shared" si="81"/>
        <v>146.8611111111108</v>
      </c>
      <c r="Y314" s="22">
        <f t="shared" si="81"/>
        <v>155.5</v>
      </c>
      <c r="Z314" s="23">
        <f t="shared" si="81"/>
        <v>124.39999999999972</v>
      </c>
      <c r="AA314" s="23">
        <f t="shared" si="81"/>
        <v>138.2222222222216</v>
      </c>
      <c r="AB314" s="23">
        <f t="shared" si="81"/>
        <v>146.8611111111108</v>
      </c>
      <c r="AC314" s="24">
        <f t="shared" si="81"/>
        <v>115.76111111111099</v>
      </c>
      <c r="AD314" s="24">
        <f t="shared" si="81"/>
        <v>129.5833333333338</v>
      </c>
      <c r="AE314" s="24">
        <f t="shared" si="81"/>
        <v>138.2222222222216</v>
      </c>
      <c r="AF314" s="25">
        <f t="shared" si="81"/>
        <v>107.12222222222202</v>
      </c>
      <c r="AG314" s="25">
        <f t="shared" si="81"/>
        <v>120.9444444444446</v>
      </c>
      <c r="AH314" s="25">
        <f t="shared" si="81"/>
        <v>129.5833333333338</v>
      </c>
      <c r="AI314" s="26">
        <f t="shared" si="81"/>
        <v>98.483333333333519</v>
      </c>
      <c r="AJ314" s="26">
        <f t="shared" si="84"/>
        <v>112.3055555555554</v>
      </c>
      <c r="AK314" s="26">
        <f t="shared" si="85"/>
        <v>120.9444444444446</v>
      </c>
    </row>
    <row r="315" spans="4:37" ht="20.100000000000001" customHeight="1">
      <c r="D315" s="27">
        <f t="shared" si="72"/>
        <v>0.86666666666666414</v>
      </c>
      <c r="E315" s="16">
        <f t="shared" si="83"/>
        <v>239.2000000000001</v>
      </c>
      <c r="F315" s="16">
        <f t="shared" si="83"/>
        <v>253.06666666666581</v>
      </c>
      <c r="G315" s="16">
        <f t="shared" si="83"/>
        <v>261.73333333333267</v>
      </c>
      <c r="H315" s="17">
        <f t="shared" si="83"/>
        <v>221.86666666666679</v>
      </c>
      <c r="I315" s="17">
        <f t="shared" si="83"/>
        <v>235.73333333333372</v>
      </c>
      <c r="J315" s="17">
        <f t="shared" si="83"/>
        <v>244.39999999999915</v>
      </c>
      <c r="K315" s="18">
        <f t="shared" si="83"/>
        <v>204.53333333333285</v>
      </c>
      <c r="L315" s="18">
        <f t="shared" si="83"/>
        <v>218.40000000000055</v>
      </c>
      <c r="M315" s="18">
        <f t="shared" si="83"/>
        <v>227.06666666666638</v>
      </c>
      <c r="N315" s="19">
        <f t="shared" si="83"/>
        <v>159.46666666666624</v>
      </c>
      <c r="O315" s="19">
        <f t="shared" si="83"/>
        <v>173.33333333333394</v>
      </c>
      <c r="P315" s="19">
        <f t="shared" si="83"/>
        <v>181.99999999999955</v>
      </c>
      <c r="Q315" s="20">
        <f t="shared" si="83"/>
        <v>150.80000000000064</v>
      </c>
      <c r="R315" s="20">
        <f t="shared" si="83"/>
        <v>164.66666666666697</v>
      </c>
      <c r="S315" s="20">
        <f t="shared" si="83"/>
        <v>173.33333333333394</v>
      </c>
      <c r="T315" s="21">
        <f t="shared" si="83"/>
        <v>142.13333333333367</v>
      </c>
      <c r="U315" s="21">
        <f t="shared" si="81"/>
        <v>156</v>
      </c>
      <c r="V315" s="21">
        <f t="shared" si="81"/>
        <v>164.66666666666697</v>
      </c>
      <c r="W315" s="22">
        <f t="shared" si="81"/>
        <v>133.4666666666667</v>
      </c>
      <c r="X315" s="22">
        <f t="shared" si="81"/>
        <v>147.33333333333303</v>
      </c>
      <c r="Y315" s="22">
        <f t="shared" si="81"/>
        <v>156</v>
      </c>
      <c r="Z315" s="23">
        <f t="shared" si="81"/>
        <v>124.79999999999973</v>
      </c>
      <c r="AA315" s="23">
        <f t="shared" si="81"/>
        <v>138.66666666666606</v>
      </c>
      <c r="AB315" s="23">
        <f t="shared" si="81"/>
        <v>147.33333333333303</v>
      </c>
      <c r="AC315" s="24">
        <f t="shared" si="81"/>
        <v>116.13333333333321</v>
      </c>
      <c r="AD315" s="24">
        <f t="shared" si="81"/>
        <v>130.00000000000045</v>
      </c>
      <c r="AE315" s="24">
        <f t="shared" si="81"/>
        <v>138.66666666666606</v>
      </c>
      <c r="AF315" s="25">
        <f t="shared" si="81"/>
        <v>107.46666666666647</v>
      </c>
      <c r="AG315" s="25">
        <f t="shared" si="81"/>
        <v>121.33333333333348</v>
      </c>
      <c r="AH315" s="25">
        <f t="shared" si="81"/>
        <v>130.00000000000045</v>
      </c>
      <c r="AI315" s="26">
        <f t="shared" si="81"/>
        <v>98.800000000000182</v>
      </c>
      <c r="AJ315" s="26">
        <f t="shared" si="84"/>
        <v>112.66666666666652</v>
      </c>
      <c r="AK315" s="26">
        <f t="shared" si="85"/>
        <v>121.33333333333348</v>
      </c>
    </row>
    <row r="316" spans="4:37" ht="20.100000000000001" customHeight="1">
      <c r="D316" s="27">
        <f t="shared" si="72"/>
        <v>0.86944444444444191</v>
      </c>
      <c r="E316" s="16">
        <f t="shared" si="83"/>
        <v>239.96666666666678</v>
      </c>
      <c r="F316" s="16">
        <f t="shared" si="83"/>
        <v>253.87777777777691</v>
      </c>
      <c r="G316" s="16">
        <f t="shared" si="83"/>
        <v>262.57222222222157</v>
      </c>
      <c r="H316" s="17">
        <f t="shared" si="83"/>
        <v>222.5777777777779</v>
      </c>
      <c r="I316" s="17">
        <f t="shared" si="83"/>
        <v>236.48888888888928</v>
      </c>
      <c r="J316" s="17">
        <f t="shared" si="83"/>
        <v>245.18333333333248</v>
      </c>
      <c r="K316" s="18">
        <f t="shared" si="83"/>
        <v>205.18888888888841</v>
      </c>
      <c r="L316" s="18">
        <f t="shared" si="83"/>
        <v>219.10000000000053</v>
      </c>
      <c r="M316" s="18">
        <f t="shared" si="83"/>
        <v>227.79444444444417</v>
      </c>
      <c r="N316" s="19">
        <f t="shared" si="83"/>
        <v>159.97777777777736</v>
      </c>
      <c r="O316" s="19">
        <f t="shared" si="83"/>
        <v>173.88888888888948</v>
      </c>
      <c r="P316" s="19">
        <f t="shared" si="83"/>
        <v>182.58333333333289</v>
      </c>
      <c r="Q316" s="20">
        <f t="shared" si="83"/>
        <v>151.28333333333396</v>
      </c>
      <c r="R316" s="20">
        <f t="shared" si="83"/>
        <v>165.19444444444474</v>
      </c>
      <c r="S316" s="20">
        <f t="shared" si="83"/>
        <v>173.88888888888948</v>
      </c>
      <c r="T316" s="21">
        <f t="shared" si="83"/>
        <v>142.58888888888922</v>
      </c>
      <c r="U316" s="21">
        <f t="shared" si="81"/>
        <v>156.5</v>
      </c>
      <c r="V316" s="21">
        <f t="shared" si="81"/>
        <v>165.19444444444474</v>
      </c>
      <c r="W316" s="22">
        <f t="shared" si="81"/>
        <v>133.89444444444447</v>
      </c>
      <c r="X316" s="22">
        <f t="shared" si="81"/>
        <v>147.80555555555526</v>
      </c>
      <c r="Y316" s="22">
        <f t="shared" si="81"/>
        <v>156.5</v>
      </c>
      <c r="Z316" s="23">
        <f t="shared" si="81"/>
        <v>125.19999999999973</v>
      </c>
      <c r="AA316" s="23">
        <f t="shared" si="81"/>
        <v>139.11111111111052</v>
      </c>
      <c r="AB316" s="23">
        <f t="shared" si="81"/>
        <v>147.80555555555526</v>
      </c>
      <c r="AC316" s="24">
        <f t="shared" si="81"/>
        <v>116.50555555555543</v>
      </c>
      <c r="AD316" s="24">
        <f t="shared" si="81"/>
        <v>130.41666666666711</v>
      </c>
      <c r="AE316" s="24">
        <f t="shared" si="81"/>
        <v>139.11111111111052</v>
      </c>
      <c r="AF316" s="25">
        <f t="shared" si="81"/>
        <v>107.81111111111092</v>
      </c>
      <c r="AG316" s="25">
        <f t="shared" si="81"/>
        <v>121.72222222222237</v>
      </c>
      <c r="AH316" s="25">
        <f t="shared" si="81"/>
        <v>130.41666666666711</v>
      </c>
      <c r="AI316" s="26">
        <f t="shared" si="81"/>
        <v>99.116666666666845</v>
      </c>
      <c r="AJ316" s="26">
        <f t="shared" si="84"/>
        <v>113.02777777777763</v>
      </c>
      <c r="AK316" s="26">
        <f t="shared" si="85"/>
        <v>121.72222222222237</v>
      </c>
    </row>
    <row r="317" spans="4:37" ht="20.100000000000001" customHeight="1">
      <c r="D317" s="27">
        <f t="shared" si="72"/>
        <v>0.87222222222221968</v>
      </c>
      <c r="E317" s="16">
        <f t="shared" si="83"/>
        <v>240.73333333333346</v>
      </c>
      <c r="F317" s="16">
        <f t="shared" si="83"/>
        <v>254.68888888888802</v>
      </c>
      <c r="G317" s="16">
        <f t="shared" si="83"/>
        <v>263.41111111111047</v>
      </c>
      <c r="H317" s="17">
        <f t="shared" si="83"/>
        <v>223.28888888888901</v>
      </c>
      <c r="I317" s="17">
        <f t="shared" si="83"/>
        <v>237.24444444444484</v>
      </c>
      <c r="J317" s="17">
        <f t="shared" si="83"/>
        <v>245.96666666666582</v>
      </c>
      <c r="K317" s="18">
        <f t="shared" si="83"/>
        <v>205.84444444444398</v>
      </c>
      <c r="L317" s="18">
        <f t="shared" si="83"/>
        <v>219.80000000000052</v>
      </c>
      <c r="M317" s="18">
        <f t="shared" si="83"/>
        <v>228.52222222222196</v>
      </c>
      <c r="N317" s="19">
        <f t="shared" si="83"/>
        <v>160.48888888888848</v>
      </c>
      <c r="O317" s="19">
        <f t="shared" si="83"/>
        <v>174.44444444444503</v>
      </c>
      <c r="P317" s="19">
        <f t="shared" si="83"/>
        <v>183.16666666666623</v>
      </c>
      <c r="Q317" s="20">
        <f t="shared" si="83"/>
        <v>151.76666666666728</v>
      </c>
      <c r="R317" s="20">
        <f t="shared" si="83"/>
        <v>165.72222222222251</v>
      </c>
      <c r="S317" s="20">
        <f t="shared" si="83"/>
        <v>174.44444444444503</v>
      </c>
      <c r="T317" s="21">
        <f t="shared" si="83"/>
        <v>143.04444444444476</v>
      </c>
      <c r="U317" s="21">
        <f t="shared" si="81"/>
        <v>157</v>
      </c>
      <c r="V317" s="21">
        <f t="shared" si="81"/>
        <v>165.72222222222251</v>
      </c>
      <c r="W317" s="22">
        <f t="shared" si="81"/>
        <v>134.32222222222225</v>
      </c>
      <c r="X317" s="22">
        <f t="shared" si="81"/>
        <v>148.27777777777749</v>
      </c>
      <c r="Y317" s="22">
        <f t="shared" si="81"/>
        <v>157</v>
      </c>
      <c r="Z317" s="23">
        <f t="shared" si="81"/>
        <v>125.59999999999974</v>
      </c>
      <c r="AA317" s="23">
        <f t="shared" si="81"/>
        <v>139.55555555555497</v>
      </c>
      <c r="AB317" s="23">
        <f t="shared" si="81"/>
        <v>148.27777777777749</v>
      </c>
      <c r="AC317" s="24">
        <f t="shared" si="81"/>
        <v>116.87777777777765</v>
      </c>
      <c r="AD317" s="24">
        <f t="shared" si="81"/>
        <v>130.83333333333377</v>
      </c>
      <c r="AE317" s="24">
        <f t="shared" si="81"/>
        <v>139.55555555555497</v>
      </c>
      <c r="AF317" s="25">
        <f t="shared" si="81"/>
        <v>108.15555555555537</v>
      </c>
      <c r="AG317" s="25">
        <f t="shared" si="81"/>
        <v>122.11111111111126</v>
      </c>
      <c r="AH317" s="25">
        <f t="shared" si="81"/>
        <v>130.83333333333377</v>
      </c>
      <c r="AI317" s="26">
        <f t="shared" si="81"/>
        <v>99.433333333333508</v>
      </c>
      <c r="AJ317" s="26">
        <f t="shared" si="84"/>
        <v>113.38888888888874</v>
      </c>
      <c r="AK317" s="26">
        <f t="shared" si="85"/>
        <v>122.11111111111126</v>
      </c>
    </row>
    <row r="318" spans="4:37" ht="20.100000000000001" customHeight="1">
      <c r="D318" s="27">
        <f t="shared" si="72"/>
        <v>0.87499999999999745</v>
      </c>
      <c r="E318" s="16">
        <f t="shared" si="83"/>
        <v>241.50000000000014</v>
      </c>
      <c r="F318" s="16">
        <f t="shared" si="83"/>
        <v>255.49999999999912</v>
      </c>
      <c r="G318" s="16">
        <f t="shared" si="83"/>
        <v>264.24999999999937</v>
      </c>
      <c r="H318" s="17">
        <f t="shared" si="83"/>
        <v>224.00000000000011</v>
      </c>
      <c r="I318" s="17">
        <f t="shared" si="83"/>
        <v>238.0000000000004</v>
      </c>
      <c r="J318" s="17">
        <f t="shared" si="83"/>
        <v>246.74999999999915</v>
      </c>
      <c r="K318" s="18">
        <f t="shared" si="83"/>
        <v>206.49999999999955</v>
      </c>
      <c r="L318" s="18">
        <f t="shared" si="83"/>
        <v>220.50000000000051</v>
      </c>
      <c r="M318" s="18">
        <f t="shared" si="83"/>
        <v>229.24999999999974</v>
      </c>
      <c r="N318" s="19">
        <f t="shared" si="83"/>
        <v>160.9999999999996</v>
      </c>
      <c r="O318" s="19">
        <f t="shared" si="83"/>
        <v>175.00000000000057</v>
      </c>
      <c r="P318" s="19">
        <f t="shared" si="83"/>
        <v>183.74999999999957</v>
      </c>
      <c r="Q318" s="20">
        <f t="shared" si="83"/>
        <v>152.2500000000006</v>
      </c>
      <c r="R318" s="20">
        <f t="shared" si="83"/>
        <v>166.25000000000028</v>
      </c>
      <c r="S318" s="20">
        <f t="shared" si="83"/>
        <v>175.00000000000057</v>
      </c>
      <c r="T318" s="21">
        <f t="shared" si="83"/>
        <v>143.50000000000031</v>
      </c>
      <c r="U318" s="21">
        <f t="shared" si="81"/>
        <v>157.5</v>
      </c>
      <c r="V318" s="21">
        <f t="shared" si="81"/>
        <v>166.25000000000028</v>
      </c>
      <c r="W318" s="22">
        <f t="shared" si="81"/>
        <v>134.75000000000003</v>
      </c>
      <c r="X318" s="22">
        <f t="shared" si="81"/>
        <v>148.74999999999972</v>
      </c>
      <c r="Y318" s="22">
        <f t="shared" si="81"/>
        <v>157.5</v>
      </c>
      <c r="Z318" s="23">
        <f t="shared" si="81"/>
        <v>125.99999999999974</v>
      </c>
      <c r="AA318" s="23">
        <f t="shared" si="81"/>
        <v>139.99999999999943</v>
      </c>
      <c r="AB318" s="23">
        <f t="shared" si="81"/>
        <v>148.74999999999972</v>
      </c>
      <c r="AC318" s="24">
        <f t="shared" si="81"/>
        <v>117.24999999999987</v>
      </c>
      <c r="AD318" s="24">
        <f t="shared" si="81"/>
        <v>131.25000000000043</v>
      </c>
      <c r="AE318" s="24">
        <f t="shared" si="81"/>
        <v>139.99999999999943</v>
      </c>
      <c r="AF318" s="25">
        <f t="shared" si="81"/>
        <v>108.49999999999982</v>
      </c>
      <c r="AG318" s="25">
        <f t="shared" si="81"/>
        <v>122.50000000000014</v>
      </c>
      <c r="AH318" s="25">
        <f t="shared" si="81"/>
        <v>131.25000000000043</v>
      </c>
      <c r="AI318" s="26">
        <f t="shared" si="81"/>
        <v>99.750000000000171</v>
      </c>
      <c r="AJ318" s="26">
        <f t="shared" si="84"/>
        <v>113.74999999999986</v>
      </c>
      <c r="AK318" s="26">
        <f t="shared" si="85"/>
        <v>122.50000000000014</v>
      </c>
    </row>
    <row r="319" spans="4:37" ht="20.100000000000001" customHeight="1">
      <c r="D319" s="27">
        <f t="shared" si="72"/>
        <v>0.87777777777777521</v>
      </c>
      <c r="E319" s="16">
        <f t="shared" si="83"/>
        <v>242.26666666666682</v>
      </c>
      <c r="F319" s="16">
        <f t="shared" si="83"/>
        <v>256.31111111111022</v>
      </c>
      <c r="G319" s="16">
        <f t="shared" si="83"/>
        <v>265.08888888888828</v>
      </c>
      <c r="H319" s="17">
        <f t="shared" si="83"/>
        <v>224.71111111111122</v>
      </c>
      <c r="I319" s="17">
        <f t="shared" si="83"/>
        <v>238.75555555555596</v>
      </c>
      <c r="J319" s="17">
        <f t="shared" si="83"/>
        <v>247.53333333333248</v>
      </c>
      <c r="K319" s="18">
        <f t="shared" si="83"/>
        <v>207.15555555555511</v>
      </c>
      <c r="L319" s="18">
        <f t="shared" si="83"/>
        <v>221.2000000000005</v>
      </c>
      <c r="M319" s="18">
        <f t="shared" si="83"/>
        <v>229.97777777777753</v>
      </c>
      <c r="N319" s="19">
        <f t="shared" si="83"/>
        <v>161.51111111111072</v>
      </c>
      <c r="O319" s="19">
        <f t="shared" si="83"/>
        <v>175.55555555555611</v>
      </c>
      <c r="P319" s="19">
        <f t="shared" si="83"/>
        <v>184.33333333333292</v>
      </c>
      <c r="Q319" s="20">
        <f t="shared" si="83"/>
        <v>152.73333333333392</v>
      </c>
      <c r="R319" s="20">
        <f t="shared" si="83"/>
        <v>166.77777777777806</v>
      </c>
      <c r="S319" s="20">
        <f t="shared" si="83"/>
        <v>175.55555555555611</v>
      </c>
      <c r="T319" s="21">
        <f t="shared" si="83"/>
        <v>143.95555555555586</v>
      </c>
      <c r="U319" s="21">
        <f t="shared" si="81"/>
        <v>158</v>
      </c>
      <c r="V319" s="21">
        <f t="shared" si="81"/>
        <v>166.77777777777806</v>
      </c>
      <c r="W319" s="22">
        <f t="shared" si="81"/>
        <v>135.17777777777781</v>
      </c>
      <c r="X319" s="22">
        <f t="shared" si="81"/>
        <v>149.22222222222194</v>
      </c>
      <c r="Y319" s="22">
        <f t="shared" si="81"/>
        <v>158</v>
      </c>
      <c r="Z319" s="23">
        <f t="shared" si="81"/>
        <v>126.39999999999975</v>
      </c>
      <c r="AA319" s="23">
        <f t="shared" si="81"/>
        <v>140.44444444444389</v>
      </c>
      <c r="AB319" s="23">
        <f t="shared" si="81"/>
        <v>149.22222222222194</v>
      </c>
      <c r="AC319" s="24">
        <f t="shared" si="81"/>
        <v>117.62222222222209</v>
      </c>
      <c r="AD319" s="24">
        <f t="shared" si="81"/>
        <v>131.66666666666708</v>
      </c>
      <c r="AE319" s="24">
        <f t="shared" si="81"/>
        <v>140.44444444444389</v>
      </c>
      <c r="AF319" s="25">
        <f t="shared" si="81"/>
        <v>108.84444444444426</v>
      </c>
      <c r="AG319" s="25">
        <f t="shared" si="81"/>
        <v>122.88888888888903</v>
      </c>
      <c r="AH319" s="25">
        <f t="shared" si="81"/>
        <v>131.66666666666708</v>
      </c>
      <c r="AI319" s="26">
        <f t="shared" si="81"/>
        <v>100.06666666666683</v>
      </c>
      <c r="AJ319" s="26">
        <f t="shared" si="84"/>
        <v>114.11111111111097</v>
      </c>
      <c r="AK319" s="26">
        <f t="shared" si="85"/>
        <v>122.88888888888903</v>
      </c>
    </row>
    <row r="320" spans="4:37" ht="20.100000000000001" customHeight="1">
      <c r="D320" s="27">
        <f t="shared" si="72"/>
        <v>0.88055555555555298</v>
      </c>
      <c r="E320" s="16">
        <f t="shared" si="83"/>
        <v>243.0333333333335</v>
      </c>
      <c r="F320" s="16">
        <f t="shared" si="83"/>
        <v>257.12222222222135</v>
      </c>
      <c r="G320" s="16">
        <f t="shared" si="83"/>
        <v>265.92777777777718</v>
      </c>
      <c r="H320" s="17">
        <f t="shared" si="83"/>
        <v>225.42222222222233</v>
      </c>
      <c r="I320" s="17">
        <f t="shared" si="83"/>
        <v>239.51111111111152</v>
      </c>
      <c r="J320" s="17">
        <f t="shared" si="83"/>
        <v>248.31666666666581</v>
      </c>
      <c r="K320" s="18">
        <f t="shared" si="83"/>
        <v>207.81111111111068</v>
      </c>
      <c r="L320" s="18">
        <f t="shared" si="83"/>
        <v>221.90000000000049</v>
      </c>
      <c r="M320" s="18">
        <f t="shared" si="83"/>
        <v>230.70555555555532</v>
      </c>
      <c r="N320" s="19">
        <f t="shared" si="83"/>
        <v>162.02222222222184</v>
      </c>
      <c r="O320" s="19">
        <f t="shared" si="83"/>
        <v>176.11111111111165</v>
      </c>
      <c r="P320" s="19">
        <f t="shared" si="83"/>
        <v>184.91666666666626</v>
      </c>
      <c r="Q320" s="20">
        <f t="shared" si="83"/>
        <v>153.21666666666724</v>
      </c>
      <c r="R320" s="20">
        <f t="shared" si="83"/>
        <v>167.30555555555583</v>
      </c>
      <c r="S320" s="20">
        <f t="shared" si="83"/>
        <v>176.11111111111165</v>
      </c>
      <c r="T320" s="21">
        <f t="shared" si="83"/>
        <v>144.41111111111141</v>
      </c>
      <c r="U320" s="21">
        <f t="shared" si="81"/>
        <v>158.5</v>
      </c>
      <c r="V320" s="21">
        <f t="shared" si="81"/>
        <v>167.30555555555583</v>
      </c>
      <c r="W320" s="22">
        <f t="shared" si="81"/>
        <v>135.60555555555558</v>
      </c>
      <c r="X320" s="22">
        <f t="shared" si="81"/>
        <v>149.69444444444417</v>
      </c>
      <c r="Y320" s="22">
        <f t="shared" si="81"/>
        <v>158.5</v>
      </c>
      <c r="Z320" s="23">
        <f t="shared" si="81"/>
        <v>126.79999999999976</v>
      </c>
      <c r="AA320" s="23">
        <f t="shared" si="81"/>
        <v>140.88888888888835</v>
      </c>
      <c r="AB320" s="23">
        <f t="shared" si="81"/>
        <v>149.69444444444417</v>
      </c>
      <c r="AC320" s="24">
        <f t="shared" si="81"/>
        <v>117.99444444444431</v>
      </c>
      <c r="AD320" s="24">
        <f t="shared" si="81"/>
        <v>132.08333333333374</v>
      </c>
      <c r="AE320" s="24">
        <f t="shared" si="81"/>
        <v>140.88888888888835</v>
      </c>
      <c r="AF320" s="25">
        <f t="shared" si="81"/>
        <v>109.18888888888871</v>
      </c>
      <c r="AG320" s="25">
        <f t="shared" si="81"/>
        <v>123.27777777777791</v>
      </c>
      <c r="AH320" s="25">
        <f t="shared" si="81"/>
        <v>132.08333333333374</v>
      </c>
      <c r="AI320" s="26">
        <f t="shared" si="81"/>
        <v>100.3833333333335</v>
      </c>
      <c r="AJ320" s="26">
        <f t="shared" si="84"/>
        <v>114.47222222222209</v>
      </c>
      <c r="AK320" s="26">
        <f t="shared" si="85"/>
        <v>123.27777777777791</v>
      </c>
    </row>
    <row r="321" spans="4:37" ht="20.100000000000001" customHeight="1">
      <c r="D321" s="27">
        <f t="shared" si="72"/>
        <v>0.88333333333333075</v>
      </c>
      <c r="E321" s="16">
        <f t="shared" si="83"/>
        <v>243.80000000000018</v>
      </c>
      <c r="F321" s="16">
        <f t="shared" si="83"/>
        <v>257.93333333333248</v>
      </c>
      <c r="G321" s="16">
        <f t="shared" si="83"/>
        <v>266.76666666666608</v>
      </c>
      <c r="H321" s="17">
        <f t="shared" si="83"/>
        <v>226.13333333333344</v>
      </c>
      <c r="I321" s="17">
        <f t="shared" si="83"/>
        <v>240.26666666666708</v>
      </c>
      <c r="J321" s="17">
        <f t="shared" si="83"/>
        <v>249.09999999999914</v>
      </c>
      <c r="K321" s="18">
        <f t="shared" si="83"/>
        <v>208.46666666666624</v>
      </c>
      <c r="L321" s="18">
        <f t="shared" si="83"/>
        <v>222.60000000000048</v>
      </c>
      <c r="M321" s="18">
        <f t="shared" si="83"/>
        <v>231.43333333333311</v>
      </c>
      <c r="N321" s="19">
        <f t="shared" si="83"/>
        <v>162.53333333333296</v>
      </c>
      <c r="O321" s="19">
        <f t="shared" si="83"/>
        <v>176.6666666666672</v>
      </c>
      <c r="P321" s="19">
        <f t="shared" si="83"/>
        <v>185.4999999999996</v>
      </c>
      <c r="Q321" s="20">
        <f t="shared" si="83"/>
        <v>153.70000000000056</v>
      </c>
      <c r="R321" s="20">
        <f t="shared" si="83"/>
        <v>167.8333333333336</v>
      </c>
      <c r="S321" s="20">
        <f t="shared" si="83"/>
        <v>176.6666666666672</v>
      </c>
      <c r="T321" s="21">
        <f t="shared" si="83"/>
        <v>144.86666666666696</v>
      </c>
      <c r="U321" s="21">
        <f t="shared" si="81"/>
        <v>159</v>
      </c>
      <c r="V321" s="21">
        <f t="shared" si="81"/>
        <v>167.8333333333336</v>
      </c>
      <c r="W321" s="22">
        <f t="shared" si="81"/>
        <v>136.03333333333336</v>
      </c>
      <c r="X321" s="22">
        <f t="shared" si="81"/>
        <v>150.1666666666664</v>
      </c>
      <c r="Y321" s="22">
        <f t="shared" si="81"/>
        <v>159</v>
      </c>
      <c r="Z321" s="23">
        <f t="shared" si="81"/>
        <v>127.19999999999976</v>
      </c>
      <c r="AA321" s="23">
        <f t="shared" si="81"/>
        <v>141.3333333333328</v>
      </c>
      <c r="AB321" s="23">
        <f t="shared" si="81"/>
        <v>150.1666666666664</v>
      </c>
      <c r="AC321" s="24">
        <f t="shared" si="81"/>
        <v>118.36666666666653</v>
      </c>
      <c r="AD321" s="24">
        <f t="shared" si="81"/>
        <v>132.5000000000004</v>
      </c>
      <c r="AE321" s="24">
        <f t="shared" si="81"/>
        <v>141.3333333333328</v>
      </c>
      <c r="AF321" s="25">
        <f t="shared" si="81"/>
        <v>109.53333333333316</v>
      </c>
      <c r="AG321" s="25">
        <f t="shared" si="81"/>
        <v>123.6666666666668</v>
      </c>
      <c r="AH321" s="25">
        <f t="shared" si="81"/>
        <v>132.5000000000004</v>
      </c>
      <c r="AI321" s="26">
        <f t="shared" si="81"/>
        <v>100.70000000000016</v>
      </c>
      <c r="AJ321" s="26">
        <f t="shared" si="84"/>
        <v>114.8333333333332</v>
      </c>
      <c r="AK321" s="26">
        <f t="shared" si="85"/>
        <v>123.6666666666668</v>
      </c>
    </row>
    <row r="322" spans="4:37" ht="20.100000000000001" customHeight="1">
      <c r="D322" s="27">
        <f t="shared" si="72"/>
        <v>0.88611111111110852</v>
      </c>
      <c r="E322" s="16">
        <f t="shared" si="83"/>
        <v>244.56666666666686</v>
      </c>
      <c r="F322" s="16">
        <f t="shared" si="83"/>
        <v>258.74444444444362</v>
      </c>
      <c r="G322" s="16">
        <f t="shared" si="83"/>
        <v>267.60555555555499</v>
      </c>
      <c r="H322" s="17">
        <f t="shared" si="83"/>
        <v>226.84444444444455</v>
      </c>
      <c r="I322" s="17">
        <f t="shared" si="83"/>
        <v>241.02222222222264</v>
      </c>
      <c r="J322" s="17">
        <f t="shared" si="83"/>
        <v>249.88333333333247</v>
      </c>
      <c r="K322" s="18">
        <f t="shared" si="83"/>
        <v>209.12222222222181</v>
      </c>
      <c r="L322" s="18">
        <f t="shared" si="83"/>
        <v>223.30000000000047</v>
      </c>
      <c r="M322" s="18">
        <f t="shared" si="83"/>
        <v>232.1611111111109</v>
      </c>
      <c r="N322" s="19">
        <f t="shared" si="83"/>
        <v>163.04444444444408</v>
      </c>
      <c r="O322" s="19">
        <f t="shared" si="83"/>
        <v>177.22222222222274</v>
      </c>
      <c r="P322" s="19">
        <f t="shared" si="83"/>
        <v>186.08333333333294</v>
      </c>
      <c r="Q322" s="20">
        <f t="shared" si="83"/>
        <v>154.18333333333388</v>
      </c>
      <c r="R322" s="20">
        <f t="shared" si="83"/>
        <v>168.36111111111137</v>
      </c>
      <c r="S322" s="20">
        <f t="shared" si="83"/>
        <v>177.22222222222274</v>
      </c>
      <c r="T322" s="21">
        <f t="shared" si="83"/>
        <v>145.32222222222251</v>
      </c>
      <c r="U322" s="21">
        <f t="shared" si="81"/>
        <v>159.5</v>
      </c>
      <c r="V322" s="21">
        <f t="shared" si="81"/>
        <v>168.36111111111137</v>
      </c>
      <c r="W322" s="22">
        <f t="shared" si="81"/>
        <v>136.46111111111114</v>
      </c>
      <c r="X322" s="22">
        <f t="shared" si="81"/>
        <v>150.63888888888863</v>
      </c>
      <c r="Y322" s="22">
        <f t="shared" si="81"/>
        <v>159.5</v>
      </c>
      <c r="Z322" s="23">
        <f t="shared" si="81"/>
        <v>127.59999999999977</v>
      </c>
      <c r="AA322" s="23">
        <f t="shared" si="81"/>
        <v>141.77777777777726</v>
      </c>
      <c r="AB322" s="23">
        <f t="shared" si="81"/>
        <v>150.63888888888863</v>
      </c>
      <c r="AC322" s="24">
        <f t="shared" si="81"/>
        <v>118.73888888888875</v>
      </c>
      <c r="AD322" s="24">
        <f t="shared" si="81"/>
        <v>132.91666666666706</v>
      </c>
      <c r="AE322" s="24">
        <f t="shared" si="81"/>
        <v>141.77777777777726</v>
      </c>
      <c r="AF322" s="25">
        <f t="shared" si="81"/>
        <v>109.87777777777761</v>
      </c>
      <c r="AG322" s="25">
        <f t="shared" si="81"/>
        <v>124.05555555555569</v>
      </c>
      <c r="AH322" s="25">
        <f t="shared" si="81"/>
        <v>132.91666666666706</v>
      </c>
      <c r="AI322" s="26">
        <f t="shared" si="81"/>
        <v>101.01666666666682</v>
      </c>
      <c r="AJ322" s="26">
        <f t="shared" si="84"/>
        <v>115.19444444444431</v>
      </c>
      <c r="AK322" s="26">
        <f t="shared" si="85"/>
        <v>124.05555555555569</v>
      </c>
    </row>
    <row r="323" spans="4:37" ht="20.100000000000001" customHeight="1">
      <c r="D323" s="27">
        <f t="shared" si="72"/>
        <v>0.88888888888888629</v>
      </c>
      <c r="E323" s="16">
        <f t="shared" si="83"/>
        <v>245.33333333333354</v>
      </c>
      <c r="F323" s="16">
        <f t="shared" si="83"/>
        <v>259.55555555555475</v>
      </c>
      <c r="G323" s="16">
        <f t="shared" si="83"/>
        <v>268.44444444444389</v>
      </c>
      <c r="H323" s="17">
        <f t="shared" si="83"/>
        <v>227.55555555555566</v>
      </c>
      <c r="I323" s="17">
        <f t="shared" si="83"/>
        <v>241.7777777777782</v>
      </c>
      <c r="J323" s="17">
        <f t="shared" si="83"/>
        <v>250.6666666666658</v>
      </c>
      <c r="K323" s="18">
        <f t="shared" si="83"/>
        <v>209.77777777777737</v>
      </c>
      <c r="L323" s="18">
        <f t="shared" si="83"/>
        <v>224.00000000000045</v>
      </c>
      <c r="M323" s="18">
        <f t="shared" si="83"/>
        <v>232.88888888888869</v>
      </c>
      <c r="N323" s="19">
        <f t="shared" si="83"/>
        <v>163.5555555555552</v>
      </c>
      <c r="O323" s="19">
        <f t="shared" si="83"/>
        <v>177.77777777777828</v>
      </c>
      <c r="P323" s="19">
        <f t="shared" si="83"/>
        <v>186.66666666666629</v>
      </c>
      <c r="Q323" s="20">
        <f t="shared" si="83"/>
        <v>154.6666666666672</v>
      </c>
      <c r="R323" s="20">
        <f t="shared" si="83"/>
        <v>168.88888888888914</v>
      </c>
      <c r="S323" s="20">
        <f t="shared" si="83"/>
        <v>177.77777777777828</v>
      </c>
      <c r="T323" s="21">
        <f>T324-(T$363/360)</f>
        <v>145.77777777777806</v>
      </c>
      <c r="U323" s="21">
        <f t="shared" si="81"/>
        <v>160</v>
      </c>
      <c r="V323" s="21">
        <f t="shared" si="81"/>
        <v>168.88888888888914</v>
      </c>
      <c r="W323" s="22">
        <f t="shared" si="81"/>
        <v>136.88888888888891</v>
      </c>
      <c r="X323" s="22">
        <f t="shared" si="81"/>
        <v>151.11111111111086</v>
      </c>
      <c r="Y323" s="22">
        <f t="shared" si="81"/>
        <v>160</v>
      </c>
      <c r="Z323" s="23">
        <f t="shared" si="81"/>
        <v>127.99999999999977</v>
      </c>
      <c r="AA323" s="23">
        <f t="shared" si="81"/>
        <v>142.22222222222172</v>
      </c>
      <c r="AB323" s="23">
        <f t="shared" si="81"/>
        <v>151.11111111111086</v>
      </c>
      <c r="AC323" s="24">
        <f t="shared" si="81"/>
        <v>119.11111111111097</v>
      </c>
      <c r="AD323" s="24">
        <f t="shared" si="81"/>
        <v>133.33333333333371</v>
      </c>
      <c r="AE323" s="24">
        <f t="shared" si="81"/>
        <v>142.22222222222172</v>
      </c>
      <c r="AF323" s="25">
        <f t="shared" si="81"/>
        <v>110.22222222222206</v>
      </c>
      <c r="AG323" s="25">
        <f t="shared" si="81"/>
        <v>124.44444444444457</v>
      </c>
      <c r="AH323" s="25">
        <f t="shared" si="81"/>
        <v>133.33333333333371</v>
      </c>
      <c r="AI323" s="26">
        <f t="shared" si="81"/>
        <v>101.33333333333348</v>
      </c>
      <c r="AJ323" s="26">
        <f t="shared" si="84"/>
        <v>115.55555555555543</v>
      </c>
      <c r="AK323" s="26">
        <f t="shared" si="85"/>
        <v>124.44444444444457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246.10000000000022</v>
      </c>
      <c r="F324" s="16">
        <f t="shared" si="86"/>
        <v>260.36666666666588</v>
      </c>
      <c r="G324" s="16">
        <f t="shared" si="86"/>
        <v>269.28333333333279</v>
      </c>
      <c r="H324" s="17">
        <f t="shared" si="86"/>
        <v>228.26666666666677</v>
      </c>
      <c r="I324" s="17">
        <f t="shared" si="86"/>
        <v>242.53333333333376</v>
      </c>
      <c r="J324" s="17">
        <f t="shared" si="86"/>
        <v>251.44999999999914</v>
      </c>
      <c r="K324" s="18">
        <f t="shared" si="86"/>
        <v>210.43333333333294</v>
      </c>
      <c r="L324" s="18">
        <f t="shared" si="86"/>
        <v>224.70000000000044</v>
      </c>
      <c r="M324" s="18">
        <f t="shared" si="86"/>
        <v>233.61666666666648</v>
      </c>
      <c r="N324" s="19">
        <f t="shared" si="86"/>
        <v>164.06666666666632</v>
      </c>
      <c r="O324" s="19">
        <f t="shared" si="86"/>
        <v>178.33333333333383</v>
      </c>
      <c r="P324" s="19">
        <f t="shared" si="86"/>
        <v>187.24999999999963</v>
      </c>
      <c r="Q324" s="20">
        <f t="shared" si="86"/>
        <v>155.15000000000052</v>
      </c>
      <c r="R324" s="20">
        <f t="shared" si="86"/>
        <v>169.41666666666691</v>
      </c>
      <c r="S324" s="20">
        <f t="shared" si="86"/>
        <v>178.33333333333383</v>
      </c>
      <c r="T324" s="21">
        <f t="shared" si="86"/>
        <v>146.2333333333336</v>
      </c>
      <c r="U324" s="21">
        <f t="shared" ref="U324:AJ339" si="87">U325-(U$363/360)</f>
        <v>160.5</v>
      </c>
      <c r="V324" s="21">
        <f t="shared" si="87"/>
        <v>169.41666666666691</v>
      </c>
      <c r="W324" s="22">
        <f t="shared" si="87"/>
        <v>137.31666666666669</v>
      </c>
      <c r="X324" s="22">
        <f t="shared" si="87"/>
        <v>151.58333333333309</v>
      </c>
      <c r="Y324" s="22">
        <f t="shared" si="87"/>
        <v>160.5</v>
      </c>
      <c r="Z324" s="23">
        <f t="shared" si="87"/>
        <v>128.39999999999978</v>
      </c>
      <c r="AA324" s="23">
        <f t="shared" si="87"/>
        <v>142.66666666666617</v>
      </c>
      <c r="AB324" s="23">
        <f t="shared" si="87"/>
        <v>151.58333333333309</v>
      </c>
      <c r="AC324" s="24">
        <f t="shared" si="87"/>
        <v>119.48333333333319</v>
      </c>
      <c r="AD324" s="24">
        <f t="shared" si="87"/>
        <v>133.75000000000037</v>
      </c>
      <c r="AE324" s="24">
        <f t="shared" si="87"/>
        <v>142.66666666666617</v>
      </c>
      <c r="AF324" s="25">
        <f t="shared" si="87"/>
        <v>110.56666666666651</v>
      </c>
      <c r="AG324" s="25">
        <f t="shared" si="87"/>
        <v>124.83333333333346</v>
      </c>
      <c r="AH324" s="25">
        <f t="shared" si="87"/>
        <v>133.75000000000037</v>
      </c>
      <c r="AI324" s="26">
        <f t="shared" si="87"/>
        <v>101.65000000000015</v>
      </c>
      <c r="AJ324" s="26">
        <f t="shared" si="87"/>
        <v>115.91666666666654</v>
      </c>
      <c r="AK324" s="26">
        <f>AK325-(AK$363/360)</f>
        <v>124.83333333333346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246.8666666666669</v>
      </c>
      <c r="F325" s="16">
        <f t="shared" si="86"/>
        <v>261.17777777777701</v>
      </c>
      <c r="G325" s="16">
        <f t="shared" si="86"/>
        <v>270.12222222222169</v>
      </c>
      <c r="H325" s="17">
        <f t="shared" si="86"/>
        <v>228.97777777777787</v>
      </c>
      <c r="I325" s="17">
        <f t="shared" si="86"/>
        <v>243.28888888888932</v>
      </c>
      <c r="J325" s="17">
        <f t="shared" si="86"/>
        <v>252.23333333333247</v>
      </c>
      <c r="K325" s="18">
        <f t="shared" si="86"/>
        <v>211.0888888888885</v>
      </c>
      <c r="L325" s="18">
        <f t="shared" si="86"/>
        <v>225.40000000000043</v>
      </c>
      <c r="M325" s="18">
        <f t="shared" si="86"/>
        <v>234.34444444444426</v>
      </c>
      <c r="N325" s="19">
        <f t="shared" si="86"/>
        <v>164.57777777777744</v>
      </c>
      <c r="O325" s="19">
        <f t="shared" si="86"/>
        <v>178.88888888888937</v>
      </c>
      <c r="P325" s="19">
        <f t="shared" si="86"/>
        <v>187.83333333333297</v>
      </c>
      <c r="Q325" s="20">
        <f t="shared" si="86"/>
        <v>155.63333333333384</v>
      </c>
      <c r="R325" s="20">
        <f t="shared" si="86"/>
        <v>169.94444444444468</v>
      </c>
      <c r="S325" s="20">
        <f t="shared" si="86"/>
        <v>178.88888888888937</v>
      </c>
      <c r="T325" s="21">
        <f t="shared" si="86"/>
        <v>146.68888888888915</v>
      </c>
      <c r="U325" s="21">
        <f t="shared" si="87"/>
        <v>161</v>
      </c>
      <c r="V325" s="21">
        <f t="shared" si="87"/>
        <v>169.94444444444468</v>
      </c>
      <c r="W325" s="22">
        <f t="shared" si="87"/>
        <v>137.74444444444447</v>
      </c>
      <c r="X325" s="22">
        <f t="shared" si="87"/>
        <v>152.05555555555532</v>
      </c>
      <c r="Y325" s="22">
        <f t="shared" si="87"/>
        <v>161</v>
      </c>
      <c r="Z325" s="23">
        <f t="shared" si="87"/>
        <v>128.79999999999978</v>
      </c>
      <c r="AA325" s="23">
        <f t="shared" si="87"/>
        <v>143.11111111111063</v>
      </c>
      <c r="AB325" s="23">
        <f t="shared" si="87"/>
        <v>152.05555555555532</v>
      </c>
      <c r="AC325" s="24">
        <f t="shared" si="87"/>
        <v>119.85555555555541</v>
      </c>
      <c r="AD325" s="24">
        <f t="shared" si="87"/>
        <v>134.16666666666703</v>
      </c>
      <c r="AE325" s="24">
        <f t="shared" si="87"/>
        <v>143.11111111111063</v>
      </c>
      <c r="AF325" s="25">
        <f t="shared" si="87"/>
        <v>110.91111111111096</v>
      </c>
      <c r="AG325" s="25">
        <f t="shared" si="87"/>
        <v>125.22222222222234</v>
      </c>
      <c r="AH325" s="25">
        <f t="shared" si="87"/>
        <v>134.16666666666703</v>
      </c>
      <c r="AI325" s="26">
        <f t="shared" si="87"/>
        <v>101.96666666666681</v>
      </c>
      <c r="AJ325" s="26">
        <f t="shared" si="87"/>
        <v>116.27777777777766</v>
      </c>
      <c r="AK325" s="26">
        <f t="shared" ref="AK325:AK362" si="89">AK326-(AK$363/360)</f>
        <v>125.22222222222234</v>
      </c>
    </row>
    <row r="326" spans="4:37" ht="20.100000000000001" customHeight="1">
      <c r="D326" s="27">
        <f t="shared" si="88"/>
        <v>0.89722222222221959</v>
      </c>
      <c r="E326" s="16">
        <f t="shared" si="86"/>
        <v>247.63333333333358</v>
      </c>
      <c r="F326" s="16">
        <f t="shared" si="86"/>
        <v>261.98888888888814</v>
      </c>
      <c r="G326" s="16">
        <f t="shared" si="86"/>
        <v>270.9611111111106</v>
      </c>
      <c r="H326" s="17">
        <f t="shared" si="86"/>
        <v>229.68888888888898</v>
      </c>
      <c r="I326" s="17">
        <f t="shared" si="86"/>
        <v>244.04444444444488</v>
      </c>
      <c r="J326" s="17">
        <f t="shared" si="86"/>
        <v>253.0166666666658</v>
      </c>
      <c r="K326" s="18">
        <f t="shared" si="86"/>
        <v>211.74444444444407</v>
      </c>
      <c r="L326" s="18">
        <f t="shared" si="86"/>
        <v>226.10000000000042</v>
      </c>
      <c r="M326" s="18">
        <f t="shared" si="86"/>
        <v>235.07222222222205</v>
      </c>
      <c r="N326" s="19">
        <f t="shared" si="86"/>
        <v>165.08888888888856</v>
      </c>
      <c r="O326" s="19">
        <f t="shared" si="86"/>
        <v>179.44444444444491</v>
      </c>
      <c r="P326" s="19">
        <f t="shared" si="86"/>
        <v>188.41666666666632</v>
      </c>
      <c r="Q326" s="20">
        <f t="shared" si="86"/>
        <v>156.11666666666716</v>
      </c>
      <c r="R326" s="20">
        <f t="shared" si="86"/>
        <v>170.47222222222246</v>
      </c>
      <c r="S326" s="20">
        <f t="shared" si="86"/>
        <v>179.44444444444491</v>
      </c>
      <c r="T326" s="21">
        <f t="shared" si="86"/>
        <v>147.1444444444447</v>
      </c>
      <c r="U326" s="21">
        <f t="shared" si="87"/>
        <v>161.5</v>
      </c>
      <c r="V326" s="21">
        <f t="shared" si="87"/>
        <v>170.47222222222246</v>
      </c>
      <c r="W326" s="22">
        <f t="shared" si="87"/>
        <v>138.17222222222225</v>
      </c>
      <c r="X326" s="22">
        <f t="shared" si="87"/>
        <v>152.52777777777754</v>
      </c>
      <c r="Y326" s="22">
        <f t="shared" si="87"/>
        <v>161.5</v>
      </c>
      <c r="Z326" s="23">
        <f t="shared" si="87"/>
        <v>129.19999999999979</v>
      </c>
      <c r="AA326" s="23">
        <f t="shared" si="87"/>
        <v>143.55555555555509</v>
      </c>
      <c r="AB326" s="23">
        <f t="shared" si="87"/>
        <v>152.52777777777754</v>
      </c>
      <c r="AC326" s="24">
        <f t="shared" si="87"/>
        <v>120.22777777777763</v>
      </c>
      <c r="AD326" s="24">
        <f t="shared" si="87"/>
        <v>134.58333333333368</v>
      </c>
      <c r="AE326" s="24">
        <f t="shared" si="87"/>
        <v>143.55555555555509</v>
      </c>
      <c r="AF326" s="25">
        <f t="shared" si="87"/>
        <v>111.2555555555554</v>
      </c>
      <c r="AG326" s="25">
        <f t="shared" si="87"/>
        <v>125.61111111111123</v>
      </c>
      <c r="AH326" s="25">
        <f t="shared" si="87"/>
        <v>134.58333333333368</v>
      </c>
      <c r="AI326" s="26">
        <f t="shared" si="87"/>
        <v>102.28333333333347</v>
      </c>
      <c r="AJ326" s="26">
        <f t="shared" si="87"/>
        <v>116.63888888888877</v>
      </c>
      <c r="AK326" s="26">
        <f t="shared" si="89"/>
        <v>125.61111111111123</v>
      </c>
    </row>
    <row r="327" spans="4:37" ht="20.100000000000001" customHeight="1">
      <c r="D327" s="27">
        <f t="shared" si="88"/>
        <v>0.89999999999999736</v>
      </c>
      <c r="E327" s="16">
        <f t="shared" si="86"/>
        <v>248.40000000000026</v>
      </c>
      <c r="F327" s="16">
        <f t="shared" si="86"/>
        <v>262.79999999999927</v>
      </c>
      <c r="G327" s="16">
        <f t="shared" si="86"/>
        <v>271.7999999999995</v>
      </c>
      <c r="H327" s="17">
        <f t="shared" si="86"/>
        <v>230.40000000000009</v>
      </c>
      <c r="I327" s="17">
        <f t="shared" si="86"/>
        <v>244.80000000000044</v>
      </c>
      <c r="J327" s="17">
        <f t="shared" si="86"/>
        <v>253.79999999999913</v>
      </c>
      <c r="K327" s="18">
        <f t="shared" si="86"/>
        <v>212.39999999999964</v>
      </c>
      <c r="L327" s="18">
        <f t="shared" si="86"/>
        <v>226.80000000000041</v>
      </c>
      <c r="M327" s="18">
        <f t="shared" si="86"/>
        <v>235.79999999999984</v>
      </c>
      <c r="N327" s="19">
        <f t="shared" si="86"/>
        <v>165.59999999999968</v>
      </c>
      <c r="O327" s="19">
        <f t="shared" si="86"/>
        <v>180.00000000000045</v>
      </c>
      <c r="P327" s="19">
        <f t="shared" si="86"/>
        <v>188.99999999999966</v>
      </c>
      <c r="Q327" s="20">
        <f t="shared" si="86"/>
        <v>156.60000000000048</v>
      </c>
      <c r="R327" s="20">
        <f t="shared" si="86"/>
        <v>171.00000000000023</v>
      </c>
      <c r="S327" s="20">
        <f t="shared" si="86"/>
        <v>180.00000000000045</v>
      </c>
      <c r="T327" s="21">
        <f t="shared" si="86"/>
        <v>147.60000000000025</v>
      </c>
      <c r="U327" s="21">
        <f t="shared" si="87"/>
        <v>162</v>
      </c>
      <c r="V327" s="21">
        <f t="shared" si="87"/>
        <v>171.00000000000023</v>
      </c>
      <c r="W327" s="22">
        <f t="shared" si="87"/>
        <v>138.60000000000002</v>
      </c>
      <c r="X327" s="22">
        <f t="shared" si="87"/>
        <v>152.99999999999977</v>
      </c>
      <c r="Y327" s="22">
        <f t="shared" si="87"/>
        <v>162</v>
      </c>
      <c r="Z327" s="23">
        <f t="shared" si="87"/>
        <v>129.5999999999998</v>
      </c>
      <c r="AA327" s="23">
        <f t="shared" si="87"/>
        <v>143.99999999999955</v>
      </c>
      <c r="AB327" s="23">
        <f t="shared" si="87"/>
        <v>152.99999999999977</v>
      </c>
      <c r="AC327" s="24">
        <f t="shared" si="87"/>
        <v>120.59999999999985</v>
      </c>
      <c r="AD327" s="24">
        <f t="shared" si="87"/>
        <v>135.00000000000034</v>
      </c>
      <c r="AE327" s="24">
        <f t="shared" si="87"/>
        <v>143.99999999999955</v>
      </c>
      <c r="AF327" s="25">
        <f t="shared" si="87"/>
        <v>111.59999999999985</v>
      </c>
      <c r="AG327" s="25">
        <f t="shared" si="87"/>
        <v>126.00000000000011</v>
      </c>
      <c r="AH327" s="25">
        <f t="shared" si="87"/>
        <v>135.00000000000034</v>
      </c>
      <c r="AI327" s="26">
        <f t="shared" si="87"/>
        <v>102.60000000000014</v>
      </c>
      <c r="AJ327" s="26">
        <f t="shared" si="87"/>
        <v>116.99999999999989</v>
      </c>
      <c r="AK327" s="26">
        <f t="shared" si="89"/>
        <v>126.00000000000011</v>
      </c>
    </row>
    <row r="328" spans="4:37" ht="20.100000000000001" customHeight="1">
      <c r="D328" s="27">
        <f t="shared" si="88"/>
        <v>0.90277777777777513</v>
      </c>
      <c r="E328" s="16">
        <f t="shared" si="86"/>
        <v>249.16666666666694</v>
      </c>
      <c r="F328" s="16">
        <f t="shared" si="86"/>
        <v>263.6111111111104</v>
      </c>
      <c r="G328" s="16">
        <f t="shared" si="86"/>
        <v>272.6388888888884</v>
      </c>
      <c r="H328" s="17">
        <f t="shared" si="86"/>
        <v>231.1111111111112</v>
      </c>
      <c r="I328" s="17">
        <f t="shared" si="86"/>
        <v>245.555555555556</v>
      </c>
      <c r="J328" s="17">
        <f t="shared" si="86"/>
        <v>254.58333333333246</v>
      </c>
      <c r="K328" s="18">
        <f t="shared" si="86"/>
        <v>213.0555555555552</v>
      </c>
      <c r="L328" s="18">
        <f t="shared" si="86"/>
        <v>227.5000000000004</v>
      </c>
      <c r="M328" s="18">
        <f t="shared" si="86"/>
        <v>236.52777777777763</v>
      </c>
      <c r="N328" s="19">
        <f t="shared" si="86"/>
        <v>166.1111111111108</v>
      </c>
      <c r="O328" s="19">
        <f t="shared" si="86"/>
        <v>180.555555555556</v>
      </c>
      <c r="P328" s="19">
        <f t="shared" si="86"/>
        <v>189.583333333333</v>
      </c>
      <c r="Q328" s="20">
        <f t="shared" si="86"/>
        <v>157.0833333333338</v>
      </c>
      <c r="R328" s="20">
        <f t="shared" si="86"/>
        <v>171.527777777778</v>
      </c>
      <c r="S328" s="20">
        <f t="shared" si="86"/>
        <v>180.555555555556</v>
      </c>
      <c r="T328" s="21">
        <f t="shared" si="86"/>
        <v>148.0555555555558</v>
      </c>
      <c r="U328" s="21">
        <f t="shared" si="87"/>
        <v>162.5</v>
      </c>
      <c r="V328" s="21">
        <f t="shared" si="87"/>
        <v>171.527777777778</v>
      </c>
      <c r="W328" s="22">
        <f t="shared" si="87"/>
        <v>139.0277777777778</v>
      </c>
      <c r="X328" s="22">
        <f t="shared" si="87"/>
        <v>153.472222222222</v>
      </c>
      <c r="Y328" s="22">
        <f t="shared" si="87"/>
        <v>162.5</v>
      </c>
      <c r="Z328" s="23">
        <f t="shared" si="87"/>
        <v>129.9999999999998</v>
      </c>
      <c r="AA328" s="23">
        <f t="shared" si="87"/>
        <v>144.444444444444</v>
      </c>
      <c r="AB328" s="23">
        <f t="shared" si="87"/>
        <v>153.472222222222</v>
      </c>
      <c r="AC328" s="24">
        <f t="shared" si="87"/>
        <v>120.97222222222207</v>
      </c>
      <c r="AD328" s="24">
        <f t="shared" si="87"/>
        <v>135.416666666667</v>
      </c>
      <c r="AE328" s="24">
        <f t="shared" si="87"/>
        <v>144.444444444444</v>
      </c>
      <c r="AF328" s="25">
        <f t="shared" si="87"/>
        <v>111.9444444444443</v>
      </c>
      <c r="AG328" s="25">
        <f t="shared" si="87"/>
        <v>126.388888888889</v>
      </c>
      <c r="AH328" s="25">
        <f t="shared" si="87"/>
        <v>135.416666666667</v>
      </c>
      <c r="AI328" s="26">
        <f t="shared" si="87"/>
        <v>102.9166666666668</v>
      </c>
      <c r="AJ328" s="26">
        <f t="shared" si="87"/>
        <v>117.361111111111</v>
      </c>
      <c r="AK328" s="26">
        <f t="shared" si="89"/>
        <v>126.388888888889</v>
      </c>
    </row>
    <row r="329" spans="4:37" ht="20.100000000000001" customHeight="1">
      <c r="D329" s="27">
        <f t="shared" si="88"/>
        <v>0.90555555555555289</v>
      </c>
      <c r="E329" s="16">
        <f t="shared" si="86"/>
        <v>249.93333333333362</v>
      </c>
      <c r="F329" s="16">
        <f t="shared" si="86"/>
        <v>264.42222222222154</v>
      </c>
      <c r="G329" s="16">
        <f t="shared" si="86"/>
        <v>273.47777777777731</v>
      </c>
      <c r="H329" s="17">
        <f t="shared" si="86"/>
        <v>231.82222222222231</v>
      </c>
      <c r="I329" s="17">
        <f t="shared" si="86"/>
        <v>246.31111111111156</v>
      </c>
      <c r="J329" s="17">
        <f t="shared" si="86"/>
        <v>255.36666666666579</v>
      </c>
      <c r="K329" s="18">
        <f t="shared" si="86"/>
        <v>213.71111111111077</v>
      </c>
      <c r="L329" s="18">
        <f t="shared" si="86"/>
        <v>228.20000000000039</v>
      </c>
      <c r="M329" s="18">
        <f t="shared" si="86"/>
        <v>237.25555555555542</v>
      </c>
      <c r="N329" s="19">
        <f t="shared" si="86"/>
        <v>166.62222222222192</v>
      </c>
      <c r="O329" s="19">
        <f t="shared" si="86"/>
        <v>181.11111111111154</v>
      </c>
      <c r="P329" s="19">
        <f t="shared" si="86"/>
        <v>190.16666666666634</v>
      </c>
      <c r="Q329" s="20">
        <f t="shared" si="86"/>
        <v>157.56666666666712</v>
      </c>
      <c r="R329" s="20">
        <f t="shared" si="86"/>
        <v>172.05555555555577</v>
      </c>
      <c r="S329" s="20">
        <f t="shared" si="86"/>
        <v>181.11111111111154</v>
      </c>
      <c r="T329" s="21">
        <f t="shared" si="86"/>
        <v>148.51111111111135</v>
      </c>
      <c r="U329" s="21">
        <f t="shared" si="87"/>
        <v>163</v>
      </c>
      <c r="V329" s="21">
        <f t="shared" si="87"/>
        <v>172.05555555555577</v>
      </c>
      <c r="W329" s="22">
        <f t="shared" si="87"/>
        <v>139.45555555555558</v>
      </c>
      <c r="X329" s="22">
        <f t="shared" si="87"/>
        <v>153.94444444444423</v>
      </c>
      <c r="Y329" s="22">
        <f t="shared" si="87"/>
        <v>163</v>
      </c>
      <c r="Z329" s="23">
        <f t="shared" si="87"/>
        <v>130.39999999999981</v>
      </c>
      <c r="AA329" s="23">
        <f t="shared" si="87"/>
        <v>144.88888888888846</v>
      </c>
      <c r="AB329" s="23">
        <f t="shared" si="87"/>
        <v>153.94444444444423</v>
      </c>
      <c r="AC329" s="24">
        <f t="shared" si="87"/>
        <v>121.34444444444429</v>
      </c>
      <c r="AD329" s="24">
        <f t="shared" si="87"/>
        <v>135.83333333333366</v>
      </c>
      <c r="AE329" s="24">
        <f t="shared" si="87"/>
        <v>144.88888888888846</v>
      </c>
      <c r="AF329" s="25">
        <f t="shared" si="87"/>
        <v>112.28888888888875</v>
      </c>
      <c r="AG329" s="25">
        <f t="shared" si="87"/>
        <v>126.77777777777789</v>
      </c>
      <c r="AH329" s="25">
        <f t="shared" si="87"/>
        <v>135.83333333333366</v>
      </c>
      <c r="AI329" s="26">
        <f t="shared" si="87"/>
        <v>103.23333333333346</v>
      </c>
      <c r="AJ329" s="26">
        <f t="shared" si="87"/>
        <v>117.72222222222211</v>
      </c>
      <c r="AK329" s="26">
        <f t="shared" si="89"/>
        <v>126.77777777777789</v>
      </c>
    </row>
    <row r="330" spans="4:37" ht="20.100000000000001" customHeight="1">
      <c r="D330" s="27">
        <f t="shared" si="88"/>
        <v>0.90833333333333066</v>
      </c>
      <c r="E330" s="16">
        <f t="shared" si="86"/>
        <v>250.7000000000003</v>
      </c>
      <c r="F330" s="16">
        <f t="shared" si="86"/>
        <v>265.23333333333267</v>
      </c>
      <c r="G330" s="16">
        <f t="shared" si="86"/>
        <v>274.31666666666621</v>
      </c>
      <c r="H330" s="17">
        <f t="shared" si="86"/>
        <v>232.53333333333342</v>
      </c>
      <c r="I330" s="17">
        <f t="shared" si="86"/>
        <v>247.06666666666712</v>
      </c>
      <c r="J330" s="17">
        <f t="shared" si="86"/>
        <v>256.14999999999912</v>
      </c>
      <c r="K330" s="18">
        <f t="shared" si="86"/>
        <v>214.36666666666633</v>
      </c>
      <c r="L330" s="18">
        <f t="shared" si="86"/>
        <v>228.90000000000038</v>
      </c>
      <c r="M330" s="18">
        <f t="shared" si="86"/>
        <v>237.98333333333321</v>
      </c>
      <c r="N330" s="19">
        <f t="shared" si="86"/>
        <v>167.13333333333304</v>
      </c>
      <c r="O330" s="19">
        <f t="shared" si="86"/>
        <v>181.66666666666708</v>
      </c>
      <c r="P330" s="19">
        <f t="shared" si="86"/>
        <v>190.74999999999969</v>
      </c>
      <c r="Q330" s="20">
        <f t="shared" si="86"/>
        <v>158.05000000000044</v>
      </c>
      <c r="R330" s="20">
        <f t="shared" si="86"/>
        <v>172.58333333333354</v>
      </c>
      <c r="S330" s="20">
        <f t="shared" si="86"/>
        <v>181.66666666666708</v>
      </c>
      <c r="T330" s="21">
        <f t="shared" si="86"/>
        <v>148.9666666666669</v>
      </c>
      <c r="U330" s="21">
        <f t="shared" si="87"/>
        <v>163.5</v>
      </c>
      <c r="V330" s="21">
        <f t="shared" si="87"/>
        <v>172.58333333333354</v>
      </c>
      <c r="W330" s="22">
        <f t="shared" si="87"/>
        <v>139.88333333333335</v>
      </c>
      <c r="X330" s="22">
        <f t="shared" si="87"/>
        <v>154.41666666666646</v>
      </c>
      <c r="Y330" s="22">
        <f t="shared" si="87"/>
        <v>163.5</v>
      </c>
      <c r="Z330" s="23">
        <f t="shared" si="87"/>
        <v>130.79999999999981</v>
      </c>
      <c r="AA330" s="23">
        <f t="shared" si="87"/>
        <v>145.33333333333292</v>
      </c>
      <c r="AB330" s="23">
        <f t="shared" si="87"/>
        <v>154.41666666666646</v>
      </c>
      <c r="AC330" s="24">
        <f t="shared" si="87"/>
        <v>121.71666666666651</v>
      </c>
      <c r="AD330" s="24">
        <f t="shared" si="87"/>
        <v>136.25000000000031</v>
      </c>
      <c r="AE330" s="24">
        <f t="shared" si="87"/>
        <v>145.33333333333292</v>
      </c>
      <c r="AF330" s="25">
        <f t="shared" si="87"/>
        <v>112.6333333333332</v>
      </c>
      <c r="AG330" s="25">
        <f t="shared" si="87"/>
        <v>127.16666666666677</v>
      </c>
      <c r="AH330" s="25">
        <f t="shared" si="87"/>
        <v>136.25000000000031</v>
      </c>
      <c r="AI330" s="26">
        <f t="shared" si="87"/>
        <v>103.55000000000013</v>
      </c>
      <c r="AJ330" s="26">
        <f t="shared" si="87"/>
        <v>118.08333333333323</v>
      </c>
      <c r="AK330" s="26">
        <f t="shared" si="89"/>
        <v>127.16666666666677</v>
      </c>
    </row>
    <row r="331" spans="4:37" ht="20.100000000000001" customHeight="1">
      <c r="D331" s="27">
        <f t="shared" si="88"/>
        <v>0.91111111111110843</v>
      </c>
      <c r="E331" s="16">
        <f t="shared" si="86"/>
        <v>251.46666666666698</v>
      </c>
      <c r="F331" s="16">
        <f t="shared" si="86"/>
        <v>266.0444444444438</v>
      </c>
      <c r="G331" s="16">
        <f t="shared" si="86"/>
        <v>275.15555555555511</v>
      </c>
      <c r="H331" s="17">
        <f t="shared" si="86"/>
        <v>233.24444444444453</v>
      </c>
      <c r="I331" s="17">
        <f t="shared" si="86"/>
        <v>247.82222222222268</v>
      </c>
      <c r="J331" s="17">
        <f t="shared" si="86"/>
        <v>256.93333333333248</v>
      </c>
      <c r="K331" s="18">
        <f t="shared" si="86"/>
        <v>215.0222222222219</v>
      </c>
      <c r="L331" s="18">
        <f t="shared" si="86"/>
        <v>229.60000000000036</v>
      </c>
      <c r="M331" s="18">
        <f t="shared" si="86"/>
        <v>238.71111111111099</v>
      </c>
      <c r="N331" s="19">
        <f t="shared" si="86"/>
        <v>167.64444444444416</v>
      </c>
      <c r="O331" s="19">
        <f t="shared" si="86"/>
        <v>182.22222222222263</v>
      </c>
      <c r="P331" s="19">
        <f t="shared" si="86"/>
        <v>191.33333333333303</v>
      </c>
      <c r="Q331" s="20">
        <f t="shared" si="86"/>
        <v>158.53333333333376</v>
      </c>
      <c r="R331" s="20">
        <f t="shared" si="86"/>
        <v>173.11111111111131</v>
      </c>
      <c r="S331" s="20">
        <f t="shared" si="86"/>
        <v>182.22222222222263</v>
      </c>
      <c r="T331" s="21">
        <f t="shared" si="86"/>
        <v>149.42222222222244</v>
      </c>
      <c r="U331" s="21">
        <f t="shared" si="87"/>
        <v>164</v>
      </c>
      <c r="V331" s="21">
        <f t="shared" si="87"/>
        <v>173.11111111111131</v>
      </c>
      <c r="W331" s="22">
        <f t="shared" si="87"/>
        <v>140.31111111111113</v>
      </c>
      <c r="X331" s="22">
        <f t="shared" si="87"/>
        <v>154.88888888888869</v>
      </c>
      <c r="Y331" s="22">
        <f t="shared" si="87"/>
        <v>164</v>
      </c>
      <c r="Z331" s="23">
        <f t="shared" si="87"/>
        <v>131.19999999999982</v>
      </c>
      <c r="AA331" s="23">
        <f t="shared" si="87"/>
        <v>145.77777777777737</v>
      </c>
      <c r="AB331" s="23">
        <f t="shared" si="87"/>
        <v>154.88888888888869</v>
      </c>
      <c r="AC331" s="24">
        <f t="shared" si="87"/>
        <v>122.08888888888873</v>
      </c>
      <c r="AD331" s="24">
        <f t="shared" si="87"/>
        <v>136.66666666666697</v>
      </c>
      <c r="AE331" s="24">
        <f t="shared" si="87"/>
        <v>145.77777777777737</v>
      </c>
      <c r="AF331" s="25">
        <f t="shared" si="87"/>
        <v>112.97777777777765</v>
      </c>
      <c r="AG331" s="25">
        <f t="shared" si="87"/>
        <v>127.55555555555566</v>
      </c>
      <c r="AH331" s="25">
        <f t="shared" si="87"/>
        <v>136.66666666666697</v>
      </c>
      <c r="AI331" s="26">
        <f t="shared" si="87"/>
        <v>103.86666666666679</v>
      </c>
      <c r="AJ331" s="26">
        <f t="shared" si="87"/>
        <v>118.44444444444434</v>
      </c>
      <c r="AK331" s="26">
        <f t="shared" si="89"/>
        <v>127.55555555555566</v>
      </c>
    </row>
    <row r="332" spans="4:37" ht="20.100000000000001" customHeight="1">
      <c r="D332" s="27">
        <f t="shared" si="88"/>
        <v>0.9138888888888862</v>
      </c>
      <c r="E332" s="16">
        <f t="shared" si="86"/>
        <v>252.23333333333366</v>
      </c>
      <c r="F332" s="16">
        <f t="shared" si="86"/>
        <v>266.85555555555493</v>
      </c>
      <c r="G332" s="16">
        <f t="shared" si="86"/>
        <v>275.99444444444401</v>
      </c>
      <c r="H332" s="17">
        <f t="shared" si="86"/>
        <v>233.95555555555563</v>
      </c>
      <c r="I332" s="17">
        <f t="shared" si="86"/>
        <v>248.57777777777824</v>
      </c>
      <c r="J332" s="17">
        <f t="shared" si="86"/>
        <v>257.71666666666584</v>
      </c>
      <c r="K332" s="18">
        <f t="shared" si="86"/>
        <v>215.67777777777746</v>
      </c>
      <c r="L332" s="18">
        <f t="shared" si="86"/>
        <v>230.30000000000035</v>
      </c>
      <c r="M332" s="18">
        <f t="shared" si="86"/>
        <v>239.43888888888878</v>
      </c>
      <c r="N332" s="19">
        <f t="shared" si="86"/>
        <v>168.15555555555528</v>
      </c>
      <c r="O332" s="19">
        <f t="shared" si="86"/>
        <v>182.77777777777817</v>
      </c>
      <c r="P332" s="19">
        <f t="shared" si="86"/>
        <v>191.91666666666637</v>
      </c>
      <c r="Q332" s="20">
        <f t="shared" si="86"/>
        <v>159.01666666666708</v>
      </c>
      <c r="R332" s="20">
        <f t="shared" si="86"/>
        <v>173.63888888888908</v>
      </c>
      <c r="S332" s="20">
        <f t="shared" si="86"/>
        <v>182.77777777777817</v>
      </c>
      <c r="T332" s="21">
        <f t="shared" si="86"/>
        <v>149.87777777777799</v>
      </c>
      <c r="U332" s="21">
        <f t="shared" si="87"/>
        <v>164.5</v>
      </c>
      <c r="V332" s="21">
        <f t="shared" si="87"/>
        <v>173.63888888888908</v>
      </c>
      <c r="W332" s="22">
        <f t="shared" si="87"/>
        <v>140.73888888888891</v>
      </c>
      <c r="X332" s="22">
        <f t="shared" si="87"/>
        <v>155.36111111111092</v>
      </c>
      <c r="Y332" s="22">
        <f t="shared" si="87"/>
        <v>164.5</v>
      </c>
      <c r="Z332" s="23">
        <f t="shared" si="87"/>
        <v>131.59999999999982</v>
      </c>
      <c r="AA332" s="23">
        <f t="shared" si="87"/>
        <v>146.22222222222183</v>
      </c>
      <c r="AB332" s="23">
        <f t="shared" si="87"/>
        <v>155.36111111111092</v>
      </c>
      <c r="AC332" s="24">
        <f t="shared" si="87"/>
        <v>122.46111111111095</v>
      </c>
      <c r="AD332" s="24">
        <f t="shared" si="87"/>
        <v>137.08333333333363</v>
      </c>
      <c r="AE332" s="24">
        <f t="shared" si="87"/>
        <v>146.22222222222183</v>
      </c>
      <c r="AF332" s="25">
        <f t="shared" si="87"/>
        <v>113.32222222222209</v>
      </c>
      <c r="AG332" s="25">
        <f t="shared" si="87"/>
        <v>127.94444444444454</v>
      </c>
      <c r="AH332" s="25">
        <f t="shared" si="87"/>
        <v>137.08333333333363</v>
      </c>
      <c r="AI332" s="26">
        <f t="shared" si="87"/>
        <v>104.18333333333345</v>
      </c>
      <c r="AJ332" s="26">
        <f t="shared" si="87"/>
        <v>118.80555555555546</v>
      </c>
      <c r="AK332" s="26">
        <f t="shared" si="89"/>
        <v>127.94444444444454</v>
      </c>
    </row>
    <row r="333" spans="4:37" ht="20.100000000000001" customHeight="1">
      <c r="D333" s="27">
        <f t="shared" si="88"/>
        <v>0.91666666666666397</v>
      </c>
      <c r="E333" s="16">
        <f t="shared" si="86"/>
        <v>253.00000000000034</v>
      </c>
      <c r="F333" s="16">
        <f t="shared" si="86"/>
        <v>267.66666666666606</v>
      </c>
      <c r="G333" s="16">
        <f t="shared" si="86"/>
        <v>276.83333333333292</v>
      </c>
      <c r="H333" s="17">
        <f t="shared" si="86"/>
        <v>234.66666666666674</v>
      </c>
      <c r="I333" s="17">
        <f t="shared" si="86"/>
        <v>249.3333333333338</v>
      </c>
      <c r="J333" s="17">
        <f t="shared" si="86"/>
        <v>258.4999999999992</v>
      </c>
      <c r="K333" s="18">
        <f t="shared" si="86"/>
        <v>216.33333333333303</v>
      </c>
      <c r="L333" s="18">
        <f t="shared" si="86"/>
        <v>231.00000000000034</v>
      </c>
      <c r="M333" s="18">
        <f t="shared" si="86"/>
        <v>240.16666666666657</v>
      </c>
      <c r="N333" s="19">
        <f t="shared" si="86"/>
        <v>168.6666666666664</v>
      </c>
      <c r="O333" s="19">
        <f t="shared" si="86"/>
        <v>183.33333333333371</v>
      </c>
      <c r="P333" s="19">
        <f t="shared" si="86"/>
        <v>192.49999999999972</v>
      </c>
      <c r="Q333" s="20">
        <f t="shared" si="86"/>
        <v>159.5000000000004</v>
      </c>
      <c r="R333" s="20">
        <f t="shared" si="86"/>
        <v>174.16666666666686</v>
      </c>
      <c r="S333" s="20">
        <f t="shared" si="86"/>
        <v>183.33333333333371</v>
      </c>
      <c r="T333" s="21">
        <f t="shared" si="86"/>
        <v>150.33333333333354</v>
      </c>
      <c r="U333" s="21">
        <f t="shared" si="87"/>
        <v>165</v>
      </c>
      <c r="V333" s="21">
        <f t="shared" si="87"/>
        <v>174.16666666666686</v>
      </c>
      <c r="W333" s="22">
        <f t="shared" si="87"/>
        <v>141.16666666666669</v>
      </c>
      <c r="X333" s="22">
        <f t="shared" si="87"/>
        <v>155.83333333333314</v>
      </c>
      <c r="Y333" s="22">
        <f t="shared" si="87"/>
        <v>165</v>
      </c>
      <c r="Z333" s="23">
        <f t="shared" si="87"/>
        <v>131.99999999999983</v>
      </c>
      <c r="AA333" s="23">
        <f t="shared" si="87"/>
        <v>146.66666666666629</v>
      </c>
      <c r="AB333" s="23">
        <f t="shared" si="87"/>
        <v>155.83333333333314</v>
      </c>
      <c r="AC333" s="24">
        <f t="shared" si="87"/>
        <v>122.83333333333317</v>
      </c>
      <c r="AD333" s="24">
        <f t="shared" si="87"/>
        <v>137.50000000000028</v>
      </c>
      <c r="AE333" s="24">
        <f t="shared" si="87"/>
        <v>146.66666666666629</v>
      </c>
      <c r="AF333" s="25">
        <f t="shared" si="87"/>
        <v>113.66666666666654</v>
      </c>
      <c r="AG333" s="25">
        <f t="shared" si="87"/>
        <v>128.33333333333343</v>
      </c>
      <c r="AH333" s="25">
        <f t="shared" si="87"/>
        <v>137.50000000000028</v>
      </c>
      <c r="AI333" s="26">
        <f t="shared" si="87"/>
        <v>104.50000000000011</v>
      </c>
      <c r="AJ333" s="26">
        <f t="shared" si="87"/>
        <v>119.16666666666657</v>
      </c>
      <c r="AK333" s="26">
        <f t="shared" si="89"/>
        <v>128.33333333333343</v>
      </c>
    </row>
    <row r="334" spans="4:37" ht="20.100000000000001" customHeight="1">
      <c r="D334" s="27">
        <f t="shared" si="88"/>
        <v>0.91944444444444173</v>
      </c>
      <c r="E334" s="16">
        <f t="shared" si="86"/>
        <v>253.76666666666702</v>
      </c>
      <c r="F334" s="16">
        <f t="shared" si="86"/>
        <v>268.47777777777719</v>
      </c>
      <c r="G334" s="16">
        <f t="shared" si="86"/>
        <v>277.67222222222182</v>
      </c>
      <c r="H334" s="17">
        <f t="shared" si="86"/>
        <v>235.37777777777785</v>
      </c>
      <c r="I334" s="17">
        <f t="shared" si="86"/>
        <v>250.08888888888936</v>
      </c>
      <c r="J334" s="17">
        <f t="shared" si="86"/>
        <v>259.28333333333256</v>
      </c>
      <c r="K334" s="18">
        <f t="shared" si="86"/>
        <v>216.9888888888886</v>
      </c>
      <c r="L334" s="18">
        <f t="shared" si="86"/>
        <v>231.70000000000033</v>
      </c>
      <c r="M334" s="18">
        <f t="shared" si="86"/>
        <v>240.89444444444436</v>
      </c>
      <c r="N334" s="19">
        <f t="shared" si="86"/>
        <v>169.17777777777752</v>
      </c>
      <c r="O334" s="19">
        <f t="shared" si="86"/>
        <v>183.88888888888926</v>
      </c>
      <c r="P334" s="19">
        <f t="shared" si="86"/>
        <v>193.08333333333306</v>
      </c>
      <c r="Q334" s="20">
        <f t="shared" si="86"/>
        <v>159.98333333333372</v>
      </c>
      <c r="R334" s="20">
        <f t="shared" si="86"/>
        <v>174.69444444444463</v>
      </c>
      <c r="S334" s="20">
        <f t="shared" si="86"/>
        <v>183.88888888888926</v>
      </c>
      <c r="T334" s="21">
        <f t="shared" si="86"/>
        <v>150.78888888888909</v>
      </c>
      <c r="U334" s="21">
        <f t="shared" si="87"/>
        <v>165.5</v>
      </c>
      <c r="V334" s="21">
        <f t="shared" si="87"/>
        <v>174.69444444444463</v>
      </c>
      <c r="W334" s="22">
        <f t="shared" si="87"/>
        <v>141.59444444444446</v>
      </c>
      <c r="X334" s="22">
        <f t="shared" si="87"/>
        <v>156.30555555555537</v>
      </c>
      <c r="Y334" s="22">
        <f t="shared" si="87"/>
        <v>165.5</v>
      </c>
      <c r="Z334" s="23">
        <f t="shared" si="87"/>
        <v>132.39999999999984</v>
      </c>
      <c r="AA334" s="23">
        <f t="shared" si="87"/>
        <v>147.11111111111074</v>
      </c>
      <c r="AB334" s="23">
        <f t="shared" si="87"/>
        <v>156.30555555555537</v>
      </c>
      <c r="AC334" s="24">
        <f t="shared" si="87"/>
        <v>123.20555555555539</v>
      </c>
      <c r="AD334" s="24">
        <f t="shared" si="87"/>
        <v>137.91666666666694</v>
      </c>
      <c r="AE334" s="24">
        <f t="shared" si="87"/>
        <v>147.11111111111074</v>
      </c>
      <c r="AF334" s="25">
        <f t="shared" si="87"/>
        <v>114.01111111111099</v>
      </c>
      <c r="AG334" s="25">
        <f t="shared" si="87"/>
        <v>128.72222222222231</v>
      </c>
      <c r="AH334" s="25">
        <f t="shared" si="87"/>
        <v>137.91666666666694</v>
      </c>
      <c r="AI334" s="26">
        <f t="shared" si="87"/>
        <v>104.81666666666678</v>
      </c>
      <c r="AJ334" s="26">
        <f t="shared" si="87"/>
        <v>119.52777777777769</v>
      </c>
      <c r="AK334" s="26">
        <f t="shared" si="89"/>
        <v>128.72222222222231</v>
      </c>
    </row>
    <row r="335" spans="4:37" ht="20.100000000000001" customHeight="1">
      <c r="D335" s="27">
        <f t="shared" si="88"/>
        <v>0.9222222222222195</v>
      </c>
      <c r="E335" s="16">
        <f t="shared" si="86"/>
        <v>254.5333333333337</v>
      </c>
      <c r="F335" s="16">
        <f t="shared" si="86"/>
        <v>269.28888888888832</v>
      </c>
      <c r="G335" s="16">
        <f t="shared" si="86"/>
        <v>278.51111111111072</v>
      </c>
      <c r="H335" s="17">
        <f t="shared" si="86"/>
        <v>236.08888888888896</v>
      </c>
      <c r="I335" s="17">
        <f t="shared" si="86"/>
        <v>250.84444444444492</v>
      </c>
      <c r="J335" s="17">
        <f t="shared" si="86"/>
        <v>260.06666666666592</v>
      </c>
      <c r="K335" s="18">
        <f t="shared" si="86"/>
        <v>217.64444444444416</v>
      </c>
      <c r="L335" s="18">
        <f t="shared" si="86"/>
        <v>232.40000000000032</v>
      </c>
      <c r="M335" s="18">
        <f t="shared" si="86"/>
        <v>241.62222222222215</v>
      </c>
      <c r="N335" s="19">
        <f t="shared" si="86"/>
        <v>169.68888888888864</v>
      </c>
      <c r="O335" s="19">
        <f t="shared" si="86"/>
        <v>184.4444444444448</v>
      </c>
      <c r="P335" s="19">
        <f t="shared" si="86"/>
        <v>193.6666666666664</v>
      </c>
      <c r="Q335" s="20">
        <f t="shared" si="86"/>
        <v>160.46666666666704</v>
      </c>
      <c r="R335" s="20">
        <f t="shared" si="86"/>
        <v>175.2222222222224</v>
      </c>
      <c r="S335" s="20">
        <f t="shared" si="86"/>
        <v>184.4444444444448</v>
      </c>
      <c r="T335" s="21">
        <f t="shared" si="86"/>
        <v>151.24444444444464</v>
      </c>
      <c r="U335" s="21">
        <f t="shared" si="87"/>
        <v>166</v>
      </c>
      <c r="V335" s="21">
        <f t="shared" si="87"/>
        <v>175.2222222222224</v>
      </c>
      <c r="W335" s="22">
        <f t="shared" si="87"/>
        <v>142.02222222222224</v>
      </c>
      <c r="X335" s="22">
        <f t="shared" si="87"/>
        <v>156.7777777777776</v>
      </c>
      <c r="Y335" s="22">
        <f t="shared" si="87"/>
        <v>166</v>
      </c>
      <c r="Z335" s="23">
        <f t="shared" si="87"/>
        <v>132.79999999999984</v>
      </c>
      <c r="AA335" s="23">
        <f t="shared" si="87"/>
        <v>147.5555555555552</v>
      </c>
      <c r="AB335" s="23">
        <f t="shared" si="87"/>
        <v>156.7777777777776</v>
      </c>
      <c r="AC335" s="24">
        <f t="shared" si="87"/>
        <v>123.57777777777761</v>
      </c>
      <c r="AD335" s="24">
        <f t="shared" si="87"/>
        <v>138.3333333333336</v>
      </c>
      <c r="AE335" s="24">
        <f t="shared" si="87"/>
        <v>147.5555555555552</v>
      </c>
      <c r="AF335" s="25">
        <f t="shared" si="87"/>
        <v>114.35555555555544</v>
      </c>
      <c r="AG335" s="25">
        <f t="shared" si="87"/>
        <v>129.1111111111112</v>
      </c>
      <c r="AH335" s="25">
        <f t="shared" si="87"/>
        <v>138.3333333333336</v>
      </c>
      <c r="AI335" s="26">
        <f t="shared" si="87"/>
        <v>105.13333333333344</v>
      </c>
      <c r="AJ335" s="26">
        <f t="shared" si="87"/>
        <v>119.8888888888888</v>
      </c>
      <c r="AK335" s="26">
        <f t="shared" si="89"/>
        <v>129.1111111111112</v>
      </c>
    </row>
    <row r="336" spans="4:37" ht="20.100000000000001" customHeight="1">
      <c r="D336" s="27">
        <f t="shared" si="88"/>
        <v>0.92499999999999727</v>
      </c>
      <c r="E336" s="16">
        <f t="shared" si="86"/>
        <v>255.30000000000038</v>
      </c>
      <c r="F336" s="16">
        <f t="shared" si="86"/>
        <v>270.09999999999945</v>
      </c>
      <c r="G336" s="16">
        <f t="shared" si="86"/>
        <v>279.34999999999962</v>
      </c>
      <c r="H336" s="17">
        <f t="shared" si="86"/>
        <v>236.80000000000007</v>
      </c>
      <c r="I336" s="17">
        <f t="shared" si="86"/>
        <v>251.60000000000048</v>
      </c>
      <c r="J336" s="17">
        <f t="shared" si="86"/>
        <v>260.84999999999928</v>
      </c>
      <c r="K336" s="18">
        <f t="shared" si="86"/>
        <v>218.29999999999973</v>
      </c>
      <c r="L336" s="18">
        <f t="shared" si="86"/>
        <v>233.10000000000031</v>
      </c>
      <c r="M336" s="18">
        <f t="shared" si="86"/>
        <v>242.34999999999994</v>
      </c>
      <c r="N336" s="19">
        <f t="shared" si="86"/>
        <v>170.19999999999976</v>
      </c>
      <c r="O336" s="19">
        <f t="shared" si="86"/>
        <v>185.00000000000034</v>
      </c>
      <c r="P336" s="19">
        <f t="shared" si="86"/>
        <v>194.24999999999974</v>
      </c>
      <c r="Q336" s="20">
        <f t="shared" si="86"/>
        <v>160.95000000000036</v>
      </c>
      <c r="R336" s="20">
        <f t="shared" si="86"/>
        <v>175.75000000000017</v>
      </c>
      <c r="S336" s="20">
        <f t="shared" si="86"/>
        <v>185.00000000000034</v>
      </c>
      <c r="T336" s="21">
        <f t="shared" si="86"/>
        <v>151.70000000000019</v>
      </c>
      <c r="U336" s="21">
        <f t="shared" si="87"/>
        <v>166.5</v>
      </c>
      <c r="V336" s="21">
        <f t="shared" si="87"/>
        <v>175.75000000000017</v>
      </c>
      <c r="W336" s="22">
        <f t="shared" si="87"/>
        <v>142.45000000000002</v>
      </c>
      <c r="X336" s="22">
        <f t="shared" si="87"/>
        <v>157.24999999999983</v>
      </c>
      <c r="Y336" s="22">
        <f t="shared" si="87"/>
        <v>166.5</v>
      </c>
      <c r="Z336" s="23">
        <f t="shared" si="87"/>
        <v>133.19999999999985</v>
      </c>
      <c r="AA336" s="23">
        <f t="shared" si="87"/>
        <v>147.99999999999966</v>
      </c>
      <c r="AB336" s="23">
        <f t="shared" si="87"/>
        <v>157.24999999999983</v>
      </c>
      <c r="AC336" s="24">
        <f t="shared" si="87"/>
        <v>123.94999999999983</v>
      </c>
      <c r="AD336" s="24">
        <f t="shared" si="87"/>
        <v>138.75000000000026</v>
      </c>
      <c r="AE336" s="24">
        <f t="shared" si="87"/>
        <v>147.99999999999966</v>
      </c>
      <c r="AF336" s="25">
        <f t="shared" si="87"/>
        <v>114.69999999999989</v>
      </c>
      <c r="AG336" s="25">
        <f t="shared" si="87"/>
        <v>129.50000000000009</v>
      </c>
      <c r="AH336" s="25">
        <f t="shared" si="87"/>
        <v>138.75000000000026</v>
      </c>
      <c r="AI336" s="26">
        <f t="shared" si="87"/>
        <v>105.4500000000001</v>
      </c>
      <c r="AJ336" s="26">
        <f t="shared" si="87"/>
        <v>120.24999999999991</v>
      </c>
      <c r="AK336" s="26">
        <f t="shared" si="89"/>
        <v>129.50000000000009</v>
      </c>
    </row>
    <row r="337" spans="4:37" ht="20.100000000000001" customHeight="1">
      <c r="D337" s="27">
        <f t="shared" si="88"/>
        <v>0.92777777777777504</v>
      </c>
      <c r="E337" s="16">
        <f t="shared" si="86"/>
        <v>256.06666666666706</v>
      </c>
      <c r="F337" s="16">
        <f t="shared" si="86"/>
        <v>270.91111111111059</v>
      </c>
      <c r="G337" s="16">
        <f t="shared" si="86"/>
        <v>280.18888888888853</v>
      </c>
      <c r="H337" s="17">
        <f t="shared" si="86"/>
        <v>237.51111111111118</v>
      </c>
      <c r="I337" s="17">
        <f t="shared" si="86"/>
        <v>252.35555555555604</v>
      </c>
      <c r="J337" s="17">
        <f t="shared" si="86"/>
        <v>261.63333333333264</v>
      </c>
      <c r="K337" s="18">
        <f t="shared" si="86"/>
        <v>218.95555555555529</v>
      </c>
      <c r="L337" s="18">
        <f t="shared" si="86"/>
        <v>233.8000000000003</v>
      </c>
      <c r="M337" s="18">
        <f t="shared" si="86"/>
        <v>243.07777777777773</v>
      </c>
      <c r="N337" s="19">
        <f t="shared" si="86"/>
        <v>170.71111111111088</v>
      </c>
      <c r="O337" s="19">
        <f t="shared" si="86"/>
        <v>185.55555555555588</v>
      </c>
      <c r="P337" s="19">
        <f t="shared" si="86"/>
        <v>194.83333333333309</v>
      </c>
      <c r="Q337" s="20">
        <f t="shared" si="86"/>
        <v>161.43333333333368</v>
      </c>
      <c r="R337" s="20">
        <f t="shared" si="86"/>
        <v>176.27777777777794</v>
      </c>
      <c r="S337" s="20">
        <f t="shared" si="86"/>
        <v>185.55555555555588</v>
      </c>
      <c r="T337" s="21">
        <f t="shared" si="86"/>
        <v>152.15555555555574</v>
      </c>
      <c r="U337" s="21">
        <f t="shared" si="87"/>
        <v>167</v>
      </c>
      <c r="V337" s="21">
        <f t="shared" si="87"/>
        <v>176.27777777777794</v>
      </c>
      <c r="W337" s="22">
        <f t="shared" si="87"/>
        <v>142.87777777777779</v>
      </c>
      <c r="X337" s="22">
        <f t="shared" si="87"/>
        <v>157.72222222222206</v>
      </c>
      <c r="Y337" s="22">
        <f t="shared" si="87"/>
        <v>167</v>
      </c>
      <c r="Z337" s="23">
        <f t="shared" si="87"/>
        <v>133.59999999999985</v>
      </c>
      <c r="AA337" s="23">
        <f t="shared" si="87"/>
        <v>148.44444444444412</v>
      </c>
      <c r="AB337" s="23">
        <f t="shared" si="87"/>
        <v>157.72222222222206</v>
      </c>
      <c r="AC337" s="24">
        <f t="shared" si="87"/>
        <v>124.32222222222205</v>
      </c>
      <c r="AD337" s="24">
        <f t="shared" si="87"/>
        <v>139.16666666666691</v>
      </c>
      <c r="AE337" s="24">
        <f t="shared" si="87"/>
        <v>148.44444444444412</v>
      </c>
      <c r="AF337" s="25">
        <f t="shared" si="87"/>
        <v>115.04444444444434</v>
      </c>
      <c r="AG337" s="25">
        <f t="shared" si="87"/>
        <v>129.88888888888897</v>
      </c>
      <c r="AH337" s="25">
        <f t="shared" si="87"/>
        <v>139.16666666666691</v>
      </c>
      <c r="AI337" s="26">
        <f t="shared" si="87"/>
        <v>105.76666666666677</v>
      </c>
      <c r="AJ337" s="26">
        <f t="shared" si="87"/>
        <v>120.61111111111103</v>
      </c>
      <c r="AK337" s="26">
        <f t="shared" si="89"/>
        <v>129.88888888888897</v>
      </c>
    </row>
    <row r="338" spans="4:37" ht="20.100000000000001" customHeight="1">
      <c r="D338" s="27">
        <f t="shared" si="88"/>
        <v>0.9305555555555528</v>
      </c>
      <c r="E338" s="16">
        <f t="shared" si="86"/>
        <v>256.83333333333371</v>
      </c>
      <c r="F338" s="16">
        <f t="shared" si="86"/>
        <v>271.72222222222172</v>
      </c>
      <c r="G338" s="16">
        <f t="shared" si="86"/>
        <v>281.02777777777743</v>
      </c>
      <c r="H338" s="17">
        <f t="shared" si="86"/>
        <v>238.22222222222229</v>
      </c>
      <c r="I338" s="17">
        <f t="shared" si="86"/>
        <v>253.1111111111116</v>
      </c>
      <c r="J338" s="17">
        <f t="shared" si="86"/>
        <v>262.416666666666</v>
      </c>
      <c r="K338" s="18">
        <f t="shared" si="86"/>
        <v>219.61111111111086</v>
      </c>
      <c r="L338" s="18">
        <f t="shared" si="86"/>
        <v>234.50000000000028</v>
      </c>
      <c r="M338" s="18">
        <f t="shared" si="86"/>
        <v>243.80555555555551</v>
      </c>
      <c r="N338" s="19">
        <f t="shared" si="86"/>
        <v>171.222222222222</v>
      </c>
      <c r="O338" s="19">
        <f t="shared" si="86"/>
        <v>186.11111111111143</v>
      </c>
      <c r="P338" s="19">
        <f t="shared" si="86"/>
        <v>195.41666666666643</v>
      </c>
      <c r="Q338" s="20">
        <f t="shared" si="86"/>
        <v>161.916666666667</v>
      </c>
      <c r="R338" s="20">
        <f t="shared" si="86"/>
        <v>176.80555555555571</v>
      </c>
      <c r="S338" s="20">
        <f t="shared" si="86"/>
        <v>186.11111111111143</v>
      </c>
      <c r="T338" s="21">
        <f t="shared" si="86"/>
        <v>152.61111111111128</v>
      </c>
      <c r="U338" s="21">
        <f t="shared" si="87"/>
        <v>167.5</v>
      </c>
      <c r="V338" s="21">
        <f t="shared" si="87"/>
        <v>176.80555555555571</v>
      </c>
      <c r="W338" s="22">
        <f t="shared" si="87"/>
        <v>143.30555555555557</v>
      </c>
      <c r="X338" s="22">
        <f t="shared" si="87"/>
        <v>158.19444444444429</v>
      </c>
      <c r="Y338" s="22">
        <f t="shared" si="87"/>
        <v>167.5</v>
      </c>
      <c r="Z338" s="23">
        <f t="shared" si="87"/>
        <v>133.99999999999986</v>
      </c>
      <c r="AA338" s="23">
        <f t="shared" si="87"/>
        <v>148.88888888888857</v>
      </c>
      <c r="AB338" s="23">
        <f t="shared" si="87"/>
        <v>158.19444444444429</v>
      </c>
      <c r="AC338" s="24">
        <f t="shared" si="87"/>
        <v>124.69444444444427</v>
      </c>
      <c r="AD338" s="24">
        <f t="shared" si="87"/>
        <v>139.58333333333357</v>
      </c>
      <c r="AE338" s="24">
        <f t="shared" si="87"/>
        <v>148.88888888888857</v>
      </c>
      <c r="AF338" s="25">
        <f t="shared" si="87"/>
        <v>115.38888888888879</v>
      </c>
      <c r="AG338" s="25">
        <f t="shared" si="87"/>
        <v>130.27777777777786</v>
      </c>
      <c r="AH338" s="25">
        <f t="shared" si="87"/>
        <v>139.58333333333357</v>
      </c>
      <c r="AI338" s="26">
        <f t="shared" si="87"/>
        <v>106.08333333333343</v>
      </c>
      <c r="AJ338" s="26">
        <f t="shared" si="87"/>
        <v>120.97222222222214</v>
      </c>
      <c r="AK338" s="26">
        <f t="shared" si="89"/>
        <v>130.27777777777786</v>
      </c>
    </row>
    <row r="339" spans="4:37" ht="20.100000000000001" customHeight="1">
      <c r="D339" s="27">
        <f t="shared" si="88"/>
        <v>0.93333333333333057</v>
      </c>
      <c r="E339" s="16">
        <f t="shared" si="86"/>
        <v>257.60000000000036</v>
      </c>
      <c r="F339" s="16">
        <f t="shared" si="86"/>
        <v>272.53333333333285</v>
      </c>
      <c r="G339" s="16">
        <f t="shared" si="86"/>
        <v>281.86666666666633</v>
      </c>
      <c r="H339" s="17">
        <f t="shared" si="86"/>
        <v>238.93333333333339</v>
      </c>
      <c r="I339" s="17">
        <f t="shared" si="86"/>
        <v>253.86666666666716</v>
      </c>
      <c r="J339" s="17">
        <f t="shared" si="86"/>
        <v>263.19999999999936</v>
      </c>
      <c r="K339" s="18">
        <f t="shared" si="86"/>
        <v>220.26666666666642</v>
      </c>
      <c r="L339" s="18">
        <f t="shared" si="86"/>
        <v>235.20000000000027</v>
      </c>
      <c r="M339" s="18">
        <f t="shared" si="86"/>
        <v>244.5333333333333</v>
      </c>
      <c r="N339" s="19">
        <f t="shared" si="86"/>
        <v>171.73333333333312</v>
      </c>
      <c r="O339" s="19">
        <f t="shared" si="86"/>
        <v>186.66666666666697</v>
      </c>
      <c r="P339" s="19">
        <f t="shared" si="86"/>
        <v>195.99999999999977</v>
      </c>
      <c r="Q339" s="20">
        <f t="shared" si="86"/>
        <v>162.40000000000032</v>
      </c>
      <c r="R339" s="20">
        <f t="shared" si="86"/>
        <v>177.33333333333348</v>
      </c>
      <c r="S339" s="20">
        <f t="shared" si="86"/>
        <v>186.66666666666697</v>
      </c>
      <c r="T339" s="21">
        <f>T340-(T$363/360)</f>
        <v>153.06666666666683</v>
      </c>
      <c r="U339" s="21">
        <f t="shared" si="87"/>
        <v>168</v>
      </c>
      <c r="V339" s="21">
        <f t="shared" si="87"/>
        <v>177.33333333333348</v>
      </c>
      <c r="W339" s="22">
        <f t="shared" si="87"/>
        <v>143.73333333333335</v>
      </c>
      <c r="X339" s="22">
        <f t="shared" si="87"/>
        <v>158.66666666666652</v>
      </c>
      <c r="Y339" s="22">
        <f t="shared" si="87"/>
        <v>168</v>
      </c>
      <c r="Z339" s="23">
        <f t="shared" si="87"/>
        <v>134.39999999999986</v>
      </c>
      <c r="AA339" s="23">
        <f t="shared" si="87"/>
        <v>149.33333333333303</v>
      </c>
      <c r="AB339" s="23">
        <f t="shared" si="87"/>
        <v>158.66666666666652</v>
      </c>
      <c r="AC339" s="24">
        <f t="shared" si="87"/>
        <v>125.06666666666649</v>
      </c>
      <c r="AD339" s="24">
        <f t="shared" si="87"/>
        <v>140.00000000000023</v>
      </c>
      <c r="AE339" s="24">
        <f t="shared" si="87"/>
        <v>149.33333333333303</v>
      </c>
      <c r="AF339" s="25">
        <f t="shared" si="87"/>
        <v>115.73333333333323</v>
      </c>
      <c r="AG339" s="25">
        <f t="shared" si="87"/>
        <v>130.66666666666674</v>
      </c>
      <c r="AH339" s="25">
        <f t="shared" si="87"/>
        <v>140.00000000000023</v>
      </c>
      <c r="AI339" s="26">
        <f t="shared" si="87"/>
        <v>106.40000000000009</v>
      </c>
      <c r="AJ339" s="26">
        <f>AJ340-(AJ$363/360)</f>
        <v>121.33333333333326</v>
      </c>
      <c r="AK339" s="26">
        <f t="shared" si="89"/>
        <v>130.66666666666674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258.36666666666702</v>
      </c>
      <c r="F340" s="16">
        <f t="shared" si="90"/>
        <v>273.34444444444398</v>
      </c>
      <c r="G340" s="16">
        <f t="shared" si="90"/>
        <v>282.70555555555524</v>
      </c>
      <c r="H340" s="17">
        <f t="shared" si="90"/>
        <v>239.6444444444445</v>
      </c>
      <c r="I340" s="17">
        <f t="shared" si="90"/>
        <v>254.62222222222272</v>
      </c>
      <c r="J340" s="17">
        <f t="shared" si="90"/>
        <v>263.98333333333272</v>
      </c>
      <c r="K340" s="18">
        <f t="shared" si="90"/>
        <v>220.92222222222199</v>
      </c>
      <c r="L340" s="18">
        <f t="shared" si="90"/>
        <v>235.90000000000026</v>
      </c>
      <c r="M340" s="18">
        <f t="shared" si="90"/>
        <v>245.26111111111109</v>
      </c>
      <c r="N340" s="19">
        <f t="shared" si="90"/>
        <v>172.24444444444424</v>
      </c>
      <c r="O340" s="19">
        <f t="shared" si="90"/>
        <v>187.22222222222251</v>
      </c>
      <c r="P340" s="19">
        <f t="shared" si="90"/>
        <v>196.58333333333312</v>
      </c>
      <c r="Q340" s="20">
        <f t="shared" si="90"/>
        <v>162.88333333333364</v>
      </c>
      <c r="R340" s="20">
        <f t="shared" si="90"/>
        <v>177.86111111111126</v>
      </c>
      <c r="S340" s="20">
        <f t="shared" si="90"/>
        <v>187.22222222222251</v>
      </c>
      <c r="T340" s="21">
        <f t="shared" si="90"/>
        <v>153.52222222222238</v>
      </c>
      <c r="U340" s="21">
        <f t="shared" ref="U340:AJ355" si="91">U341-(U$363/360)</f>
        <v>168.5</v>
      </c>
      <c r="V340" s="21">
        <f t="shared" si="91"/>
        <v>177.86111111111126</v>
      </c>
      <c r="W340" s="22">
        <f t="shared" si="91"/>
        <v>144.16111111111113</v>
      </c>
      <c r="X340" s="22">
        <f t="shared" si="91"/>
        <v>159.13888888888874</v>
      </c>
      <c r="Y340" s="22">
        <f t="shared" si="91"/>
        <v>168.5</v>
      </c>
      <c r="Z340" s="23">
        <f t="shared" si="91"/>
        <v>134.79999999999987</v>
      </c>
      <c r="AA340" s="23">
        <f t="shared" si="91"/>
        <v>149.77777777777749</v>
      </c>
      <c r="AB340" s="23">
        <f t="shared" si="91"/>
        <v>159.13888888888874</v>
      </c>
      <c r="AC340" s="24">
        <f t="shared" si="91"/>
        <v>125.43888888888871</v>
      </c>
      <c r="AD340" s="24">
        <f t="shared" si="91"/>
        <v>140.41666666666688</v>
      </c>
      <c r="AE340" s="24">
        <f t="shared" si="91"/>
        <v>149.77777777777749</v>
      </c>
      <c r="AF340" s="25">
        <f t="shared" si="91"/>
        <v>116.07777777777768</v>
      </c>
      <c r="AG340" s="25">
        <f t="shared" si="91"/>
        <v>131.05555555555563</v>
      </c>
      <c r="AH340" s="25">
        <f t="shared" si="91"/>
        <v>140.41666666666688</v>
      </c>
      <c r="AI340" s="26">
        <f t="shared" si="91"/>
        <v>106.71666666666675</v>
      </c>
      <c r="AJ340" s="26">
        <f t="shared" si="91"/>
        <v>121.69444444444437</v>
      </c>
      <c r="AK340" s="26">
        <f t="shared" si="89"/>
        <v>131.05555555555563</v>
      </c>
    </row>
    <row r="341" spans="4:37" ht="20.100000000000001" customHeight="1">
      <c r="D341" s="27">
        <f t="shared" si="88"/>
        <v>0.93888888888888611</v>
      </c>
      <c r="E341" s="16">
        <f t="shared" si="90"/>
        <v>259.13333333333367</v>
      </c>
      <c r="F341" s="16">
        <f t="shared" si="90"/>
        <v>274.15555555555511</v>
      </c>
      <c r="G341" s="16">
        <f t="shared" si="90"/>
        <v>283.54444444444414</v>
      </c>
      <c r="H341" s="17">
        <f t="shared" si="90"/>
        <v>240.35555555555561</v>
      </c>
      <c r="I341" s="17">
        <f t="shared" si="90"/>
        <v>255.37777777777828</v>
      </c>
      <c r="J341" s="17">
        <f t="shared" si="90"/>
        <v>264.76666666666608</v>
      </c>
      <c r="K341" s="18">
        <f t="shared" si="90"/>
        <v>221.57777777777756</v>
      </c>
      <c r="L341" s="18">
        <f t="shared" si="90"/>
        <v>236.60000000000025</v>
      </c>
      <c r="M341" s="18">
        <f t="shared" si="90"/>
        <v>245.98888888888888</v>
      </c>
      <c r="N341" s="19">
        <f t="shared" si="90"/>
        <v>172.75555555555536</v>
      </c>
      <c r="O341" s="19">
        <f t="shared" si="90"/>
        <v>187.77777777777806</v>
      </c>
      <c r="P341" s="19">
        <f t="shared" si="90"/>
        <v>197.16666666666646</v>
      </c>
      <c r="Q341" s="20">
        <f t="shared" si="90"/>
        <v>163.36666666666696</v>
      </c>
      <c r="R341" s="20">
        <f t="shared" si="90"/>
        <v>178.38888888888903</v>
      </c>
      <c r="S341" s="20">
        <f t="shared" si="90"/>
        <v>187.77777777777806</v>
      </c>
      <c r="T341" s="21">
        <f t="shared" si="90"/>
        <v>153.97777777777793</v>
      </c>
      <c r="U341" s="21">
        <f t="shared" si="91"/>
        <v>169</v>
      </c>
      <c r="V341" s="21">
        <f t="shared" si="91"/>
        <v>178.38888888888903</v>
      </c>
      <c r="W341" s="22">
        <f t="shared" si="91"/>
        <v>144.5888888888889</v>
      </c>
      <c r="X341" s="22">
        <f t="shared" si="91"/>
        <v>159.61111111111097</v>
      </c>
      <c r="Y341" s="22">
        <f t="shared" si="91"/>
        <v>169</v>
      </c>
      <c r="Z341" s="23">
        <f t="shared" si="91"/>
        <v>135.19999999999987</v>
      </c>
      <c r="AA341" s="23">
        <f t="shared" si="91"/>
        <v>150.22222222222194</v>
      </c>
      <c r="AB341" s="23">
        <f t="shared" si="91"/>
        <v>159.61111111111097</v>
      </c>
      <c r="AC341" s="24">
        <f t="shared" si="91"/>
        <v>125.81111111111093</v>
      </c>
      <c r="AD341" s="24">
        <f t="shared" si="91"/>
        <v>140.83333333333354</v>
      </c>
      <c r="AE341" s="24">
        <f t="shared" si="91"/>
        <v>150.22222222222194</v>
      </c>
      <c r="AF341" s="25">
        <f t="shared" si="91"/>
        <v>116.42222222222213</v>
      </c>
      <c r="AG341" s="25">
        <f t="shared" si="91"/>
        <v>131.44444444444451</v>
      </c>
      <c r="AH341" s="25">
        <f t="shared" si="91"/>
        <v>140.83333333333354</v>
      </c>
      <c r="AI341" s="26">
        <f t="shared" si="91"/>
        <v>107.03333333333342</v>
      </c>
      <c r="AJ341" s="26">
        <f t="shared" si="91"/>
        <v>122.05555555555549</v>
      </c>
      <c r="AK341" s="26">
        <f t="shared" si="89"/>
        <v>131.44444444444451</v>
      </c>
    </row>
    <row r="342" spans="4:37" ht="20.100000000000001" customHeight="1">
      <c r="D342" s="27">
        <f t="shared" si="88"/>
        <v>0.94166666666666388</v>
      </c>
      <c r="E342" s="16">
        <f t="shared" si="90"/>
        <v>259.90000000000032</v>
      </c>
      <c r="F342" s="16">
        <f t="shared" si="90"/>
        <v>274.96666666666624</v>
      </c>
      <c r="G342" s="16">
        <f t="shared" si="90"/>
        <v>284.38333333333304</v>
      </c>
      <c r="H342" s="17">
        <f t="shared" si="90"/>
        <v>241.06666666666672</v>
      </c>
      <c r="I342" s="17">
        <f t="shared" si="90"/>
        <v>256.13333333333384</v>
      </c>
      <c r="J342" s="17">
        <f t="shared" si="90"/>
        <v>265.54999999999944</v>
      </c>
      <c r="K342" s="18">
        <f t="shared" si="90"/>
        <v>222.23333333333312</v>
      </c>
      <c r="L342" s="18">
        <f t="shared" si="90"/>
        <v>237.30000000000024</v>
      </c>
      <c r="M342" s="18">
        <f t="shared" si="90"/>
        <v>246.71666666666667</v>
      </c>
      <c r="N342" s="19">
        <f t="shared" si="90"/>
        <v>173.26666666666648</v>
      </c>
      <c r="O342" s="19">
        <f t="shared" si="90"/>
        <v>188.3333333333336</v>
      </c>
      <c r="P342" s="19">
        <f t="shared" si="90"/>
        <v>197.7499999999998</v>
      </c>
      <c r="Q342" s="20">
        <f t="shared" si="90"/>
        <v>163.85000000000028</v>
      </c>
      <c r="R342" s="20">
        <f t="shared" si="90"/>
        <v>178.9166666666668</v>
      </c>
      <c r="S342" s="20">
        <f t="shared" si="90"/>
        <v>188.3333333333336</v>
      </c>
      <c r="T342" s="21">
        <f t="shared" si="90"/>
        <v>154.43333333333348</v>
      </c>
      <c r="U342" s="21">
        <f t="shared" si="91"/>
        <v>169.5</v>
      </c>
      <c r="V342" s="21">
        <f t="shared" si="91"/>
        <v>178.9166666666668</v>
      </c>
      <c r="W342" s="22">
        <f t="shared" si="91"/>
        <v>145.01666666666668</v>
      </c>
      <c r="X342" s="22">
        <f t="shared" si="91"/>
        <v>160.0833333333332</v>
      </c>
      <c r="Y342" s="22">
        <f t="shared" si="91"/>
        <v>169.5</v>
      </c>
      <c r="Z342" s="23">
        <f t="shared" si="91"/>
        <v>135.59999999999988</v>
      </c>
      <c r="AA342" s="23">
        <f t="shared" si="91"/>
        <v>150.6666666666664</v>
      </c>
      <c r="AB342" s="23">
        <f t="shared" si="91"/>
        <v>160.0833333333332</v>
      </c>
      <c r="AC342" s="24">
        <f t="shared" si="91"/>
        <v>126.18333333333315</v>
      </c>
      <c r="AD342" s="24">
        <f t="shared" si="91"/>
        <v>141.2500000000002</v>
      </c>
      <c r="AE342" s="24">
        <f t="shared" si="91"/>
        <v>150.6666666666664</v>
      </c>
      <c r="AF342" s="25">
        <f t="shared" si="91"/>
        <v>116.76666666666658</v>
      </c>
      <c r="AG342" s="25">
        <f t="shared" si="91"/>
        <v>131.8333333333334</v>
      </c>
      <c r="AH342" s="25">
        <f t="shared" si="91"/>
        <v>141.2500000000002</v>
      </c>
      <c r="AI342" s="26">
        <f t="shared" si="91"/>
        <v>107.35000000000008</v>
      </c>
      <c r="AJ342" s="26">
        <f t="shared" si="91"/>
        <v>122.4166666666666</v>
      </c>
      <c r="AK342" s="26">
        <f t="shared" si="89"/>
        <v>131.8333333333334</v>
      </c>
    </row>
    <row r="343" spans="4:37" ht="20.100000000000001" customHeight="1">
      <c r="D343" s="27">
        <f t="shared" si="88"/>
        <v>0.94444444444444164</v>
      </c>
      <c r="E343" s="16">
        <f t="shared" si="90"/>
        <v>260.66666666666697</v>
      </c>
      <c r="F343" s="16">
        <f t="shared" si="90"/>
        <v>275.77777777777737</v>
      </c>
      <c r="G343" s="16">
        <f t="shared" si="90"/>
        <v>285.22222222222194</v>
      </c>
      <c r="H343" s="17">
        <f t="shared" si="90"/>
        <v>241.77777777777783</v>
      </c>
      <c r="I343" s="17">
        <f t="shared" si="90"/>
        <v>256.88888888888937</v>
      </c>
      <c r="J343" s="17">
        <f t="shared" si="90"/>
        <v>266.3333333333328</v>
      </c>
      <c r="K343" s="18">
        <f t="shared" si="90"/>
        <v>222.88888888888869</v>
      </c>
      <c r="L343" s="18">
        <f t="shared" si="90"/>
        <v>238.00000000000023</v>
      </c>
      <c r="M343" s="18">
        <f t="shared" si="90"/>
        <v>247.44444444444446</v>
      </c>
      <c r="N343" s="19">
        <f t="shared" si="90"/>
        <v>173.7777777777776</v>
      </c>
      <c r="O343" s="19">
        <f t="shared" si="90"/>
        <v>188.88888888888914</v>
      </c>
      <c r="P343" s="19">
        <f t="shared" si="90"/>
        <v>198.33333333333314</v>
      </c>
      <c r="Q343" s="20">
        <f t="shared" si="90"/>
        <v>164.3333333333336</v>
      </c>
      <c r="R343" s="20">
        <f t="shared" si="90"/>
        <v>179.44444444444457</v>
      </c>
      <c r="S343" s="20">
        <f t="shared" si="90"/>
        <v>188.88888888888914</v>
      </c>
      <c r="T343" s="21">
        <f t="shared" si="90"/>
        <v>154.88888888888903</v>
      </c>
      <c r="U343" s="21">
        <f t="shared" si="91"/>
        <v>170</v>
      </c>
      <c r="V343" s="21">
        <f t="shared" si="91"/>
        <v>179.44444444444457</v>
      </c>
      <c r="W343" s="22">
        <f t="shared" si="91"/>
        <v>145.44444444444446</v>
      </c>
      <c r="X343" s="22">
        <f t="shared" si="91"/>
        <v>160.55555555555543</v>
      </c>
      <c r="Y343" s="22">
        <f t="shared" si="91"/>
        <v>170</v>
      </c>
      <c r="Z343" s="23">
        <f t="shared" si="91"/>
        <v>135.99999999999989</v>
      </c>
      <c r="AA343" s="23">
        <f t="shared" si="91"/>
        <v>151.11111111111086</v>
      </c>
      <c r="AB343" s="23">
        <f t="shared" si="91"/>
        <v>160.55555555555543</v>
      </c>
      <c r="AC343" s="24">
        <f t="shared" si="91"/>
        <v>126.55555555555537</v>
      </c>
      <c r="AD343" s="24">
        <f t="shared" si="91"/>
        <v>141.66666666666686</v>
      </c>
      <c r="AE343" s="24">
        <f t="shared" si="91"/>
        <v>151.11111111111086</v>
      </c>
      <c r="AF343" s="25">
        <f t="shared" si="91"/>
        <v>117.11111111111103</v>
      </c>
      <c r="AG343" s="25">
        <f t="shared" si="91"/>
        <v>132.22222222222229</v>
      </c>
      <c r="AH343" s="25">
        <f t="shared" si="91"/>
        <v>141.66666666666686</v>
      </c>
      <c r="AI343" s="26">
        <f t="shared" si="91"/>
        <v>107.66666666666674</v>
      </c>
      <c r="AJ343" s="26">
        <f t="shared" si="91"/>
        <v>122.77777777777771</v>
      </c>
      <c r="AK343" s="26">
        <f t="shared" si="89"/>
        <v>132.22222222222229</v>
      </c>
    </row>
    <row r="344" spans="4:37" ht="20.100000000000001" customHeight="1">
      <c r="D344" s="27">
        <f t="shared" si="88"/>
        <v>0.94722222222221941</v>
      </c>
      <c r="E344" s="16">
        <f t="shared" si="90"/>
        <v>261.43333333333362</v>
      </c>
      <c r="F344" s="16">
        <f t="shared" si="90"/>
        <v>276.5888888888885</v>
      </c>
      <c r="G344" s="16">
        <f t="shared" si="90"/>
        <v>286.06111111111085</v>
      </c>
      <c r="H344" s="17">
        <f t="shared" si="90"/>
        <v>242.48888888888894</v>
      </c>
      <c r="I344" s="17">
        <f t="shared" si="90"/>
        <v>257.6444444444449</v>
      </c>
      <c r="J344" s="17">
        <f t="shared" si="90"/>
        <v>267.11666666666616</v>
      </c>
      <c r="K344" s="18">
        <f t="shared" si="90"/>
        <v>223.54444444444425</v>
      </c>
      <c r="L344" s="18">
        <f t="shared" si="90"/>
        <v>238.70000000000022</v>
      </c>
      <c r="M344" s="18">
        <f t="shared" si="90"/>
        <v>248.17222222222225</v>
      </c>
      <c r="N344" s="19">
        <f t="shared" si="90"/>
        <v>174.28888888888872</v>
      </c>
      <c r="O344" s="19">
        <f t="shared" si="90"/>
        <v>189.44444444444468</v>
      </c>
      <c r="P344" s="19">
        <f t="shared" si="90"/>
        <v>198.91666666666649</v>
      </c>
      <c r="Q344" s="20">
        <f t="shared" si="90"/>
        <v>164.81666666666692</v>
      </c>
      <c r="R344" s="20">
        <f t="shared" si="90"/>
        <v>179.97222222222234</v>
      </c>
      <c r="S344" s="20">
        <f t="shared" si="90"/>
        <v>189.44444444444468</v>
      </c>
      <c r="T344" s="21">
        <f t="shared" si="90"/>
        <v>155.34444444444458</v>
      </c>
      <c r="U344" s="21">
        <f t="shared" si="91"/>
        <v>170.5</v>
      </c>
      <c r="V344" s="21">
        <f t="shared" si="91"/>
        <v>179.97222222222234</v>
      </c>
      <c r="W344" s="22">
        <f t="shared" si="91"/>
        <v>145.87222222222223</v>
      </c>
      <c r="X344" s="22">
        <f t="shared" si="91"/>
        <v>161.02777777777766</v>
      </c>
      <c r="Y344" s="22">
        <f t="shared" si="91"/>
        <v>170.5</v>
      </c>
      <c r="Z344" s="23">
        <f t="shared" si="91"/>
        <v>136.39999999999989</v>
      </c>
      <c r="AA344" s="23">
        <f t="shared" si="91"/>
        <v>151.55555555555532</v>
      </c>
      <c r="AB344" s="23">
        <f t="shared" si="91"/>
        <v>161.02777777777766</v>
      </c>
      <c r="AC344" s="24">
        <f t="shared" si="91"/>
        <v>126.92777777777759</v>
      </c>
      <c r="AD344" s="24">
        <f t="shared" si="91"/>
        <v>142.08333333333351</v>
      </c>
      <c r="AE344" s="24">
        <f t="shared" si="91"/>
        <v>151.55555555555532</v>
      </c>
      <c r="AF344" s="25">
        <f t="shared" si="91"/>
        <v>117.45555555555548</v>
      </c>
      <c r="AG344" s="25">
        <f t="shared" si="91"/>
        <v>132.61111111111117</v>
      </c>
      <c r="AH344" s="25">
        <f t="shared" si="91"/>
        <v>142.08333333333351</v>
      </c>
      <c r="AI344" s="26">
        <f t="shared" si="91"/>
        <v>107.98333333333341</v>
      </c>
      <c r="AJ344" s="26">
        <f t="shared" si="91"/>
        <v>123.13888888888883</v>
      </c>
      <c r="AK344" s="26">
        <f t="shared" si="89"/>
        <v>132.61111111111117</v>
      </c>
    </row>
    <row r="345" spans="4:37" ht="20.100000000000001" customHeight="1">
      <c r="D345" s="27">
        <f t="shared" si="88"/>
        <v>0.94999999999999718</v>
      </c>
      <c r="E345" s="16">
        <f t="shared" si="90"/>
        <v>262.20000000000027</v>
      </c>
      <c r="F345" s="16">
        <f t="shared" si="90"/>
        <v>277.39999999999964</v>
      </c>
      <c r="G345" s="16">
        <f t="shared" si="90"/>
        <v>286.89999999999975</v>
      </c>
      <c r="H345" s="17">
        <f t="shared" si="90"/>
        <v>243.20000000000005</v>
      </c>
      <c r="I345" s="17">
        <f t="shared" si="90"/>
        <v>258.40000000000043</v>
      </c>
      <c r="J345" s="17">
        <f t="shared" si="90"/>
        <v>267.89999999999952</v>
      </c>
      <c r="K345" s="18">
        <f t="shared" si="90"/>
        <v>224.19999999999982</v>
      </c>
      <c r="L345" s="18">
        <f t="shared" si="90"/>
        <v>239.4000000000002</v>
      </c>
      <c r="M345" s="18">
        <f t="shared" si="90"/>
        <v>248.90000000000003</v>
      </c>
      <c r="N345" s="19">
        <f t="shared" si="90"/>
        <v>174.79999999999984</v>
      </c>
      <c r="O345" s="19">
        <f t="shared" si="90"/>
        <v>190.00000000000023</v>
      </c>
      <c r="P345" s="19">
        <f t="shared" si="90"/>
        <v>199.49999999999983</v>
      </c>
      <c r="Q345" s="20">
        <f t="shared" si="90"/>
        <v>165.30000000000024</v>
      </c>
      <c r="R345" s="20">
        <f t="shared" si="90"/>
        <v>180.50000000000011</v>
      </c>
      <c r="S345" s="20">
        <f t="shared" si="90"/>
        <v>190.00000000000023</v>
      </c>
      <c r="T345" s="21">
        <f t="shared" si="90"/>
        <v>155.80000000000013</v>
      </c>
      <c r="U345" s="21">
        <f t="shared" si="91"/>
        <v>171</v>
      </c>
      <c r="V345" s="21">
        <f t="shared" si="91"/>
        <v>180.50000000000011</v>
      </c>
      <c r="W345" s="22">
        <f t="shared" si="91"/>
        <v>146.30000000000001</v>
      </c>
      <c r="X345" s="22">
        <f t="shared" si="91"/>
        <v>161.49999999999989</v>
      </c>
      <c r="Y345" s="22">
        <f t="shared" si="91"/>
        <v>171</v>
      </c>
      <c r="Z345" s="23">
        <f t="shared" si="91"/>
        <v>136.7999999999999</v>
      </c>
      <c r="AA345" s="23">
        <f t="shared" si="91"/>
        <v>151.99999999999977</v>
      </c>
      <c r="AB345" s="23">
        <f t="shared" si="91"/>
        <v>161.49999999999989</v>
      </c>
      <c r="AC345" s="24">
        <f t="shared" si="91"/>
        <v>127.29999999999981</v>
      </c>
      <c r="AD345" s="24">
        <f t="shared" si="91"/>
        <v>142.50000000000017</v>
      </c>
      <c r="AE345" s="24">
        <f t="shared" si="91"/>
        <v>151.99999999999977</v>
      </c>
      <c r="AF345" s="25">
        <f t="shared" si="91"/>
        <v>117.79999999999993</v>
      </c>
      <c r="AG345" s="25">
        <f t="shared" si="91"/>
        <v>133.00000000000006</v>
      </c>
      <c r="AH345" s="25">
        <f t="shared" si="91"/>
        <v>142.50000000000017</v>
      </c>
      <c r="AI345" s="26">
        <f t="shared" si="91"/>
        <v>108.30000000000007</v>
      </c>
      <c r="AJ345" s="26">
        <f t="shared" si="91"/>
        <v>123.49999999999994</v>
      </c>
      <c r="AK345" s="26">
        <f t="shared" si="89"/>
        <v>133.00000000000006</v>
      </c>
    </row>
    <row r="346" spans="4:37" ht="20.100000000000001" customHeight="1">
      <c r="D346" s="27">
        <f t="shared" si="88"/>
        <v>0.95277777777777495</v>
      </c>
      <c r="E346" s="16">
        <f t="shared" si="90"/>
        <v>262.96666666666692</v>
      </c>
      <c r="F346" s="16">
        <f t="shared" si="90"/>
        <v>278.21111111111077</v>
      </c>
      <c r="G346" s="16">
        <f t="shared" si="90"/>
        <v>287.73888888888865</v>
      </c>
      <c r="H346" s="17">
        <f t="shared" si="90"/>
        <v>243.91111111111115</v>
      </c>
      <c r="I346" s="17">
        <f t="shared" si="90"/>
        <v>259.15555555555596</v>
      </c>
      <c r="J346" s="17">
        <f t="shared" si="90"/>
        <v>268.68333333333288</v>
      </c>
      <c r="K346" s="18">
        <f t="shared" si="90"/>
        <v>224.85555555555538</v>
      </c>
      <c r="L346" s="18">
        <f t="shared" si="90"/>
        <v>240.10000000000019</v>
      </c>
      <c r="M346" s="18">
        <f t="shared" si="90"/>
        <v>249.62777777777782</v>
      </c>
      <c r="N346" s="19">
        <f t="shared" si="90"/>
        <v>175.31111111111096</v>
      </c>
      <c r="O346" s="19">
        <f t="shared" si="90"/>
        <v>190.55555555555577</v>
      </c>
      <c r="P346" s="19">
        <f t="shared" si="90"/>
        <v>200.08333333333317</v>
      </c>
      <c r="Q346" s="20">
        <f t="shared" si="90"/>
        <v>165.78333333333356</v>
      </c>
      <c r="R346" s="20">
        <f t="shared" si="90"/>
        <v>181.02777777777789</v>
      </c>
      <c r="S346" s="20">
        <f t="shared" si="90"/>
        <v>190.55555555555577</v>
      </c>
      <c r="T346" s="21">
        <f t="shared" si="90"/>
        <v>156.25555555555567</v>
      </c>
      <c r="U346" s="21">
        <f t="shared" si="91"/>
        <v>171.5</v>
      </c>
      <c r="V346" s="21">
        <f t="shared" si="91"/>
        <v>181.02777777777789</v>
      </c>
      <c r="W346" s="22">
        <f t="shared" si="91"/>
        <v>146.72777777777779</v>
      </c>
      <c r="X346" s="22">
        <f t="shared" si="91"/>
        <v>161.97222222222211</v>
      </c>
      <c r="Y346" s="22">
        <f t="shared" si="91"/>
        <v>171.5</v>
      </c>
      <c r="Z346" s="23">
        <f t="shared" si="91"/>
        <v>137.1999999999999</v>
      </c>
      <c r="AA346" s="23">
        <f t="shared" si="91"/>
        <v>152.44444444444423</v>
      </c>
      <c r="AB346" s="23">
        <f t="shared" si="91"/>
        <v>161.97222222222211</v>
      </c>
      <c r="AC346" s="24">
        <f t="shared" si="91"/>
        <v>127.67222222222203</v>
      </c>
      <c r="AD346" s="24">
        <f t="shared" si="91"/>
        <v>142.91666666666683</v>
      </c>
      <c r="AE346" s="24">
        <f t="shared" si="91"/>
        <v>152.44444444444423</v>
      </c>
      <c r="AF346" s="25">
        <f t="shared" si="91"/>
        <v>118.14444444444437</v>
      </c>
      <c r="AG346" s="25">
        <f t="shared" si="91"/>
        <v>133.38888888888894</v>
      </c>
      <c r="AH346" s="25">
        <f t="shared" si="91"/>
        <v>142.91666666666683</v>
      </c>
      <c r="AI346" s="26">
        <f t="shared" si="91"/>
        <v>108.61666666666673</v>
      </c>
      <c r="AJ346" s="26">
        <f t="shared" si="91"/>
        <v>123.86111111111106</v>
      </c>
      <c r="AK346" s="26">
        <f t="shared" si="89"/>
        <v>133.38888888888894</v>
      </c>
    </row>
    <row r="347" spans="4:37" ht="20.100000000000001" customHeight="1">
      <c r="D347" s="27">
        <f t="shared" si="88"/>
        <v>0.95555555555555272</v>
      </c>
      <c r="E347" s="16">
        <f t="shared" si="90"/>
        <v>263.73333333333358</v>
      </c>
      <c r="F347" s="16">
        <f t="shared" si="90"/>
        <v>279.0222222222219</v>
      </c>
      <c r="G347" s="16">
        <f t="shared" si="90"/>
        <v>288.57777777777756</v>
      </c>
      <c r="H347" s="17">
        <f t="shared" si="90"/>
        <v>244.62222222222226</v>
      </c>
      <c r="I347" s="17">
        <f t="shared" si="90"/>
        <v>259.9111111111115</v>
      </c>
      <c r="J347" s="17">
        <f t="shared" si="90"/>
        <v>269.46666666666624</v>
      </c>
      <c r="K347" s="18">
        <f t="shared" si="90"/>
        <v>225.51111111111095</v>
      </c>
      <c r="L347" s="18">
        <f t="shared" si="90"/>
        <v>240.80000000000018</v>
      </c>
      <c r="M347" s="18">
        <f t="shared" si="90"/>
        <v>250.35555555555561</v>
      </c>
      <c r="N347" s="19">
        <f t="shared" si="90"/>
        <v>175.82222222222208</v>
      </c>
      <c r="O347" s="19">
        <f t="shared" si="90"/>
        <v>191.11111111111131</v>
      </c>
      <c r="P347" s="19">
        <f t="shared" si="90"/>
        <v>200.66666666666652</v>
      </c>
      <c r="Q347" s="20">
        <f t="shared" si="90"/>
        <v>166.26666666666688</v>
      </c>
      <c r="R347" s="20">
        <f t="shared" si="90"/>
        <v>181.55555555555566</v>
      </c>
      <c r="S347" s="20">
        <f t="shared" si="90"/>
        <v>191.11111111111131</v>
      </c>
      <c r="T347" s="21">
        <f t="shared" si="90"/>
        <v>156.71111111111122</v>
      </c>
      <c r="U347" s="21">
        <f t="shared" si="91"/>
        <v>172</v>
      </c>
      <c r="V347" s="21">
        <f t="shared" si="91"/>
        <v>181.55555555555566</v>
      </c>
      <c r="W347" s="22">
        <f t="shared" si="91"/>
        <v>147.15555555555557</v>
      </c>
      <c r="X347" s="22">
        <f t="shared" si="91"/>
        <v>162.44444444444434</v>
      </c>
      <c r="Y347" s="22">
        <f t="shared" si="91"/>
        <v>172</v>
      </c>
      <c r="Z347" s="23">
        <f t="shared" si="91"/>
        <v>137.59999999999991</v>
      </c>
      <c r="AA347" s="23">
        <f t="shared" si="91"/>
        <v>152.88888888888869</v>
      </c>
      <c r="AB347" s="23">
        <f t="shared" si="91"/>
        <v>162.44444444444434</v>
      </c>
      <c r="AC347" s="24">
        <f t="shared" si="91"/>
        <v>128.04444444444425</v>
      </c>
      <c r="AD347" s="24">
        <f t="shared" si="91"/>
        <v>143.33333333333348</v>
      </c>
      <c r="AE347" s="24">
        <f t="shared" si="91"/>
        <v>152.88888888888869</v>
      </c>
      <c r="AF347" s="25">
        <f t="shared" si="91"/>
        <v>118.48888888888882</v>
      </c>
      <c r="AG347" s="25">
        <f t="shared" si="91"/>
        <v>133.77777777777783</v>
      </c>
      <c r="AH347" s="25">
        <f t="shared" si="91"/>
        <v>143.33333333333348</v>
      </c>
      <c r="AI347" s="26">
        <f t="shared" si="91"/>
        <v>108.93333333333339</v>
      </c>
      <c r="AJ347" s="26">
        <f t="shared" si="91"/>
        <v>124.22222222222217</v>
      </c>
      <c r="AK347" s="26">
        <f t="shared" si="89"/>
        <v>133.77777777777783</v>
      </c>
    </row>
    <row r="348" spans="4:37" ht="20.100000000000001" customHeight="1">
      <c r="D348" s="27">
        <f t="shared" si="88"/>
        <v>0.95833333333333048</v>
      </c>
      <c r="E348" s="16">
        <f t="shared" si="90"/>
        <v>264.50000000000023</v>
      </c>
      <c r="F348" s="16">
        <f t="shared" si="90"/>
        <v>279.83333333333303</v>
      </c>
      <c r="G348" s="16">
        <f t="shared" si="90"/>
        <v>289.41666666666646</v>
      </c>
      <c r="H348" s="17">
        <f t="shared" si="90"/>
        <v>245.33333333333337</v>
      </c>
      <c r="I348" s="17">
        <f t="shared" si="90"/>
        <v>260.66666666666703</v>
      </c>
      <c r="J348" s="17">
        <f t="shared" si="90"/>
        <v>270.2499999999996</v>
      </c>
      <c r="K348" s="18">
        <f t="shared" si="90"/>
        <v>226.16666666666652</v>
      </c>
      <c r="L348" s="18">
        <f t="shared" si="90"/>
        <v>241.50000000000017</v>
      </c>
      <c r="M348" s="18">
        <f t="shared" si="90"/>
        <v>251.0833333333334</v>
      </c>
      <c r="N348" s="19">
        <f t="shared" si="90"/>
        <v>176.3333333333332</v>
      </c>
      <c r="O348" s="19">
        <f t="shared" si="90"/>
        <v>191.66666666666686</v>
      </c>
      <c r="P348" s="19">
        <f t="shared" si="90"/>
        <v>201.24999999999986</v>
      </c>
      <c r="Q348" s="20">
        <f t="shared" si="90"/>
        <v>166.7500000000002</v>
      </c>
      <c r="R348" s="20">
        <f t="shared" si="90"/>
        <v>182.08333333333343</v>
      </c>
      <c r="S348" s="20">
        <f t="shared" si="90"/>
        <v>191.66666666666686</v>
      </c>
      <c r="T348" s="21">
        <f t="shared" si="90"/>
        <v>157.16666666666677</v>
      </c>
      <c r="U348" s="21">
        <f t="shared" si="91"/>
        <v>172.5</v>
      </c>
      <c r="V348" s="21">
        <f t="shared" si="91"/>
        <v>182.08333333333343</v>
      </c>
      <c r="W348" s="22">
        <f t="shared" si="91"/>
        <v>147.58333333333334</v>
      </c>
      <c r="X348" s="22">
        <f t="shared" si="91"/>
        <v>162.91666666666657</v>
      </c>
      <c r="Y348" s="22">
        <f t="shared" si="91"/>
        <v>172.5</v>
      </c>
      <c r="Z348" s="23">
        <f t="shared" si="91"/>
        <v>137.99999999999991</v>
      </c>
      <c r="AA348" s="23">
        <f t="shared" si="91"/>
        <v>153.33333333333314</v>
      </c>
      <c r="AB348" s="23">
        <f t="shared" si="91"/>
        <v>162.91666666666657</v>
      </c>
      <c r="AC348" s="24">
        <f t="shared" si="91"/>
        <v>128.41666666666649</v>
      </c>
      <c r="AD348" s="24">
        <f t="shared" si="91"/>
        <v>143.75000000000014</v>
      </c>
      <c r="AE348" s="24">
        <f t="shared" si="91"/>
        <v>153.33333333333314</v>
      </c>
      <c r="AF348" s="25">
        <f t="shared" si="91"/>
        <v>118.83333333333327</v>
      </c>
      <c r="AG348" s="25">
        <f t="shared" si="91"/>
        <v>134.16666666666671</v>
      </c>
      <c r="AH348" s="25">
        <f t="shared" si="91"/>
        <v>143.75000000000014</v>
      </c>
      <c r="AI348" s="26">
        <f t="shared" si="91"/>
        <v>109.25000000000006</v>
      </c>
      <c r="AJ348" s="26">
        <f t="shared" si="91"/>
        <v>124.58333333333329</v>
      </c>
      <c r="AK348" s="26">
        <f t="shared" si="89"/>
        <v>134.16666666666671</v>
      </c>
    </row>
    <row r="349" spans="4:37" ht="20.100000000000001" customHeight="1">
      <c r="D349" s="27">
        <f t="shared" si="88"/>
        <v>0.96111111111110825</v>
      </c>
      <c r="E349" s="16">
        <f t="shared" si="90"/>
        <v>265.26666666666688</v>
      </c>
      <c r="F349" s="16">
        <f t="shared" si="90"/>
        <v>280.64444444444416</v>
      </c>
      <c r="G349" s="16">
        <f t="shared" si="90"/>
        <v>290.25555555555536</v>
      </c>
      <c r="H349" s="17">
        <f t="shared" si="90"/>
        <v>246.04444444444448</v>
      </c>
      <c r="I349" s="17">
        <f t="shared" si="90"/>
        <v>261.42222222222256</v>
      </c>
      <c r="J349" s="17">
        <f t="shared" si="90"/>
        <v>271.03333333333296</v>
      </c>
      <c r="K349" s="18">
        <f t="shared" si="90"/>
        <v>226.82222222222208</v>
      </c>
      <c r="L349" s="18">
        <f t="shared" si="90"/>
        <v>242.20000000000016</v>
      </c>
      <c r="M349" s="18">
        <f t="shared" si="90"/>
        <v>251.81111111111119</v>
      </c>
      <c r="N349" s="19">
        <f t="shared" si="90"/>
        <v>176.84444444444432</v>
      </c>
      <c r="O349" s="19">
        <f t="shared" si="90"/>
        <v>192.2222222222224</v>
      </c>
      <c r="P349" s="19">
        <f t="shared" si="90"/>
        <v>201.8333333333332</v>
      </c>
      <c r="Q349" s="20">
        <f t="shared" si="90"/>
        <v>167.23333333333352</v>
      </c>
      <c r="R349" s="20">
        <f t="shared" si="90"/>
        <v>182.6111111111112</v>
      </c>
      <c r="S349" s="20">
        <f t="shared" si="90"/>
        <v>192.2222222222224</v>
      </c>
      <c r="T349" s="21">
        <f t="shared" si="90"/>
        <v>157.62222222222232</v>
      </c>
      <c r="U349" s="21">
        <f t="shared" si="91"/>
        <v>173</v>
      </c>
      <c r="V349" s="21">
        <f t="shared" si="91"/>
        <v>182.6111111111112</v>
      </c>
      <c r="W349" s="22">
        <f t="shared" si="91"/>
        <v>148.01111111111112</v>
      </c>
      <c r="X349" s="22">
        <f t="shared" si="91"/>
        <v>163.3888888888888</v>
      </c>
      <c r="Y349" s="22">
        <f t="shared" si="91"/>
        <v>173</v>
      </c>
      <c r="Z349" s="23">
        <f t="shared" si="91"/>
        <v>138.39999999999992</v>
      </c>
      <c r="AA349" s="23">
        <f t="shared" si="91"/>
        <v>153.7777777777776</v>
      </c>
      <c r="AB349" s="23">
        <f t="shared" si="91"/>
        <v>163.3888888888888</v>
      </c>
      <c r="AC349" s="24">
        <f t="shared" si="91"/>
        <v>128.78888888888872</v>
      </c>
      <c r="AD349" s="24">
        <f t="shared" si="91"/>
        <v>144.1666666666668</v>
      </c>
      <c r="AE349" s="24">
        <f t="shared" si="91"/>
        <v>153.7777777777776</v>
      </c>
      <c r="AF349" s="25">
        <f t="shared" si="91"/>
        <v>119.17777777777772</v>
      </c>
      <c r="AG349" s="25">
        <f t="shared" si="91"/>
        <v>134.5555555555556</v>
      </c>
      <c r="AH349" s="25">
        <f t="shared" si="91"/>
        <v>144.1666666666668</v>
      </c>
      <c r="AI349" s="26">
        <f t="shared" si="91"/>
        <v>109.56666666666672</v>
      </c>
      <c r="AJ349" s="26">
        <f t="shared" si="91"/>
        <v>124.9444444444444</v>
      </c>
      <c r="AK349" s="26">
        <f t="shared" si="89"/>
        <v>134.5555555555556</v>
      </c>
    </row>
    <row r="350" spans="4:37" ht="20.100000000000001" customHeight="1">
      <c r="D350" s="27">
        <f t="shared" si="88"/>
        <v>0.96388888888888602</v>
      </c>
      <c r="E350" s="16">
        <f t="shared" si="90"/>
        <v>266.03333333333353</v>
      </c>
      <c r="F350" s="16">
        <f t="shared" si="90"/>
        <v>281.45555555555529</v>
      </c>
      <c r="G350" s="16">
        <f t="shared" si="90"/>
        <v>291.09444444444426</v>
      </c>
      <c r="H350" s="17">
        <f t="shared" si="90"/>
        <v>246.75555555555559</v>
      </c>
      <c r="I350" s="17">
        <f t="shared" si="90"/>
        <v>262.17777777777809</v>
      </c>
      <c r="J350" s="17">
        <f t="shared" si="90"/>
        <v>271.81666666666632</v>
      </c>
      <c r="K350" s="18">
        <f t="shared" si="90"/>
        <v>227.47777777777765</v>
      </c>
      <c r="L350" s="18">
        <f t="shared" si="90"/>
        <v>242.90000000000015</v>
      </c>
      <c r="M350" s="18">
        <f t="shared" si="90"/>
        <v>252.53888888888898</v>
      </c>
      <c r="N350" s="19">
        <f t="shared" si="90"/>
        <v>177.35555555555544</v>
      </c>
      <c r="O350" s="19">
        <f t="shared" si="90"/>
        <v>192.77777777777794</v>
      </c>
      <c r="P350" s="19">
        <f t="shared" si="90"/>
        <v>202.41666666666654</v>
      </c>
      <c r="Q350" s="20">
        <f t="shared" si="90"/>
        <v>167.71666666666684</v>
      </c>
      <c r="R350" s="20">
        <f t="shared" si="90"/>
        <v>183.13888888888897</v>
      </c>
      <c r="S350" s="20">
        <f t="shared" si="90"/>
        <v>192.77777777777794</v>
      </c>
      <c r="T350" s="21">
        <f t="shared" si="90"/>
        <v>158.07777777777787</v>
      </c>
      <c r="U350" s="21">
        <f t="shared" si="91"/>
        <v>173.5</v>
      </c>
      <c r="V350" s="21">
        <f t="shared" si="91"/>
        <v>183.13888888888897</v>
      </c>
      <c r="W350" s="22">
        <f t="shared" si="91"/>
        <v>148.4388888888889</v>
      </c>
      <c r="X350" s="22">
        <f t="shared" si="91"/>
        <v>163.86111111111103</v>
      </c>
      <c r="Y350" s="22">
        <f t="shared" si="91"/>
        <v>173.5</v>
      </c>
      <c r="Z350" s="23">
        <f t="shared" si="91"/>
        <v>138.79999999999993</v>
      </c>
      <c r="AA350" s="23">
        <f t="shared" si="91"/>
        <v>154.22222222222206</v>
      </c>
      <c r="AB350" s="23">
        <f t="shared" si="91"/>
        <v>163.86111111111103</v>
      </c>
      <c r="AC350" s="24">
        <f t="shared" si="91"/>
        <v>129.16111111111096</v>
      </c>
      <c r="AD350" s="24">
        <f t="shared" si="91"/>
        <v>144.58333333333346</v>
      </c>
      <c r="AE350" s="24">
        <f t="shared" si="91"/>
        <v>154.22222222222206</v>
      </c>
      <c r="AF350" s="25">
        <f t="shared" si="91"/>
        <v>119.52222222222217</v>
      </c>
      <c r="AG350" s="25">
        <f t="shared" si="91"/>
        <v>134.94444444444449</v>
      </c>
      <c r="AH350" s="25">
        <f t="shared" si="91"/>
        <v>144.58333333333346</v>
      </c>
      <c r="AI350" s="26">
        <f t="shared" si="91"/>
        <v>109.88333333333338</v>
      </c>
      <c r="AJ350" s="26">
        <f t="shared" si="91"/>
        <v>125.30555555555551</v>
      </c>
      <c r="AK350" s="26">
        <f t="shared" si="89"/>
        <v>134.94444444444449</v>
      </c>
    </row>
    <row r="351" spans="4:37" ht="20.100000000000001" customHeight="1">
      <c r="D351" s="27">
        <f t="shared" si="88"/>
        <v>0.96666666666666379</v>
      </c>
      <c r="E351" s="16">
        <f t="shared" si="90"/>
        <v>266.80000000000018</v>
      </c>
      <c r="F351" s="16">
        <f t="shared" si="90"/>
        <v>282.26666666666642</v>
      </c>
      <c r="G351" s="16">
        <f t="shared" si="90"/>
        <v>291.93333333333317</v>
      </c>
      <c r="H351" s="17">
        <f t="shared" si="90"/>
        <v>247.4666666666667</v>
      </c>
      <c r="I351" s="17">
        <f t="shared" si="90"/>
        <v>262.93333333333362</v>
      </c>
      <c r="J351" s="17">
        <f t="shared" si="90"/>
        <v>272.59999999999968</v>
      </c>
      <c r="K351" s="18">
        <f t="shared" si="90"/>
        <v>228.13333333333321</v>
      </c>
      <c r="L351" s="18">
        <f t="shared" si="90"/>
        <v>243.60000000000014</v>
      </c>
      <c r="M351" s="18">
        <f t="shared" si="90"/>
        <v>253.26666666666677</v>
      </c>
      <c r="N351" s="19">
        <f t="shared" si="90"/>
        <v>177.86666666666656</v>
      </c>
      <c r="O351" s="19">
        <f t="shared" si="90"/>
        <v>193.33333333333348</v>
      </c>
      <c r="P351" s="19">
        <f t="shared" si="90"/>
        <v>202.99999999999989</v>
      </c>
      <c r="Q351" s="20">
        <f t="shared" si="90"/>
        <v>168.20000000000016</v>
      </c>
      <c r="R351" s="20">
        <f t="shared" si="90"/>
        <v>183.66666666666674</v>
      </c>
      <c r="S351" s="20">
        <f t="shared" si="90"/>
        <v>193.33333333333348</v>
      </c>
      <c r="T351" s="21">
        <f t="shared" si="90"/>
        <v>158.53333333333342</v>
      </c>
      <c r="U351" s="21">
        <f t="shared" si="91"/>
        <v>174</v>
      </c>
      <c r="V351" s="21">
        <f t="shared" si="91"/>
        <v>183.66666666666674</v>
      </c>
      <c r="W351" s="22">
        <f t="shared" si="91"/>
        <v>148.86666666666667</v>
      </c>
      <c r="X351" s="22">
        <f t="shared" si="91"/>
        <v>164.33333333333326</v>
      </c>
      <c r="Y351" s="22">
        <f t="shared" si="91"/>
        <v>174</v>
      </c>
      <c r="Z351" s="23">
        <f t="shared" si="91"/>
        <v>139.19999999999993</v>
      </c>
      <c r="AA351" s="23">
        <f t="shared" si="91"/>
        <v>154.66666666666652</v>
      </c>
      <c r="AB351" s="23">
        <f t="shared" si="91"/>
        <v>164.33333333333326</v>
      </c>
      <c r="AC351" s="24">
        <f t="shared" si="91"/>
        <v>129.53333333333319</v>
      </c>
      <c r="AD351" s="24">
        <f t="shared" si="91"/>
        <v>145.00000000000011</v>
      </c>
      <c r="AE351" s="24">
        <f t="shared" si="91"/>
        <v>154.66666666666652</v>
      </c>
      <c r="AF351" s="25">
        <f t="shared" si="91"/>
        <v>119.86666666666662</v>
      </c>
      <c r="AG351" s="25">
        <f t="shared" si="91"/>
        <v>135.33333333333337</v>
      </c>
      <c r="AH351" s="25">
        <f t="shared" si="91"/>
        <v>145.00000000000011</v>
      </c>
      <c r="AI351" s="26">
        <f t="shared" si="91"/>
        <v>110.20000000000005</v>
      </c>
      <c r="AJ351" s="26">
        <f t="shared" si="91"/>
        <v>125.66666666666663</v>
      </c>
      <c r="AK351" s="26">
        <f t="shared" si="89"/>
        <v>135.33333333333337</v>
      </c>
    </row>
    <row r="352" spans="4:37" ht="20.100000000000001" customHeight="1">
      <c r="D352" s="27">
        <f t="shared" si="88"/>
        <v>0.96944444444444156</v>
      </c>
      <c r="E352" s="16">
        <f t="shared" si="90"/>
        <v>267.56666666666683</v>
      </c>
      <c r="F352" s="16">
        <f t="shared" si="90"/>
        <v>283.07777777777756</v>
      </c>
      <c r="G352" s="16">
        <f t="shared" si="90"/>
        <v>292.77222222222207</v>
      </c>
      <c r="H352" s="17">
        <f t="shared" si="90"/>
        <v>248.17777777777781</v>
      </c>
      <c r="I352" s="17">
        <f t="shared" si="90"/>
        <v>263.68888888888915</v>
      </c>
      <c r="J352" s="17">
        <f t="shared" si="90"/>
        <v>273.38333333333304</v>
      </c>
      <c r="K352" s="18">
        <f t="shared" si="90"/>
        <v>228.78888888888878</v>
      </c>
      <c r="L352" s="18">
        <f t="shared" si="90"/>
        <v>244.30000000000013</v>
      </c>
      <c r="M352" s="18">
        <f t="shared" si="90"/>
        <v>253.99444444444455</v>
      </c>
      <c r="N352" s="19">
        <f t="shared" si="90"/>
        <v>178.37777777777768</v>
      </c>
      <c r="O352" s="19">
        <f t="shared" si="90"/>
        <v>193.88888888888903</v>
      </c>
      <c r="P352" s="19">
        <f t="shared" si="90"/>
        <v>203.58333333333323</v>
      </c>
      <c r="Q352" s="20">
        <f t="shared" si="90"/>
        <v>168.68333333333348</v>
      </c>
      <c r="R352" s="20">
        <f t="shared" si="90"/>
        <v>184.19444444444451</v>
      </c>
      <c r="S352" s="20">
        <f t="shared" si="90"/>
        <v>193.88888888888903</v>
      </c>
      <c r="T352" s="21">
        <f t="shared" si="90"/>
        <v>158.98888888888897</v>
      </c>
      <c r="U352" s="21">
        <f t="shared" si="91"/>
        <v>174.5</v>
      </c>
      <c r="V352" s="21">
        <f t="shared" si="91"/>
        <v>184.19444444444451</v>
      </c>
      <c r="W352" s="22">
        <f t="shared" si="91"/>
        <v>149.29444444444445</v>
      </c>
      <c r="X352" s="22">
        <f t="shared" si="91"/>
        <v>164.80555555555549</v>
      </c>
      <c r="Y352" s="22">
        <f t="shared" si="91"/>
        <v>174.5</v>
      </c>
      <c r="Z352" s="23">
        <f t="shared" si="91"/>
        <v>139.59999999999994</v>
      </c>
      <c r="AA352" s="23">
        <f t="shared" si="91"/>
        <v>155.11111111111097</v>
      </c>
      <c r="AB352" s="23">
        <f t="shared" si="91"/>
        <v>164.80555555555549</v>
      </c>
      <c r="AC352" s="24">
        <f t="shared" si="91"/>
        <v>129.90555555555542</v>
      </c>
      <c r="AD352" s="24">
        <f t="shared" si="91"/>
        <v>145.41666666666677</v>
      </c>
      <c r="AE352" s="24">
        <f t="shared" si="91"/>
        <v>155.11111111111097</v>
      </c>
      <c r="AF352" s="25">
        <f t="shared" si="91"/>
        <v>120.21111111111107</v>
      </c>
      <c r="AG352" s="25">
        <f t="shared" si="91"/>
        <v>135.72222222222226</v>
      </c>
      <c r="AH352" s="25">
        <f t="shared" si="91"/>
        <v>145.41666666666677</v>
      </c>
      <c r="AI352" s="26">
        <f t="shared" si="91"/>
        <v>110.51666666666671</v>
      </c>
      <c r="AJ352" s="26">
        <f t="shared" si="91"/>
        <v>126.02777777777774</v>
      </c>
      <c r="AK352" s="26">
        <f t="shared" si="89"/>
        <v>135.72222222222226</v>
      </c>
    </row>
    <row r="353" spans="4:37" ht="20.100000000000001" customHeight="1">
      <c r="D353" s="27">
        <f t="shared" si="88"/>
        <v>0.97222222222221932</v>
      </c>
      <c r="E353" s="16">
        <f t="shared" si="90"/>
        <v>268.33333333333348</v>
      </c>
      <c r="F353" s="16">
        <f t="shared" si="90"/>
        <v>283.88888888888869</v>
      </c>
      <c r="G353" s="16">
        <f t="shared" si="90"/>
        <v>293.61111111111097</v>
      </c>
      <c r="H353" s="17">
        <f t="shared" si="90"/>
        <v>248.88888888888891</v>
      </c>
      <c r="I353" s="17">
        <f t="shared" si="90"/>
        <v>264.44444444444468</v>
      </c>
      <c r="J353" s="17">
        <f t="shared" si="90"/>
        <v>274.1666666666664</v>
      </c>
      <c r="K353" s="18">
        <f t="shared" si="90"/>
        <v>229.44444444444434</v>
      </c>
      <c r="L353" s="18">
        <f t="shared" si="90"/>
        <v>245.00000000000011</v>
      </c>
      <c r="M353" s="18">
        <f t="shared" si="90"/>
        <v>254.72222222222234</v>
      </c>
      <c r="N353" s="19">
        <f t="shared" si="90"/>
        <v>178.8888888888888</v>
      </c>
      <c r="O353" s="19">
        <f t="shared" si="90"/>
        <v>194.44444444444457</v>
      </c>
      <c r="P353" s="19">
        <f t="shared" si="90"/>
        <v>204.16666666666657</v>
      </c>
      <c r="Q353" s="20">
        <f t="shared" si="90"/>
        <v>169.1666666666668</v>
      </c>
      <c r="R353" s="20">
        <f t="shared" si="90"/>
        <v>184.72222222222229</v>
      </c>
      <c r="S353" s="20">
        <f t="shared" si="90"/>
        <v>194.44444444444457</v>
      </c>
      <c r="T353" s="21">
        <f t="shared" si="90"/>
        <v>159.44444444444451</v>
      </c>
      <c r="U353" s="21">
        <f t="shared" si="91"/>
        <v>175</v>
      </c>
      <c r="V353" s="21">
        <f t="shared" si="91"/>
        <v>184.72222222222229</v>
      </c>
      <c r="W353" s="22">
        <f t="shared" si="91"/>
        <v>149.72222222222223</v>
      </c>
      <c r="X353" s="22">
        <f t="shared" si="91"/>
        <v>165.27777777777771</v>
      </c>
      <c r="Y353" s="22">
        <f t="shared" si="91"/>
        <v>175</v>
      </c>
      <c r="Z353" s="23">
        <f t="shared" si="91"/>
        <v>139.99999999999994</v>
      </c>
      <c r="AA353" s="23">
        <f t="shared" si="91"/>
        <v>155.55555555555543</v>
      </c>
      <c r="AB353" s="23">
        <f t="shared" si="91"/>
        <v>165.27777777777771</v>
      </c>
      <c r="AC353" s="24">
        <f t="shared" si="91"/>
        <v>130.27777777777766</v>
      </c>
      <c r="AD353" s="24">
        <f t="shared" si="91"/>
        <v>145.83333333333343</v>
      </c>
      <c r="AE353" s="24">
        <f t="shared" si="91"/>
        <v>155.55555555555543</v>
      </c>
      <c r="AF353" s="25">
        <f t="shared" si="91"/>
        <v>120.55555555555551</v>
      </c>
      <c r="AG353" s="25">
        <f t="shared" si="91"/>
        <v>136.11111111111114</v>
      </c>
      <c r="AH353" s="25">
        <f t="shared" si="91"/>
        <v>145.83333333333343</v>
      </c>
      <c r="AI353" s="26">
        <f t="shared" si="91"/>
        <v>110.83333333333337</v>
      </c>
      <c r="AJ353" s="26">
        <f t="shared" si="91"/>
        <v>126.38888888888886</v>
      </c>
      <c r="AK353" s="26">
        <f t="shared" si="89"/>
        <v>136.11111111111114</v>
      </c>
    </row>
    <row r="354" spans="4:37" ht="20.100000000000001" customHeight="1">
      <c r="D354" s="27">
        <f t="shared" si="88"/>
        <v>0.97499999999999709</v>
      </c>
      <c r="E354" s="16">
        <f t="shared" si="90"/>
        <v>269.10000000000014</v>
      </c>
      <c r="F354" s="16">
        <f t="shared" si="90"/>
        <v>284.69999999999982</v>
      </c>
      <c r="G354" s="16">
        <f t="shared" si="90"/>
        <v>294.44999999999987</v>
      </c>
      <c r="H354" s="17">
        <f t="shared" si="90"/>
        <v>249.60000000000002</v>
      </c>
      <c r="I354" s="17">
        <f t="shared" si="90"/>
        <v>265.20000000000022</v>
      </c>
      <c r="J354" s="17">
        <f t="shared" si="90"/>
        <v>274.94999999999976</v>
      </c>
      <c r="K354" s="18">
        <f t="shared" si="90"/>
        <v>230.09999999999991</v>
      </c>
      <c r="L354" s="18">
        <f t="shared" si="90"/>
        <v>245.7000000000001</v>
      </c>
      <c r="M354" s="18">
        <f t="shared" si="90"/>
        <v>255.45000000000013</v>
      </c>
      <c r="N354" s="19">
        <f t="shared" si="90"/>
        <v>179.39999999999992</v>
      </c>
      <c r="O354" s="19">
        <f t="shared" si="90"/>
        <v>195.00000000000011</v>
      </c>
      <c r="P354" s="19">
        <f t="shared" si="90"/>
        <v>204.74999999999991</v>
      </c>
      <c r="Q354" s="20">
        <f t="shared" si="90"/>
        <v>169.65000000000012</v>
      </c>
      <c r="R354" s="20">
        <f t="shared" si="90"/>
        <v>185.25000000000006</v>
      </c>
      <c r="S354" s="20">
        <f t="shared" si="90"/>
        <v>195.00000000000011</v>
      </c>
      <c r="T354" s="21">
        <f t="shared" si="90"/>
        <v>159.90000000000006</v>
      </c>
      <c r="U354" s="21">
        <f t="shared" si="91"/>
        <v>175.5</v>
      </c>
      <c r="V354" s="21">
        <f t="shared" si="91"/>
        <v>185.25000000000006</v>
      </c>
      <c r="W354" s="22">
        <f t="shared" si="91"/>
        <v>150.15</v>
      </c>
      <c r="X354" s="22">
        <f t="shared" si="91"/>
        <v>165.74999999999994</v>
      </c>
      <c r="Y354" s="22">
        <f t="shared" si="91"/>
        <v>175.5</v>
      </c>
      <c r="Z354" s="23">
        <f t="shared" si="91"/>
        <v>140.39999999999995</v>
      </c>
      <c r="AA354" s="23">
        <f t="shared" si="91"/>
        <v>155.99999999999989</v>
      </c>
      <c r="AB354" s="23">
        <f t="shared" si="91"/>
        <v>165.74999999999994</v>
      </c>
      <c r="AC354" s="24">
        <f t="shared" si="91"/>
        <v>130.64999999999989</v>
      </c>
      <c r="AD354" s="24">
        <f t="shared" si="91"/>
        <v>146.25000000000009</v>
      </c>
      <c r="AE354" s="24">
        <f t="shared" si="91"/>
        <v>155.99999999999989</v>
      </c>
      <c r="AF354" s="25">
        <f t="shared" si="91"/>
        <v>120.89999999999996</v>
      </c>
      <c r="AG354" s="25">
        <f t="shared" si="91"/>
        <v>136.50000000000003</v>
      </c>
      <c r="AH354" s="25">
        <f t="shared" si="91"/>
        <v>146.25000000000009</v>
      </c>
      <c r="AI354" s="26">
        <f t="shared" si="91"/>
        <v>111.15000000000003</v>
      </c>
      <c r="AJ354" s="26">
        <f t="shared" si="91"/>
        <v>126.74999999999997</v>
      </c>
      <c r="AK354" s="26">
        <f t="shared" si="89"/>
        <v>136.50000000000003</v>
      </c>
    </row>
    <row r="355" spans="4:37" ht="20.100000000000001" customHeight="1">
      <c r="D355" s="27">
        <f t="shared" si="88"/>
        <v>0.97777777777777486</v>
      </c>
      <c r="E355" s="16">
        <f t="shared" si="90"/>
        <v>269.86666666666679</v>
      </c>
      <c r="F355" s="16">
        <f t="shared" si="90"/>
        <v>285.51111111111095</v>
      </c>
      <c r="G355" s="16">
        <f t="shared" si="90"/>
        <v>295.28888888888878</v>
      </c>
      <c r="H355" s="17">
        <f t="shared" si="90"/>
        <v>250.31111111111113</v>
      </c>
      <c r="I355" s="17">
        <f t="shared" si="90"/>
        <v>265.95555555555575</v>
      </c>
      <c r="J355" s="17">
        <f t="shared" si="90"/>
        <v>275.73333333333312</v>
      </c>
      <c r="K355" s="18">
        <f t="shared" si="90"/>
        <v>230.75555555555547</v>
      </c>
      <c r="L355" s="18">
        <f t="shared" si="90"/>
        <v>246.40000000000009</v>
      </c>
      <c r="M355" s="18">
        <f t="shared" si="90"/>
        <v>256.17777777777792</v>
      </c>
      <c r="N355" s="19">
        <f t="shared" si="90"/>
        <v>179.91111111111104</v>
      </c>
      <c r="O355" s="19">
        <f t="shared" si="90"/>
        <v>195.55555555555566</v>
      </c>
      <c r="P355" s="19">
        <f t="shared" si="90"/>
        <v>205.33333333333326</v>
      </c>
      <c r="Q355" s="20">
        <f t="shared" si="90"/>
        <v>170.13333333333344</v>
      </c>
      <c r="R355" s="20">
        <f t="shared" si="90"/>
        <v>185.77777777777783</v>
      </c>
      <c r="S355" s="20">
        <f t="shared" si="90"/>
        <v>195.55555555555566</v>
      </c>
      <c r="T355" s="21">
        <f>T356-(T$363/360)</f>
        <v>160.35555555555561</v>
      </c>
      <c r="U355" s="21">
        <f t="shared" si="91"/>
        <v>176</v>
      </c>
      <c r="V355" s="21">
        <f t="shared" si="91"/>
        <v>185.77777777777783</v>
      </c>
      <c r="W355" s="22">
        <f t="shared" si="91"/>
        <v>150.57777777777778</v>
      </c>
      <c r="X355" s="22">
        <f t="shared" si="91"/>
        <v>166.22222222222217</v>
      </c>
      <c r="Y355" s="22">
        <f t="shared" si="91"/>
        <v>176</v>
      </c>
      <c r="Z355" s="23">
        <f t="shared" si="91"/>
        <v>140.79999999999995</v>
      </c>
      <c r="AA355" s="23">
        <f t="shared" si="91"/>
        <v>156.44444444444434</v>
      </c>
      <c r="AB355" s="23">
        <f t="shared" si="91"/>
        <v>166.22222222222217</v>
      </c>
      <c r="AC355" s="24">
        <f t="shared" si="91"/>
        <v>131.02222222222213</v>
      </c>
      <c r="AD355" s="24">
        <f t="shared" si="91"/>
        <v>146.66666666666674</v>
      </c>
      <c r="AE355" s="24">
        <f t="shared" si="91"/>
        <v>156.44444444444434</v>
      </c>
      <c r="AF355" s="25">
        <f t="shared" si="91"/>
        <v>121.24444444444441</v>
      </c>
      <c r="AG355" s="25">
        <f t="shared" si="91"/>
        <v>136.88888888888891</v>
      </c>
      <c r="AH355" s="25">
        <f t="shared" si="91"/>
        <v>146.66666666666674</v>
      </c>
      <c r="AI355" s="26">
        <f t="shared" si="91"/>
        <v>111.4666666666667</v>
      </c>
      <c r="AJ355" s="26">
        <f>AJ356-(AJ$363/360)</f>
        <v>127.11111111111109</v>
      </c>
      <c r="AK355" s="26">
        <f t="shared" si="89"/>
        <v>136.88888888888891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270.63333333333344</v>
      </c>
      <c r="F356" s="16">
        <f t="shared" si="92"/>
        <v>286.32222222222208</v>
      </c>
      <c r="G356" s="16">
        <f t="shared" si="92"/>
        <v>296.12777777777768</v>
      </c>
      <c r="H356" s="17">
        <f t="shared" si="92"/>
        <v>251.02222222222224</v>
      </c>
      <c r="I356" s="17">
        <f t="shared" si="92"/>
        <v>266.71111111111128</v>
      </c>
      <c r="J356" s="17">
        <f t="shared" si="92"/>
        <v>276.51666666666648</v>
      </c>
      <c r="K356" s="18">
        <f t="shared" si="92"/>
        <v>231.41111111111104</v>
      </c>
      <c r="L356" s="18">
        <f t="shared" si="92"/>
        <v>247.10000000000008</v>
      </c>
      <c r="M356" s="18">
        <f t="shared" si="92"/>
        <v>256.90555555555568</v>
      </c>
      <c r="N356" s="19">
        <f t="shared" si="92"/>
        <v>180.42222222222216</v>
      </c>
      <c r="O356" s="19">
        <f t="shared" si="92"/>
        <v>196.1111111111112</v>
      </c>
      <c r="P356" s="19">
        <f t="shared" si="92"/>
        <v>205.9166666666666</v>
      </c>
      <c r="Q356" s="20">
        <f t="shared" si="92"/>
        <v>170.61666666666676</v>
      </c>
      <c r="R356" s="20">
        <f t="shared" si="92"/>
        <v>186.3055555555556</v>
      </c>
      <c r="S356" s="20">
        <f t="shared" si="92"/>
        <v>196.1111111111112</v>
      </c>
      <c r="T356" s="21">
        <f t="shared" si="92"/>
        <v>160.81111111111116</v>
      </c>
      <c r="U356" s="21">
        <f t="shared" ref="U356:AJ362" si="93">U357-(U$363/360)</f>
        <v>176.5</v>
      </c>
      <c r="V356" s="21">
        <f t="shared" si="93"/>
        <v>186.3055555555556</v>
      </c>
      <c r="W356" s="22">
        <f t="shared" si="93"/>
        <v>151.00555555555556</v>
      </c>
      <c r="X356" s="22">
        <f t="shared" si="93"/>
        <v>166.6944444444444</v>
      </c>
      <c r="Y356" s="22">
        <f t="shared" si="93"/>
        <v>176.5</v>
      </c>
      <c r="Z356" s="23">
        <f t="shared" si="93"/>
        <v>141.19999999999996</v>
      </c>
      <c r="AA356" s="23">
        <f t="shared" si="93"/>
        <v>156.8888888888888</v>
      </c>
      <c r="AB356" s="23">
        <f t="shared" si="93"/>
        <v>166.6944444444444</v>
      </c>
      <c r="AC356" s="24">
        <f t="shared" si="93"/>
        <v>131.39444444444436</v>
      </c>
      <c r="AD356" s="24">
        <f t="shared" si="93"/>
        <v>147.0833333333334</v>
      </c>
      <c r="AE356" s="24">
        <f t="shared" si="93"/>
        <v>156.8888888888888</v>
      </c>
      <c r="AF356" s="25">
        <f t="shared" si="93"/>
        <v>121.58888888888886</v>
      </c>
      <c r="AG356" s="25">
        <f t="shared" si="93"/>
        <v>137.2777777777778</v>
      </c>
      <c r="AH356" s="25">
        <f t="shared" si="93"/>
        <v>147.0833333333334</v>
      </c>
      <c r="AI356" s="26">
        <f t="shared" si="93"/>
        <v>111.78333333333336</v>
      </c>
      <c r="AJ356" s="26">
        <f t="shared" si="93"/>
        <v>127.4722222222222</v>
      </c>
      <c r="AK356" s="26">
        <f t="shared" si="89"/>
        <v>137.2777777777778</v>
      </c>
    </row>
    <row r="357" spans="4:37" ht="20.100000000000001" customHeight="1">
      <c r="D357" s="27">
        <f t="shared" si="88"/>
        <v>0.98333333333333039</v>
      </c>
      <c r="E357" s="16">
        <f t="shared" si="92"/>
        <v>271.40000000000009</v>
      </c>
      <c r="F357" s="16">
        <f t="shared" si="92"/>
        <v>287.13333333333321</v>
      </c>
      <c r="G357" s="16">
        <f t="shared" si="92"/>
        <v>296.96666666666658</v>
      </c>
      <c r="H357" s="17">
        <f t="shared" si="92"/>
        <v>251.73333333333335</v>
      </c>
      <c r="I357" s="17">
        <f t="shared" si="92"/>
        <v>267.46666666666681</v>
      </c>
      <c r="J357" s="17">
        <f t="shared" si="92"/>
        <v>277.29999999999984</v>
      </c>
      <c r="K357" s="18">
        <f t="shared" si="92"/>
        <v>232.06666666666661</v>
      </c>
      <c r="L357" s="18">
        <f t="shared" si="92"/>
        <v>247.80000000000007</v>
      </c>
      <c r="M357" s="18">
        <f t="shared" si="92"/>
        <v>257.63333333333344</v>
      </c>
      <c r="N357" s="19">
        <f t="shared" si="92"/>
        <v>180.93333333333328</v>
      </c>
      <c r="O357" s="19">
        <f t="shared" si="92"/>
        <v>196.66666666666674</v>
      </c>
      <c r="P357" s="19">
        <f t="shared" si="92"/>
        <v>206.49999999999994</v>
      </c>
      <c r="Q357" s="20">
        <f t="shared" si="92"/>
        <v>171.10000000000008</v>
      </c>
      <c r="R357" s="20">
        <f t="shared" si="92"/>
        <v>186.83333333333337</v>
      </c>
      <c r="S357" s="20">
        <f t="shared" si="92"/>
        <v>196.66666666666674</v>
      </c>
      <c r="T357" s="21">
        <f t="shared" si="92"/>
        <v>161.26666666666671</v>
      </c>
      <c r="U357" s="21">
        <f t="shared" si="93"/>
        <v>177</v>
      </c>
      <c r="V357" s="21">
        <f t="shared" si="93"/>
        <v>186.83333333333337</v>
      </c>
      <c r="W357" s="22">
        <f t="shared" si="93"/>
        <v>151.43333333333334</v>
      </c>
      <c r="X357" s="22">
        <f t="shared" si="93"/>
        <v>167.16666666666663</v>
      </c>
      <c r="Y357" s="22">
        <f t="shared" si="93"/>
        <v>177</v>
      </c>
      <c r="Z357" s="23">
        <f t="shared" si="93"/>
        <v>141.59999999999997</v>
      </c>
      <c r="AA357" s="23">
        <f t="shared" si="93"/>
        <v>157.33333333333326</v>
      </c>
      <c r="AB357" s="23">
        <f t="shared" si="93"/>
        <v>167.16666666666663</v>
      </c>
      <c r="AC357" s="24">
        <f t="shared" si="93"/>
        <v>131.76666666666659</v>
      </c>
      <c r="AD357" s="24">
        <f t="shared" si="93"/>
        <v>147.50000000000006</v>
      </c>
      <c r="AE357" s="24">
        <f t="shared" si="93"/>
        <v>157.33333333333326</v>
      </c>
      <c r="AF357" s="25">
        <f t="shared" si="93"/>
        <v>121.93333333333331</v>
      </c>
      <c r="AG357" s="25">
        <f t="shared" si="93"/>
        <v>137.66666666666669</v>
      </c>
      <c r="AH357" s="25">
        <f t="shared" si="93"/>
        <v>147.50000000000006</v>
      </c>
      <c r="AI357" s="26">
        <f t="shared" si="93"/>
        <v>112.10000000000002</v>
      </c>
      <c r="AJ357" s="26">
        <f t="shared" si="93"/>
        <v>127.83333333333331</v>
      </c>
      <c r="AK357" s="26">
        <f t="shared" si="89"/>
        <v>137.66666666666669</v>
      </c>
    </row>
    <row r="358" spans="4:37" ht="20.100000000000001" customHeight="1">
      <c r="D358" s="27">
        <f t="shared" si="88"/>
        <v>0.98611111111110816</v>
      </c>
      <c r="E358" s="16">
        <f t="shared" si="92"/>
        <v>272.16666666666674</v>
      </c>
      <c r="F358" s="16">
        <f t="shared" si="92"/>
        <v>287.94444444444434</v>
      </c>
      <c r="G358" s="16">
        <f t="shared" si="92"/>
        <v>297.80555555555549</v>
      </c>
      <c r="H358" s="17">
        <f t="shared" si="92"/>
        <v>252.44444444444446</v>
      </c>
      <c r="I358" s="17">
        <f t="shared" si="92"/>
        <v>268.22222222222234</v>
      </c>
      <c r="J358" s="17">
        <f t="shared" si="92"/>
        <v>278.0833333333332</v>
      </c>
      <c r="K358" s="18">
        <f t="shared" si="92"/>
        <v>232.72222222222217</v>
      </c>
      <c r="L358" s="18">
        <f t="shared" si="92"/>
        <v>248.50000000000006</v>
      </c>
      <c r="M358" s="18">
        <f t="shared" si="92"/>
        <v>258.3611111111112</v>
      </c>
      <c r="N358" s="19">
        <f t="shared" si="92"/>
        <v>181.4444444444444</v>
      </c>
      <c r="O358" s="19">
        <f t="shared" si="92"/>
        <v>197.22222222222229</v>
      </c>
      <c r="P358" s="19">
        <f t="shared" si="92"/>
        <v>207.08333333333329</v>
      </c>
      <c r="Q358" s="20">
        <f t="shared" si="92"/>
        <v>171.5833333333334</v>
      </c>
      <c r="R358" s="20">
        <f t="shared" si="92"/>
        <v>187.36111111111114</v>
      </c>
      <c r="S358" s="20">
        <f t="shared" si="92"/>
        <v>197.22222222222229</v>
      </c>
      <c r="T358" s="21">
        <f t="shared" si="92"/>
        <v>161.72222222222226</v>
      </c>
      <c r="U358" s="21">
        <f t="shared" si="93"/>
        <v>177.5</v>
      </c>
      <c r="V358" s="21">
        <f t="shared" si="93"/>
        <v>187.36111111111114</v>
      </c>
      <c r="W358" s="22">
        <f t="shared" si="93"/>
        <v>151.86111111111111</v>
      </c>
      <c r="X358" s="22">
        <f t="shared" si="93"/>
        <v>167.63888888888886</v>
      </c>
      <c r="Y358" s="22">
        <f t="shared" si="93"/>
        <v>177.5</v>
      </c>
      <c r="Z358" s="23">
        <f t="shared" si="93"/>
        <v>141.99999999999997</v>
      </c>
      <c r="AA358" s="23">
        <f t="shared" si="93"/>
        <v>157.77777777777771</v>
      </c>
      <c r="AB358" s="23">
        <f t="shared" si="93"/>
        <v>167.63888888888886</v>
      </c>
      <c r="AC358" s="24">
        <f t="shared" si="93"/>
        <v>132.13888888888883</v>
      </c>
      <c r="AD358" s="24">
        <f t="shared" si="93"/>
        <v>147.91666666666671</v>
      </c>
      <c r="AE358" s="24">
        <f t="shared" si="93"/>
        <v>157.77777777777771</v>
      </c>
      <c r="AF358" s="25">
        <f t="shared" si="93"/>
        <v>122.27777777777776</v>
      </c>
      <c r="AG358" s="25">
        <f t="shared" si="93"/>
        <v>138.05555555555557</v>
      </c>
      <c r="AH358" s="25">
        <f t="shared" si="93"/>
        <v>147.91666666666671</v>
      </c>
      <c r="AI358" s="26">
        <f t="shared" si="93"/>
        <v>112.41666666666669</v>
      </c>
      <c r="AJ358" s="26">
        <f t="shared" si="93"/>
        <v>128.19444444444443</v>
      </c>
      <c r="AK358" s="26">
        <f t="shared" si="89"/>
        <v>138.05555555555557</v>
      </c>
    </row>
    <row r="359" spans="4:37" ht="20.100000000000001" customHeight="1">
      <c r="D359" s="27">
        <f t="shared" si="88"/>
        <v>0.98888888888888593</v>
      </c>
      <c r="E359" s="16">
        <f t="shared" si="92"/>
        <v>272.93333333333339</v>
      </c>
      <c r="F359" s="16">
        <f t="shared" si="92"/>
        <v>288.75555555555547</v>
      </c>
      <c r="G359" s="16">
        <f t="shared" si="92"/>
        <v>298.64444444444439</v>
      </c>
      <c r="H359" s="17">
        <f t="shared" si="92"/>
        <v>253.15555555555557</v>
      </c>
      <c r="I359" s="17">
        <f t="shared" si="92"/>
        <v>268.97777777777787</v>
      </c>
      <c r="J359" s="17">
        <f t="shared" si="92"/>
        <v>278.86666666666656</v>
      </c>
      <c r="K359" s="18">
        <f t="shared" si="92"/>
        <v>233.37777777777774</v>
      </c>
      <c r="L359" s="18">
        <f t="shared" si="92"/>
        <v>249.20000000000005</v>
      </c>
      <c r="M359" s="18">
        <f t="shared" si="92"/>
        <v>259.08888888888896</v>
      </c>
      <c r="N359" s="19">
        <f t="shared" si="92"/>
        <v>181.95555555555552</v>
      </c>
      <c r="O359" s="19">
        <f t="shared" si="92"/>
        <v>197.77777777777783</v>
      </c>
      <c r="P359" s="19">
        <f t="shared" si="92"/>
        <v>207.66666666666663</v>
      </c>
      <c r="Q359" s="20">
        <f t="shared" si="92"/>
        <v>172.06666666666672</v>
      </c>
      <c r="R359" s="20">
        <f t="shared" si="92"/>
        <v>187.88888888888891</v>
      </c>
      <c r="S359" s="20">
        <f t="shared" si="92"/>
        <v>197.77777777777783</v>
      </c>
      <c r="T359" s="21">
        <f t="shared" si="92"/>
        <v>162.17777777777781</v>
      </c>
      <c r="U359" s="21">
        <f t="shared" si="93"/>
        <v>178</v>
      </c>
      <c r="V359" s="21">
        <f t="shared" si="93"/>
        <v>187.88888888888891</v>
      </c>
      <c r="W359" s="22">
        <f t="shared" si="93"/>
        <v>152.28888888888889</v>
      </c>
      <c r="X359" s="22">
        <f t="shared" si="93"/>
        <v>168.11111111111109</v>
      </c>
      <c r="Y359" s="22">
        <f t="shared" si="93"/>
        <v>178</v>
      </c>
      <c r="Z359" s="23">
        <f t="shared" si="93"/>
        <v>142.39999999999998</v>
      </c>
      <c r="AA359" s="23">
        <f t="shared" si="93"/>
        <v>158.22222222222217</v>
      </c>
      <c r="AB359" s="23">
        <f t="shared" si="93"/>
        <v>168.11111111111109</v>
      </c>
      <c r="AC359" s="24">
        <f t="shared" si="93"/>
        <v>132.51111111111106</v>
      </c>
      <c r="AD359" s="24">
        <f t="shared" si="93"/>
        <v>148.33333333333337</v>
      </c>
      <c r="AE359" s="24">
        <f t="shared" si="93"/>
        <v>158.22222222222217</v>
      </c>
      <c r="AF359" s="25">
        <f t="shared" si="93"/>
        <v>122.62222222222221</v>
      </c>
      <c r="AG359" s="25">
        <f t="shared" si="93"/>
        <v>138.44444444444446</v>
      </c>
      <c r="AH359" s="25">
        <f t="shared" si="93"/>
        <v>148.33333333333337</v>
      </c>
      <c r="AI359" s="26">
        <f t="shared" si="93"/>
        <v>112.73333333333335</v>
      </c>
      <c r="AJ359" s="26">
        <f t="shared" si="93"/>
        <v>128.55555555555554</v>
      </c>
      <c r="AK359" s="26">
        <f t="shared" si="89"/>
        <v>138.44444444444446</v>
      </c>
    </row>
    <row r="360" spans="4:37" ht="20.100000000000001" customHeight="1">
      <c r="D360" s="27">
        <f t="shared" si="88"/>
        <v>0.9916666666666637</v>
      </c>
      <c r="E360" s="16">
        <f t="shared" si="92"/>
        <v>273.70000000000005</v>
      </c>
      <c r="F360" s="16">
        <f t="shared" si="92"/>
        <v>289.56666666666661</v>
      </c>
      <c r="G360" s="16">
        <f t="shared" si="92"/>
        <v>299.48333333333329</v>
      </c>
      <c r="H360" s="17">
        <f t="shared" si="92"/>
        <v>253.86666666666667</v>
      </c>
      <c r="I360" s="17">
        <f t="shared" si="92"/>
        <v>269.73333333333341</v>
      </c>
      <c r="J360" s="17">
        <f t="shared" si="92"/>
        <v>279.64999999999992</v>
      </c>
      <c r="K360" s="18">
        <f t="shared" si="92"/>
        <v>234.0333333333333</v>
      </c>
      <c r="L360" s="18">
        <f t="shared" si="92"/>
        <v>249.90000000000003</v>
      </c>
      <c r="M360" s="18">
        <f t="shared" si="92"/>
        <v>259.81666666666672</v>
      </c>
      <c r="N360" s="19">
        <f t="shared" si="92"/>
        <v>182.46666666666664</v>
      </c>
      <c r="O360" s="19">
        <f t="shared" si="92"/>
        <v>198.33333333333337</v>
      </c>
      <c r="P360" s="19">
        <f t="shared" si="92"/>
        <v>208.24999999999997</v>
      </c>
      <c r="Q360" s="20">
        <f t="shared" si="92"/>
        <v>172.55000000000004</v>
      </c>
      <c r="R360" s="20">
        <f t="shared" si="92"/>
        <v>188.41666666666669</v>
      </c>
      <c r="S360" s="20">
        <f t="shared" si="92"/>
        <v>198.33333333333337</v>
      </c>
      <c r="T360" s="21">
        <f t="shared" si="92"/>
        <v>162.63333333333335</v>
      </c>
      <c r="U360" s="21">
        <f t="shared" si="93"/>
        <v>178.5</v>
      </c>
      <c r="V360" s="21">
        <f t="shared" si="93"/>
        <v>188.41666666666669</v>
      </c>
      <c r="W360" s="22">
        <f t="shared" si="93"/>
        <v>152.71666666666667</v>
      </c>
      <c r="X360" s="22">
        <f t="shared" si="93"/>
        <v>168.58333333333331</v>
      </c>
      <c r="Y360" s="22">
        <f t="shared" si="93"/>
        <v>178.5</v>
      </c>
      <c r="Z360" s="23">
        <f t="shared" si="93"/>
        <v>142.79999999999998</v>
      </c>
      <c r="AA360" s="23">
        <f t="shared" si="93"/>
        <v>158.66666666666663</v>
      </c>
      <c r="AB360" s="23">
        <f t="shared" si="93"/>
        <v>168.58333333333331</v>
      </c>
      <c r="AC360" s="24">
        <f t="shared" si="93"/>
        <v>132.8833333333333</v>
      </c>
      <c r="AD360" s="24">
        <f t="shared" si="93"/>
        <v>148.75000000000003</v>
      </c>
      <c r="AE360" s="24">
        <f t="shared" si="93"/>
        <v>158.66666666666663</v>
      </c>
      <c r="AF360" s="25">
        <f t="shared" si="93"/>
        <v>122.96666666666665</v>
      </c>
      <c r="AG360" s="25">
        <f t="shared" si="93"/>
        <v>138.83333333333334</v>
      </c>
      <c r="AH360" s="25">
        <f t="shared" si="93"/>
        <v>148.75000000000003</v>
      </c>
      <c r="AI360" s="26">
        <f t="shared" si="93"/>
        <v>113.05000000000001</v>
      </c>
      <c r="AJ360" s="26">
        <f t="shared" si="93"/>
        <v>128.91666666666666</v>
      </c>
      <c r="AK360" s="26">
        <f t="shared" si="89"/>
        <v>138.83333333333334</v>
      </c>
    </row>
    <row r="361" spans="4:37" ht="20.100000000000001" customHeight="1">
      <c r="D361" s="27">
        <f t="shared" si="88"/>
        <v>0.99444444444444147</v>
      </c>
      <c r="E361" s="16">
        <f>E362-(E$363/360)</f>
        <v>274.4666666666667</v>
      </c>
      <c r="F361" s="16">
        <f t="shared" si="92"/>
        <v>290.37777777777774</v>
      </c>
      <c r="G361" s="16">
        <f t="shared" si="92"/>
        <v>300.32222222222219</v>
      </c>
      <c r="H361" s="17">
        <f t="shared" si="92"/>
        <v>254.57777777777778</v>
      </c>
      <c r="I361" s="17">
        <f t="shared" si="92"/>
        <v>270.48888888888894</v>
      </c>
      <c r="J361" s="17">
        <f t="shared" si="92"/>
        <v>280.43333333333328</v>
      </c>
      <c r="K361" s="18">
        <f t="shared" si="92"/>
        <v>234.68888888888887</v>
      </c>
      <c r="L361" s="18">
        <f t="shared" si="92"/>
        <v>250.60000000000002</v>
      </c>
      <c r="M361" s="18">
        <f t="shared" si="92"/>
        <v>260.54444444444448</v>
      </c>
      <c r="N361" s="19">
        <f t="shared" si="92"/>
        <v>182.97777777777776</v>
      </c>
      <c r="O361" s="19">
        <f t="shared" si="92"/>
        <v>198.88888888888891</v>
      </c>
      <c r="P361" s="19">
        <f t="shared" si="92"/>
        <v>208.83333333333331</v>
      </c>
      <c r="Q361" s="20">
        <f t="shared" si="92"/>
        <v>173.03333333333336</v>
      </c>
      <c r="R361" s="20">
        <f t="shared" si="92"/>
        <v>188.94444444444446</v>
      </c>
      <c r="S361" s="20">
        <f t="shared" si="92"/>
        <v>198.88888888888891</v>
      </c>
      <c r="T361" s="21">
        <f t="shared" si="92"/>
        <v>163.0888888888889</v>
      </c>
      <c r="U361" s="21">
        <f t="shared" si="93"/>
        <v>179</v>
      </c>
      <c r="V361" s="21">
        <f t="shared" si="93"/>
        <v>188.94444444444446</v>
      </c>
      <c r="W361" s="22">
        <f t="shared" si="93"/>
        <v>153.14444444444445</v>
      </c>
      <c r="X361" s="22">
        <f t="shared" si="93"/>
        <v>169.05555555555554</v>
      </c>
      <c r="Y361" s="22">
        <f t="shared" si="93"/>
        <v>179</v>
      </c>
      <c r="Z361" s="23">
        <f t="shared" si="93"/>
        <v>143.19999999999999</v>
      </c>
      <c r="AA361" s="23">
        <f t="shared" si="93"/>
        <v>159.11111111111109</v>
      </c>
      <c r="AB361" s="23">
        <f t="shared" si="93"/>
        <v>169.05555555555554</v>
      </c>
      <c r="AC361" s="24">
        <f t="shared" si="93"/>
        <v>133.25555555555553</v>
      </c>
      <c r="AD361" s="24">
        <f t="shared" si="93"/>
        <v>149.16666666666669</v>
      </c>
      <c r="AE361" s="24">
        <f t="shared" si="93"/>
        <v>159.11111111111109</v>
      </c>
      <c r="AF361" s="25">
        <f t="shared" si="93"/>
        <v>123.3111111111111</v>
      </c>
      <c r="AG361" s="25">
        <f t="shared" si="93"/>
        <v>139.22222222222223</v>
      </c>
      <c r="AH361" s="25">
        <f t="shared" si="93"/>
        <v>149.16666666666669</v>
      </c>
      <c r="AI361" s="26">
        <f t="shared" si="93"/>
        <v>113.36666666666667</v>
      </c>
      <c r="AJ361" s="26">
        <f t="shared" si="93"/>
        <v>129.27777777777777</v>
      </c>
      <c r="AK361" s="26">
        <f t="shared" si="89"/>
        <v>139.22222222222223</v>
      </c>
    </row>
    <row r="362" spans="4:37" ht="20.100000000000001" customHeight="1">
      <c r="D362" s="27">
        <f t="shared" si="88"/>
        <v>0.99722222222221923</v>
      </c>
      <c r="E362" s="16">
        <f>E363-(E$363/360)</f>
        <v>275.23333333333335</v>
      </c>
      <c r="F362" s="16">
        <f t="shared" si="92"/>
        <v>291.18888888888887</v>
      </c>
      <c r="G362" s="16">
        <f t="shared" si="92"/>
        <v>301.1611111111111</v>
      </c>
      <c r="H362" s="17">
        <f t="shared" si="92"/>
        <v>255.28888888888889</v>
      </c>
      <c r="I362" s="17">
        <f t="shared" si="92"/>
        <v>271.24444444444447</v>
      </c>
      <c r="J362" s="17">
        <f t="shared" si="92"/>
        <v>281.21666666666664</v>
      </c>
      <c r="K362" s="18">
        <f t="shared" si="92"/>
        <v>235.34444444444443</v>
      </c>
      <c r="L362" s="18">
        <f t="shared" si="92"/>
        <v>251.3</v>
      </c>
      <c r="M362" s="18">
        <f t="shared" si="92"/>
        <v>261.27222222222224</v>
      </c>
      <c r="N362" s="19">
        <f t="shared" si="92"/>
        <v>183.48888888888888</v>
      </c>
      <c r="O362" s="19">
        <f t="shared" si="92"/>
        <v>199.44444444444446</v>
      </c>
      <c r="P362" s="19">
        <f t="shared" si="92"/>
        <v>209.41666666666666</v>
      </c>
      <c r="Q362" s="20">
        <f t="shared" si="92"/>
        <v>173.51666666666668</v>
      </c>
      <c r="R362" s="20">
        <f t="shared" si="92"/>
        <v>189.47222222222223</v>
      </c>
      <c r="S362" s="20">
        <f t="shared" si="92"/>
        <v>199.44444444444446</v>
      </c>
      <c r="T362" s="21">
        <f t="shared" si="92"/>
        <v>163.54444444444445</v>
      </c>
      <c r="U362" s="21">
        <f>U363-(U$363/360)</f>
        <v>179.5</v>
      </c>
      <c r="V362" s="21">
        <f>V363-(V$363/360)</f>
        <v>189.47222222222223</v>
      </c>
      <c r="W362" s="22">
        <f>W363-(W$363/360)</f>
        <v>153.57222222222222</v>
      </c>
      <c r="X362" s="22">
        <f t="shared" si="93"/>
        <v>169.52777777777777</v>
      </c>
      <c r="Y362" s="22">
        <f t="shared" si="93"/>
        <v>179.5</v>
      </c>
      <c r="Z362" s="23">
        <f t="shared" si="93"/>
        <v>143.6</v>
      </c>
      <c r="AA362" s="23">
        <f t="shared" si="93"/>
        <v>159.55555555555554</v>
      </c>
      <c r="AB362" s="23">
        <f t="shared" si="93"/>
        <v>169.52777777777777</v>
      </c>
      <c r="AC362" s="24">
        <f t="shared" si="93"/>
        <v>133.62777777777777</v>
      </c>
      <c r="AD362" s="24">
        <f t="shared" si="93"/>
        <v>149.58333333333334</v>
      </c>
      <c r="AE362" s="24">
        <f t="shared" si="93"/>
        <v>159.55555555555554</v>
      </c>
      <c r="AF362" s="25">
        <f t="shared" si="93"/>
        <v>123.65555555555555</v>
      </c>
      <c r="AG362" s="25">
        <f t="shared" si="93"/>
        <v>139.61111111111111</v>
      </c>
      <c r="AH362" s="25">
        <f t="shared" si="93"/>
        <v>149.58333333333334</v>
      </c>
      <c r="AI362" s="26">
        <f t="shared" si="93"/>
        <v>113.68333333333334</v>
      </c>
      <c r="AJ362" s="26">
        <f t="shared" si="93"/>
        <v>129.63888888888889</v>
      </c>
      <c r="AK362" s="26">
        <f t="shared" si="89"/>
        <v>139.61111111111111</v>
      </c>
    </row>
    <row r="363" spans="4:37" ht="20.100000000000001" customHeight="1">
      <c r="D363" s="27">
        <f t="shared" si="88"/>
        <v>0.999999999999997</v>
      </c>
      <c r="E363" s="79">
        <f>B1+B2</f>
        <v>276</v>
      </c>
      <c r="F363" s="79">
        <f>E363+10+B3</f>
        <v>292</v>
      </c>
      <c r="G363" s="79">
        <f>F363+10</f>
        <v>302</v>
      </c>
      <c r="H363" s="80">
        <f t="shared" ref="H363:M363" si="94">E363-20</f>
        <v>256</v>
      </c>
      <c r="I363" s="80">
        <f t="shared" si="94"/>
        <v>272</v>
      </c>
      <c r="J363" s="80">
        <f t="shared" si="94"/>
        <v>282</v>
      </c>
      <c r="K363" s="81">
        <f t="shared" si="94"/>
        <v>236</v>
      </c>
      <c r="L363" s="81">
        <f t="shared" si="94"/>
        <v>252</v>
      </c>
      <c r="M363" s="81">
        <f t="shared" si="94"/>
        <v>262</v>
      </c>
      <c r="N363" s="82">
        <f>180+B2</f>
        <v>184</v>
      </c>
      <c r="O363" s="82">
        <f>N363+B3+10</f>
        <v>200</v>
      </c>
      <c r="P363" s="82">
        <f>O363+10</f>
        <v>210</v>
      </c>
      <c r="Q363" s="83">
        <f>N363-10</f>
        <v>174</v>
      </c>
      <c r="R363" s="83">
        <f>O363-10</f>
        <v>190</v>
      </c>
      <c r="S363" s="83">
        <f>P363-10</f>
        <v>200</v>
      </c>
      <c r="T363" s="78">
        <f>Q363-10</f>
        <v>164</v>
      </c>
      <c r="U363" s="78">
        <f t="shared" ref="U363:AK363" si="95">R363-10</f>
        <v>180</v>
      </c>
      <c r="V363" s="78">
        <f t="shared" si="95"/>
        <v>190</v>
      </c>
      <c r="W363" s="73">
        <f t="shared" si="95"/>
        <v>154</v>
      </c>
      <c r="X363" s="73">
        <f t="shared" si="95"/>
        <v>170</v>
      </c>
      <c r="Y363" s="73">
        <f t="shared" si="95"/>
        <v>180</v>
      </c>
      <c r="Z363" s="74">
        <f t="shared" si="95"/>
        <v>144</v>
      </c>
      <c r="AA363" s="74">
        <f t="shared" si="95"/>
        <v>160</v>
      </c>
      <c r="AB363" s="74">
        <f t="shared" si="95"/>
        <v>170</v>
      </c>
      <c r="AC363" s="75">
        <f t="shared" si="95"/>
        <v>134</v>
      </c>
      <c r="AD363" s="75">
        <f t="shared" si="95"/>
        <v>150</v>
      </c>
      <c r="AE363" s="75">
        <f t="shared" si="95"/>
        <v>160</v>
      </c>
      <c r="AF363" s="76">
        <f t="shared" si="95"/>
        <v>124</v>
      </c>
      <c r="AG363" s="76">
        <f t="shared" si="95"/>
        <v>140</v>
      </c>
      <c r="AH363" s="76">
        <f t="shared" si="95"/>
        <v>150</v>
      </c>
      <c r="AI363" s="77">
        <f t="shared" si="95"/>
        <v>114</v>
      </c>
      <c r="AJ363" s="77">
        <f t="shared" si="95"/>
        <v>130</v>
      </c>
      <c r="AK363" s="77">
        <f t="shared" si="95"/>
        <v>140</v>
      </c>
    </row>
  </sheetData>
  <sheetProtection sheet="1" objects="1" scenarios="1" selectLockedCells="1" selectUnlockedCells="1"/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C3515-D5B3-474A-BD17-6EADCDB0F49F}">
  <dimension ref="A1:AC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29" ht="20.100000000000001" customHeight="1">
      <c r="A1" s="158" t="s">
        <v>79</v>
      </c>
      <c r="B1" s="148">
        <f>Index!B4</f>
        <v>236</v>
      </c>
      <c r="C1" s="179"/>
      <c r="D1" s="175"/>
      <c r="E1" s="175"/>
      <c r="F1" s="179"/>
      <c r="G1" s="213"/>
      <c r="H1" s="175"/>
      <c r="I1" s="175"/>
      <c r="J1" s="175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5"/>
      <c r="AB1" s="175"/>
      <c r="AC1" s="175"/>
    </row>
    <row r="2" spans="1:29" ht="20.100000000000001" customHeight="1">
      <c r="A2" s="158" t="s">
        <v>196</v>
      </c>
      <c r="B2" s="148">
        <f>Index!C4</f>
        <v>4</v>
      </c>
      <c r="C2" s="179"/>
      <c r="D2" s="175"/>
      <c r="E2" s="175"/>
      <c r="F2" s="179"/>
      <c r="G2" s="213"/>
      <c r="H2" s="175"/>
      <c r="I2" s="175"/>
      <c r="J2" s="175"/>
      <c r="K2" s="179"/>
      <c r="L2" s="179"/>
      <c r="M2" s="179"/>
      <c r="N2" s="179"/>
      <c r="O2" s="179"/>
      <c r="P2" s="179"/>
      <c r="Q2" s="179"/>
      <c r="R2" s="179"/>
      <c r="S2" s="179"/>
      <c r="T2" s="179"/>
      <c r="U2" s="179"/>
      <c r="V2" s="179"/>
      <c r="W2" s="179"/>
      <c r="X2" s="179"/>
      <c r="Y2" s="179"/>
      <c r="Z2" s="179"/>
      <c r="AA2" s="175"/>
      <c r="AB2" s="175"/>
      <c r="AC2" s="175"/>
    </row>
    <row r="3" spans="1:29" ht="20.100000000000001" customHeight="1">
      <c r="A3" s="174" t="s">
        <v>80</v>
      </c>
      <c r="B3" s="174">
        <f>Index!D4</f>
        <v>5</v>
      </c>
      <c r="C3" s="179"/>
      <c r="D3" s="175"/>
      <c r="E3" s="175"/>
      <c r="F3" s="179"/>
      <c r="G3" s="213"/>
      <c r="H3" s="175"/>
      <c r="I3" s="175"/>
      <c r="J3" s="175"/>
      <c r="K3" s="179"/>
      <c r="L3" s="179"/>
      <c r="M3" s="175"/>
      <c r="N3" s="661">
        <v>80</v>
      </c>
      <c r="O3" s="661"/>
      <c r="P3" s="661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5"/>
      <c r="AB3" s="175"/>
      <c r="AC3" s="175"/>
    </row>
    <row r="4" spans="1:29" ht="20.100000000000001" customHeight="1">
      <c r="A4" s="158" t="s">
        <v>197</v>
      </c>
      <c r="B4" s="148">
        <f>Index!E4</f>
        <v>50</v>
      </c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5"/>
      <c r="N4" s="242">
        <f>N6-O6</f>
        <v>-3.999999999996362E-2</v>
      </c>
      <c r="O4" s="242"/>
      <c r="P4" s="241">
        <f>N6-P6</f>
        <v>0.24000000000000909</v>
      </c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5"/>
      <c r="AB4" s="175"/>
      <c r="AC4" s="175"/>
    </row>
    <row r="5" spans="1:29" ht="20.100000000000001" customHeight="1">
      <c r="A5" s="158" t="s">
        <v>253</v>
      </c>
      <c r="B5" s="148">
        <f>IF(Index!G4&lt;&gt;0,Index!G4/4,Index!F4)</f>
        <v>3.6149999999999998</v>
      </c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233">
        <f>0*($B$6-0.85)*($B$6-0.7)/((1-0.85)*(1-0.7))+N4*($B$6-1)*($B$6-0.7)/((0.85-1)*(0.85-0.7))+P4*($B$6-1)*($B$6-0.85)/((0.7-1)*(0.7-0.85))++$B$1-(ABS($B$5/0.2/20))</f>
        <v>235.09625</v>
      </c>
      <c r="N5" s="223" t="s">
        <v>256</v>
      </c>
      <c r="O5" s="202" t="s">
        <v>255</v>
      </c>
      <c r="P5" s="202" t="s">
        <v>254</v>
      </c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5"/>
      <c r="AB5" s="175"/>
      <c r="AC5" s="175"/>
    </row>
    <row r="6" spans="1:29" ht="20.100000000000001" customHeight="1">
      <c r="A6" s="173" t="s">
        <v>198</v>
      </c>
      <c r="B6" s="173">
        <f>Index!H4</f>
        <v>1</v>
      </c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5"/>
      <c r="N6" s="222">
        <v>321.10000000000002</v>
      </c>
      <c r="O6" s="221">
        <v>321.14</v>
      </c>
      <c r="P6" s="221">
        <v>320.86</v>
      </c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5"/>
      <c r="AB6" s="175"/>
      <c r="AC6" s="175"/>
    </row>
    <row r="7" spans="1:29" ht="20.100000000000001" customHeight="1">
      <c r="A7" s="253" t="s">
        <v>252</v>
      </c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</row>
    <row r="8" spans="1:29" ht="20.100000000000001" customHeight="1">
      <c r="A8" s="179"/>
      <c r="B8" s="179"/>
      <c r="C8" s="179"/>
      <c r="D8" s="179"/>
      <c r="E8" s="239" t="s">
        <v>246</v>
      </c>
      <c r="F8" s="239" t="s">
        <v>245</v>
      </c>
      <c r="G8" s="239" t="s">
        <v>8</v>
      </c>
      <c r="H8" s="239" t="s">
        <v>244</v>
      </c>
      <c r="I8" s="239" t="s">
        <v>243</v>
      </c>
      <c r="J8" s="239" t="s">
        <v>242</v>
      </c>
      <c r="K8" s="179"/>
      <c r="L8" s="179"/>
      <c r="M8" s="196" t="s">
        <v>39</v>
      </c>
      <c r="N8" s="196" t="s">
        <v>258</v>
      </c>
      <c r="O8" s="179"/>
      <c r="P8" s="196" t="s">
        <v>257</v>
      </c>
      <c r="Q8" s="179"/>
      <c r="R8" s="179"/>
      <c r="S8" s="196" t="s">
        <v>249</v>
      </c>
      <c r="T8" s="175"/>
      <c r="U8" s="223" t="s">
        <v>5</v>
      </c>
      <c r="V8" s="223" t="s">
        <v>241</v>
      </c>
      <c r="W8" s="223" t="s">
        <v>240</v>
      </c>
      <c r="X8" s="223" t="s">
        <v>239</v>
      </c>
      <c r="Y8" s="179"/>
      <c r="Z8" s="179"/>
      <c r="AA8" s="175"/>
      <c r="AB8" s="175"/>
      <c r="AC8" s="175"/>
    </row>
    <row r="9" spans="1:29" ht="20.100000000000001" customHeight="1">
      <c r="A9" s="202" t="s">
        <v>238</v>
      </c>
      <c r="B9" s="240">
        <f>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</f>
        <v>34.201029943074573</v>
      </c>
      <c r="C9" s="251">
        <f>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</f>
        <v>35.957610171985799</v>
      </c>
      <c r="D9" s="150">
        <f>Index!$C$13</f>
        <v>1</v>
      </c>
      <c r="E9" s="250">
        <v>1</v>
      </c>
      <c r="F9" s="249">
        <f>Z15</f>
        <v>314.5412</v>
      </c>
      <c r="G9" s="248">
        <f>Z33</f>
        <v>7.0421570370370388</v>
      </c>
      <c r="H9" s="248">
        <f>Z21</f>
        <v>327.29079999999999</v>
      </c>
      <c r="I9" s="248">
        <f>Z27</f>
        <v>301.45400000000001</v>
      </c>
      <c r="J9" s="247">
        <f>M5</f>
        <v>235.09625</v>
      </c>
      <c r="K9" s="179"/>
      <c r="L9" s="179"/>
      <c r="M9" s="246">
        <v>100</v>
      </c>
      <c r="N9" s="246">
        <v>320.2</v>
      </c>
      <c r="O9" s="244">
        <f>P9*((M9-(100/360))-M10)*((M9-(100/360))-M11)/((M9-M10)*(M9-M11))+P10*((M9-(100/360))-M9)*((M9-(100/360))-M11)/((M10-M9)*(M10-M11))+P11*((M9-(100/360))-M9)*((M9-(100/360))-M10)/((M11-M9)*(M11-M10))</f>
        <v>320.56921296296298</v>
      </c>
      <c r="P9" s="179">
        <v>321.3</v>
      </c>
      <c r="Q9" s="245">
        <f>O9*($J10-P10)*($J10-P11)/((P9-P10)*(P9-P11))+O10*($J10-P9)*($J10-P11)/((P10-P9)*(P10-P11))+O11*($J10-P9)*($J10-P10)/((P11-P9)*(P11-P10))</f>
        <v>230.33041832200615</v>
      </c>
      <c r="R9" s="244">
        <f>N9*($J10-P10)*($J10-P11)/((P9-P10)*(P9-P11))+N10*($J10-P9)*($J10-P11)/((P10-P9)*(P10-P11))+N11*($J10-P9)*($J10-P10)/((P11-P9)*(P11-P10))</f>
        <v>230.40809153071632</v>
      </c>
      <c r="S9" s="243">
        <f>MOD(($B10/100)*-360,1)*-(($J10-Q9)/($J10-R9))+30</f>
        <v>29.208840632783954</v>
      </c>
      <c r="T9" s="175"/>
      <c r="U9" s="223">
        <v>100</v>
      </c>
      <c r="V9" s="223">
        <f>L9</f>
        <v>0</v>
      </c>
      <c r="W9" s="223">
        <v>320.2</v>
      </c>
      <c r="X9" s="223"/>
      <c r="Y9" s="179"/>
      <c r="Z9" s="179"/>
      <c r="AA9" s="175"/>
      <c r="AB9" s="175"/>
      <c r="AC9" s="175"/>
    </row>
    <row r="10" spans="1:29" ht="20.100000000000001" customHeight="1">
      <c r="A10" s="202" t="s">
        <v>5</v>
      </c>
      <c r="B10" s="240">
        <f>100*(J10-F10)*(J10-F11)/((F9-F10)*(F9-F11))+90*(J10-F9)*(J10-F11)/((F10-F9)*(F10-F11))+80*(J10-F9)*(J10-F10)/((F11-F9)*(F11-F10))</f>
        <v>69.801956000334627</v>
      </c>
      <c r="C10" s="239">
        <f>100*(J11-F10)*(J11-F11)/((F9-F10)*(F9-F11))+90*(J11-F9)*(J11-F11)/((F10-F9)*(F10-F11))+80*(J11-F9)*(J11-F10)/((F11-F9)*(F11-F10))</f>
        <v>72.735763292172734</v>
      </c>
      <c r="D10" s="179"/>
      <c r="E10" s="230">
        <v>0.9</v>
      </c>
      <c r="F10" s="238">
        <f>Z16</f>
        <v>287.49959999999999</v>
      </c>
      <c r="G10" s="237">
        <f>Z34</f>
        <v>6.588965925925927</v>
      </c>
      <c r="H10" s="237">
        <f>Z22</f>
        <v>300.14639999999997</v>
      </c>
      <c r="I10" s="237">
        <f>Z28</f>
        <v>273.92720000000003</v>
      </c>
      <c r="J10" s="236">
        <f>J9-((COS(RADIANS($B$4)))*$B$3*(ABS((F9-H9)*(J9-H10)*(J9-H11)/((H9-H10)*(H9-H11))+(F10-H10)*(J9-H9)*(J9-H11)/((H10-H9)*(H10-H11))+(F11-H11)*(J9-H9)*(J9-H10)/((H11-H9)*(H11-H10)))/9))</f>
        <v>231.11623834308534</v>
      </c>
      <c r="K10" s="179"/>
      <c r="L10" s="179"/>
      <c r="M10" s="235">
        <v>90</v>
      </c>
      <c r="N10" s="235">
        <v>293.60000000000002</v>
      </c>
      <c r="O10" s="179">
        <f>P9*((M10-(100/360))-M10)*((M10-(100/360))-M11)/((M9-M10)*(M9-M11))+P10*((M10-(100/360))-M9)*((M10-(100/360))-M11)/((M10-M9)*(M10-M11))+P11*((M10-(100/360))-M9)*((M10-(100/360))-M10)/((M11-M9)*(M11-M10))</f>
        <v>293.9525462962963</v>
      </c>
      <c r="P10" s="179">
        <v>294.7</v>
      </c>
      <c r="Q10" s="184">
        <f>O9*($J11-P10)*($J11-P11)/((P9-P10)*(P9-P11))+O10*($J11-P9)*($J11-P11)/((P10-P9)*(P10-P11))+O11*($J11-P9)*($J11-P10)/((P11-P9)*(P11-P10))</f>
        <v>238.68038350295933</v>
      </c>
      <c r="R10" s="182">
        <f>N9*($J11-P10)*($J11-P11)/((P9-P10)*(P9-P11))+N10*($J11-P9)*($J11-P11)/((P10-P9)*(P10-P11))+N11*($J11-P9)*($J11-P10)/((P11-P9)*(P11-P10))</f>
        <v>238.67021022009635</v>
      </c>
      <c r="S10" s="234">
        <f>MOD((C10/100)*-360,1)*-(($J11-Q10)/($J11-R10))+30</f>
        <v>29.85069296230628</v>
      </c>
      <c r="T10" s="175"/>
      <c r="U10" s="223">
        <v>90</v>
      </c>
      <c r="V10" s="223">
        <f>L10</f>
        <v>0</v>
      </c>
      <c r="W10" s="223">
        <v>293.60000000000002</v>
      </c>
      <c r="X10" s="223"/>
      <c r="Y10" s="179"/>
      <c r="Z10" s="179"/>
      <c r="AA10" s="175"/>
      <c r="AB10" s="175"/>
      <c r="AC10" s="175"/>
    </row>
    <row r="11" spans="1:29" ht="20.100000000000001" customHeight="1">
      <c r="A11" s="202" t="s">
        <v>237</v>
      </c>
      <c r="B11" s="232">
        <f>(360-ROUNDDOWN((1-(B10/100))*360,0))*B15/360</f>
        <v>204.4</v>
      </c>
      <c r="C11" s="231">
        <f>(360-ROUNDDOWN((1-(C10/100))*360,0))*C16/360</f>
        <v>212.51111111111112</v>
      </c>
      <c r="D11" s="179"/>
      <c r="E11" s="230">
        <v>0.8</v>
      </c>
      <c r="F11" s="229">
        <f>Z17</f>
        <v>259.892</v>
      </c>
      <c r="G11" s="228">
        <f>Z35</f>
        <v>6.0402251851851867</v>
      </c>
      <c r="H11" s="228">
        <f>Z23</f>
        <v>272.10880000000003</v>
      </c>
      <c r="I11" s="228">
        <f>Z29</f>
        <v>247.00200000000001</v>
      </c>
      <c r="J11" s="227">
        <f>J9+((COS(RADIANS($B$4)))*$B$3*(ABS((F9-I9)*(J9-I10)*(J9-I11)/((I9-I10)*(I9-I11))+(F10-I10)*(J9-I9)*(J9-I11)/((I10-I9)*(I10-I11))+(F11-I11)*(J9-I9)*(J9-I10)/((I11-I9)*(I11-I10)))/9))</f>
        <v>239.46128656223331</v>
      </c>
      <c r="K11" s="179"/>
      <c r="L11" s="179"/>
      <c r="M11" s="226">
        <v>80</v>
      </c>
      <c r="N11" s="225">
        <v>266.5</v>
      </c>
      <c r="O11" s="182">
        <f>P9*((M11-(100/360))-M10)*((M11-(100/360))-M11)/((M9-M10)*(M9-M11))+P10*((M11-(100/360))-M9)*((M11-(100/360))-M11)/((M10-M9)*(M10-M11))+P11*((M11-(100/360))-M9)*((M11-(100/360))-M10)/((M11-M9)*(M11-M10))</f>
        <v>266.73587962962966</v>
      </c>
      <c r="P11" s="224">
        <v>267.5</v>
      </c>
      <c r="Q11" s="179"/>
      <c r="R11" s="179"/>
      <c r="S11" s="196" t="s">
        <v>248</v>
      </c>
      <c r="T11" s="175"/>
      <c r="U11" s="223">
        <v>80</v>
      </c>
      <c r="V11" s="223">
        <f>L11</f>
        <v>0</v>
      </c>
      <c r="W11" s="223">
        <v>266.5</v>
      </c>
      <c r="X11" s="223"/>
      <c r="Y11" s="179"/>
      <c r="Z11" s="179"/>
      <c r="AA11" s="175"/>
      <c r="AB11" s="175"/>
      <c r="AC11" s="175"/>
    </row>
    <row r="12" spans="1:29" ht="20.100000000000001" customHeight="1">
      <c r="A12" s="202" t="s">
        <v>39</v>
      </c>
      <c r="B12" s="220">
        <f>S9</f>
        <v>29.208840632783954</v>
      </c>
      <c r="C12" s="219">
        <f>S10</f>
        <v>29.85069296230628</v>
      </c>
      <c r="D12" s="179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9"/>
      <c r="X12" s="179"/>
      <c r="Y12" s="179"/>
      <c r="Z12" s="179"/>
      <c r="AA12" s="175"/>
      <c r="AB12" s="175"/>
      <c r="AC12" s="175"/>
    </row>
    <row r="13" spans="1:29" ht="20.100000000000001" customHeight="1">
      <c r="A13" s="202" t="s">
        <v>195</v>
      </c>
      <c r="B13" s="220">
        <f>B9/4</f>
        <v>8.5502574857686433</v>
      </c>
      <c r="C13" s="219">
        <f>C9/4</f>
        <v>8.9894025429964497</v>
      </c>
      <c r="D13" s="179"/>
      <c r="E13" s="662" t="s">
        <v>236</v>
      </c>
      <c r="F13" s="662"/>
      <c r="G13" s="662"/>
      <c r="H13" s="662"/>
      <c r="I13" s="662"/>
      <c r="J13" s="662"/>
      <c r="K13" s="662"/>
      <c r="L13" s="662"/>
      <c r="M13" s="662"/>
      <c r="N13" s="662"/>
      <c r="O13" s="662"/>
      <c r="P13" s="662"/>
      <c r="Q13" s="662"/>
      <c r="R13" s="662"/>
      <c r="S13" s="662"/>
      <c r="T13" s="662"/>
      <c r="U13" s="662"/>
      <c r="V13" s="662"/>
      <c r="W13" s="179"/>
      <c r="X13" s="175"/>
      <c r="Y13" s="175"/>
      <c r="Z13" s="175"/>
      <c r="AA13" s="175"/>
      <c r="AB13" s="175"/>
      <c r="AC13" s="175"/>
    </row>
    <row r="14" spans="1:29" ht="20.100000000000001" customHeight="1">
      <c r="A14" s="179"/>
      <c r="B14" s="179"/>
      <c r="C14" s="179"/>
      <c r="D14" s="179"/>
      <c r="E14" s="257"/>
      <c r="F14" s="257"/>
      <c r="G14" s="257">
        <v>20</v>
      </c>
      <c r="H14" s="257">
        <v>17.5</v>
      </c>
      <c r="I14" s="257">
        <v>10</v>
      </c>
      <c r="J14" s="197">
        <v>7.5</v>
      </c>
      <c r="K14" s="197">
        <v>5</v>
      </c>
      <c r="L14" s="197">
        <v>1.5</v>
      </c>
      <c r="M14" s="197">
        <v>0</v>
      </c>
      <c r="N14" s="197">
        <v>-1</v>
      </c>
      <c r="O14" s="197">
        <v>-5</v>
      </c>
      <c r="P14" s="197">
        <v>-10</v>
      </c>
      <c r="Q14" s="197">
        <v>-20</v>
      </c>
      <c r="R14" s="257">
        <v>-30</v>
      </c>
      <c r="S14" s="257">
        <v>-40</v>
      </c>
      <c r="T14" s="257">
        <v>-50</v>
      </c>
      <c r="U14" s="257">
        <v>-60</v>
      </c>
      <c r="V14" s="257">
        <v>-70</v>
      </c>
      <c r="W14" s="202">
        <v>-75</v>
      </c>
      <c r="X14" s="257" t="s">
        <v>14</v>
      </c>
      <c r="Y14" s="257" t="s">
        <v>231</v>
      </c>
      <c r="Z14" s="202"/>
      <c r="AA14" s="175"/>
      <c r="AB14" s="175"/>
      <c r="AC14" s="175"/>
    </row>
    <row r="15" spans="1:29" ht="20.100000000000001" customHeight="1">
      <c r="A15" s="179"/>
      <c r="B15" s="657">
        <v>292</v>
      </c>
      <c r="C15" s="657"/>
      <c r="D15" s="179"/>
      <c r="E15" s="214"/>
      <c r="F15" s="179"/>
      <c r="G15" s="179"/>
      <c r="H15" s="179"/>
      <c r="I15" s="179"/>
      <c r="J15" s="175"/>
      <c r="K15" s="175"/>
      <c r="L15" s="175"/>
      <c r="M15" s="213"/>
      <c r="N15" s="213"/>
      <c r="O15" s="213"/>
      <c r="P15" s="213"/>
      <c r="Q15" s="213"/>
      <c r="R15" s="206"/>
      <c r="S15" s="206"/>
      <c r="T15" s="206"/>
      <c r="U15" s="206"/>
      <c r="V15" s="212"/>
      <c r="W15" s="179"/>
      <c r="X15" s="223">
        <f xml:space="preserve"> -0.0012*B2^4 + 0.0227*B2^3 - 0.1503*B2^2 - 1.3749*B2 + 321.3</f>
        <v>314.5412</v>
      </c>
      <c r="Y15" s="254">
        <f xml:space="preserve"> -5.1441378066952E-11*B2^6 - 2.04485361959134E-08*B2^5 - 3.29591193294013E-06*B2^4 - 0.000304694748054838*B2^3 - 0.021350352651952*B2^2 - 1.55095307846934*B2 + 321.319409644365</f>
        <v>314.75362632072114</v>
      </c>
      <c r="Z15" s="202">
        <f>IF($B$2&gt;0,X15,Y15)</f>
        <v>314.5412</v>
      </c>
      <c r="AA15" s="175"/>
      <c r="AB15" s="175"/>
      <c r="AC15" s="175"/>
    </row>
    <row r="16" spans="1:29" ht="20.100000000000001" customHeight="1">
      <c r="A16" s="179"/>
      <c r="B16" s="202">
        <v>100</v>
      </c>
      <c r="C16" s="202">
        <f>$B$15*B16/100</f>
        <v>292</v>
      </c>
      <c r="D16" s="179"/>
      <c r="E16" s="214"/>
      <c r="F16" s="179"/>
      <c r="G16" s="179"/>
      <c r="H16" s="179"/>
      <c r="I16" s="179"/>
      <c r="J16" s="175"/>
      <c r="K16" s="175"/>
      <c r="L16" s="175"/>
      <c r="M16" s="213"/>
      <c r="N16" s="213"/>
      <c r="O16" s="213"/>
      <c r="P16" s="213"/>
      <c r="Q16" s="213"/>
      <c r="R16" s="206"/>
      <c r="S16" s="206"/>
      <c r="T16" s="206"/>
      <c r="U16" s="206"/>
      <c r="V16" s="212"/>
      <c r="W16" s="179"/>
      <c r="X16" s="223">
        <f xml:space="preserve"> 0.0006*B2^4 - 0.0117*B2^3 + 0.0365*B2^2 - 1.7973*B2 + 294.7</f>
        <v>287.49959999999999</v>
      </c>
      <c r="Y16" s="254">
        <f xml:space="preserve"> 2.07134442410661E-10*B2^6 + 3.80932760769143E-08*B2^5 + 1.63119170487527E-06*B2^4 - 0.000122351492549331*B2^3 - 0.0195062500689442*B2^2 - 1.66155667077173*B2 + 294.726819869684</f>
        <v>287.76112013098464</v>
      </c>
      <c r="Z16" s="202">
        <f>IF($B$2&gt;0,X16,Y16)</f>
        <v>287.49959999999999</v>
      </c>
      <c r="AA16" s="175"/>
      <c r="AB16" s="175"/>
      <c r="AC16" s="175"/>
    </row>
    <row r="17" spans="1:29" ht="20.100000000000001" customHeight="1">
      <c r="A17" s="179"/>
      <c r="B17" s="202">
        <v>90</v>
      </c>
      <c r="C17" s="202">
        <f>$B$15*B17/100</f>
        <v>262.8</v>
      </c>
      <c r="D17" s="179"/>
      <c r="E17" s="211"/>
      <c r="F17" s="183"/>
      <c r="G17" s="183"/>
      <c r="H17" s="183"/>
      <c r="I17" s="183"/>
      <c r="J17" s="210"/>
      <c r="K17" s="210"/>
      <c r="L17" s="210"/>
      <c r="M17" s="209"/>
      <c r="N17" s="209"/>
      <c r="O17" s="209"/>
      <c r="P17" s="209"/>
      <c r="Q17" s="209"/>
      <c r="R17" s="208"/>
      <c r="S17" s="208"/>
      <c r="T17" s="208"/>
      <c r="U17" s="208"/>
      <c r="V17" s="207"/>
      <c r="W17" s="179"/>
      <c r="X17" s="223">
        <f xml:space="preserve"> -0.001*B2^4 + 0.0183*B2^3 - 0.1252*B2^2 - 1.63*B2 + 267.5</f>
        <v>259.892</v>
      </c>
      <c r="Y17" s="254">
        <f xml:space="preserve"> -4.91600510299506E-11*B2^6 - 1.4101149442558E-08*B2^5 - 2.15444984393021E-06*B2^4 - 0.000239891042123574*B2^3 - 0.021564701602428*B2^2 - 1.75596234830315*B2 + 267.528737489439</f>
        <v>260.143933663795</v>
      </c>
      <c r="Z17" s="202">
        <f>IF($B$2&gt;0,X17,Y17)</f>
        <v>259.892</v>
      </c>
      <c r="AA17" s="175"/>
      <c r="AB17" s="175"/>
      <c r="AC17" s="175"/>
    </row>
    <row r="18" spans="1:29" ht="20.100000000000001" customHeight="1">
      <c r="A18" s="179"/>
      <c r="B18" s="202">
        <v>80</v>
      </c>
      <c r="C18" s="202">
        <f>$B$15*B18/100</f>
        <v>233.6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5"/>
      <c r="AB18" s="175"/>
      <c r="AC18" s="175"/>
    </row>
    <row r="19" spans="1:29" ht="20.100000000000001" customHeight="1">
      <c r="A19" s="179"/>
      <c r="B19" s="175"/>
      <c r="C19" s="175"/>
      <c r="D19" s="179"/>
      <c r="E19" s="662" t="s">
        <v>235</v>
      </c>
      <c r="F19" s="662"/>
      <c r="G19" s="662"/>
      <c r="H19" s="662"/>
      <c r="I19" s="662"/>
      <c r="J19" s="662"/>
      <c r="K19" s="662"/>
      <c r="L19" s="662"/>
      <c r="M19" s="662"/>
      <c r="N19" s="662"/>
      <c r="O19" s="662"/>
      <c r="P19" s="662"/>
      <c r="Q19" s="662"/>
      <c r="R19" s="662"/>
      <c r="S19" s="662"/>
      <c r="T19" s="662"/>
      <c r="U19" s="662"/>
      <c r="V19" s="662"/>
      <c r="W19" s="179"/>
      <c r="X19" s="175"/>
      <c r="Y19" s="175"/>
      <c r="Z19" s="175"/>
      <c r="AA19" s="175"/>
      <c r="AB19" s="175"/>
      <c r="AC19" s="175"/>
    </row>
    <row r="20" spans="1:29" ht="20.100000000000001" customHeight="1">
      <c r="A20" s="179"/>
      <c r="B20" s="175"/>
      <c r="C20" s="175"/>
      <c r="D20" s="179"/>
      <c r="E20" s="257"/>
      <c r="F20" s="257"/>
      <c r="G20" s="257">
        <v>20</v>
      </c>
      <c r="H20" s="257">
        <v>17.5</v>
      </c>
      <c r="I20" s="257">
        <v>10</v>
      </c>
      <c r="J20" s="197">
        <v>7.5</v>
      </c>
      <c r="K20" s="257">
        <v>5</v>
      </c>
      <c r="L20" s="197">
        <v>1.5</v>
      </c>
      <c r="M20" s="257">
        <v>0</v>
      </c>
      <c r="N20" s="257">
        <v>-1</v>
      </c>
      <c r="O20" s="257">
        <v>-5</v>
      </c>
      <c r="P20" s="257">
        <v>-10</v>
      </c>
      <c r="Q20" s="257">
        <v>-20</v>
      </c>
      <c r="R20" s="257">
        <v>-30</v>
      </c>
      <c r="S20" s="257">
        <v>-40</v>
      </c>
      <c r="T20" s="257">
        <v>-50</v>
      </c>
      <c r="U20" s="257">
        <v>-60</v>
      </c>
      <c r="V20" s="257">
        <v>-70</v>
      </c>
      <c r="W20" s="202">
        <v>-75</v>
      </c>
      <c r="X20" s="257" t="s">
        <v>14</v>
      </c>
      <c r="Y20" s="257" t="s">
        <v>231</v>
      </c>
      <c r="Z20" s="202"/>
      <c r="AA20" s="175"/>
      <c r="AB20" s="175"/>
      <c r="AC20" s="175"/>
    </row>
    <row r="21" spans="1:29" ht="20.100000000000001" customHeight="1">
      <c r="A21" s="179"/>
      <c r="B21" s="175"/>
      <c r="C21" s="175"/>
      <c r="D21" s="179"/>
      <c r="E21" s="214"/>
      <c r="F21" s="179"/>
      <c r="G21" s="179"/>
      <c r="H21" s="179"/>
      <c r="I21" s="179"/>
      <c r="J21" s="179"/>
      <c r="K21" s="179"/>
      <c r="L21" s="179"/>
      <c r="M21" s="206"/>
      <c r="N21" s="206"/>
      <c r="O21" s="206"/>
      <c r="P21" s="206"/>
      <c r="Q21" s="206"/>
      <c r="R21" s="206"/>
      <c r="S21" s="206"/>
      <c r="T21" s="206"/>
      <c r="U21" s="206"/>
      <c r="V21" s="212"/>
      <c r="W21" s="179"/>
      <c r="X21" s="223">
        <f xml:space="preserve"> 0.0005*B2^4 - 0.0126*B2^3 + 0.0666*B2^2 - 1.8066*B2 + 334.13</f>
        <v>327.29079999999999</v>
      </c>
      <c r="Y21" s="254">
        <f xml:space="preserve"> -7.38281276391195E-11*B2^6 - 2.9939775249288E-08*B2^5 - 4.64371059040111E-06*B2^4 - 0.000395288458700779*B2^3 - 0.0246199191950811*B2^2 - 1.6441251596865*B2 + 333.839831136174</f>
        <v>326.8428935783088</v>
      </c>
      <c r="Z21" s="202">
        <f>IF($B$2&gt;0,X21,Y21)</f>
        <v>327.29079999999999</v>
      </c>
      <c r="AA21" s="175"/>
      <c r="AB21" s="175"/>
      <c r="AC21" s="175"/>
    </row>
    <row r="22" spans="1:29" ht="20.100000000000001" customHeight="1">
      <c r="A22" s="179"/>
      <c r="B22" s="175"/>
      <c r="C22" s="175"/>
      <c r="D22" s="179"/>
      <c r="E22" s="214"/>
      <c r="F22" s="179"/>
      <c r="G22" s="179"/>
      <c r="H22" s="179"/>
      <c r="I22" s="179"/>
      <c r="J22" s="179"/>
      <c r="K22" s="179"/>
      <c r="L22" s="179"/>
      <c r="M22" s="206"/>
      <c r="N22" s="206"/>
      <c r="O22" s="206"/>
      <c r="P22" s="206"/>
      <c r="Q22" s="206"/>
      <c r="R22" s="206"/>
      <c r="S22" s="206"/>
      <c r="T22" s="206"/>
      <c r="U22" s="206"/>
      <c r="V22" s="212"/>
      <c r="W22" s="179"/>
      <c r="X22" s="223">
        <f xml:space="preserve"> -0.0046*B2^4 + 0.1102*B2^3 - 0.9356*B2^2 + 1.1977*B2 + 304.45</f>
        <v>300.14639999999997</v>
      </c>
      <c r="Y22" s="254">
        <f xml:space="preserve"> -2.90750326679273E-09*B2^6 - 7.22068145943625E-07*B2^5 - 0.0000700053333311168*B2^4 - 0.00338660761479847*B2^3 - 0.0929297242373313*B2^2 - 2.42996617286072*B2 + 305.599688908413</f>
        <v>294.15753306957811</v>
      </c>
      <c r="Z22" s="202">
        <f>IF($B$2&gt;0,X22,Y22)</f>
        <v>300.14639999999997</v>
      </c>
      <c r="AA22" s="175"/>
      <c r="AB22" s="175"/>
      <c r="AC22" s="175"/>
    </row>
    <row r="23" spans="1:29" ht="20.100000000000001" customHeight="1">
      <c r="A23" s="179"/>
      <c r="B23" s="179"/>
      <c r="C23" s="179"/>
      <c r="D23" s="179"/>
      <c r="E23" s="211"/>
      <c r="F23" s="183"/>
      <c r="G23" s="183"/>
      <c r="H23" s="183"/>
      <c r="I23" s="183"/>
      <c r="J23" s="183"/>
      <c r="K23" s="183"/>
      <c r="L23" s="183"/>
      <c r="M23" s="208"/>
      <c r="N23" s="208"/>
      <c r="O23" s="208"/>
      <c r="P23" s="208"/>
      <c r="Q23" s="208"/>
      <c r="R23" s="208"/>
      <c r="S23" s="208"/>
      <c r="T23" s="208"/>
      <c r="U23" s="208"/>
      <c r="V23" s="207"/>
      <c r="W23" s="179"/>
      <c r="X23" s="223">
        <f xml:space="preserve"> -0.0009*B2^4 + 0.017*B2^3 - 0.1148*B2^2 - 1.783*B2 + 280.22</f>
        <v>272.10880000000003</v>
      </c>
      <c r="Y23" s="254">
        <f xml:space="preserve"> 3.68910276892648E-10*B2^6 + 7.27046122186645E-08*B2^5 + 4.47162977635198E-06*B2^4 - 0.0000175877109281335*B2^3 - 0.0189696937962855*B2^2 - 1.81453292931641*B2 + 280.225273404138</f>
        <v>272.66372167043454</v>
      </c>
      <c r="Z23" s="202">
        <f>IF($B$2&gt;0,X23,Y23)</f>
        <v>272.10880000000003</v>
      </c>
      <c r="AA23" s="175"/>
      <c r="AB23" s="175"/>
      <c r="AC23" s="175"/>
    </row>
    <row r="24" spans="1:29" ht="20.100000000000001" customHeight="1">
      <c r="A24" s="179"/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5"/>
      <c r="AB24" s="175"/>
      <c r="AC24" s="175"/>
    </row>
    <row r="25" spans="1:29" ht="20.100000000000001" customHeight="1">
      <c r="A25" s="179"/>
      <c r="B25" s="179"/>
      <c r="C25" s="179"/>
      <c r="D25" s="179"/>
      <c r="E25" s="662" t="s">
        <v>233</v>
      </c>
      <c r="F25" s="662"/>
      <c r="G25" s="662"/>
      <c r="H25" s="662"/>
      <c r="I25" s="662"/>
      <c r="J25" s="662"/>
      <c r="K25" s="662"/>
      <c r="L25" s="662"/>
      <c r="M25" s="662"/>
      <c r="N25" s="662"/>
      <c r="O25" s="662"/>
      <c r="P25" s="662"/>
      <c r="Q25" s="662"/>
      <c r="R25" s="662"/>
      <c r="S25" s="662"/>
      <c r="T25" s="662"/>
      <c r="U25" s="662"/>
      <c r="V25" s="662"/>
      <c r="W25" s="179"/>
      <c r="X25" s="175"/>
      <c r="Y25" s="175"/>
      <c r="Z25" s="175"/>
      <c r="AA25" s="175"/>
      <c r="AB25" s="175"/>
      <c r="AC25" s="175"/>
    </row>
    <row r="26" spans="1:29" ht="20.100000000000001" customHeight="1">
      <c r="A26" s="179"/>
      <c r="B26" s="179"/>
      <c r="C26" s="179"/>
      <c r="D26" s="179"/>
      <c r="E26" s="257"/>
      <c r="F26" s="257"/>
      <c r="G26" s="257">
        <v>20</v>
      </c>
      <c r="H26" s="257">
        <v>17.5</v>
      </c>
      <c r="I26" s="257">
        <v>10</v>
      </c>
      <c r="J26" s="197">
        <v>7.5</v>
      </c>
      <c r="K26" s="257">
        <v>5</v>
      </c>
      <c r="L26" s="197">
        <v>1.5</v>
      </c>
      <c r="M26" s="257">
        <v>0</v>
      </c>
      <c r="N26" s="257">
        <v>-1</v>
      </c>
      <c r="O26" s="257">
        <v>-5</v>
      </c>
      <c r="P26" s="257">
        <v>-10</v>
      </c>
      <c r="Q26" s="257">
        <v>-20</v>
      </c>
      <c r="R26" s="257">
        <v>-30</v>
      </c>
      <c r="S26" s="257">
        <v>-40</v>
      </c>
      <c r="T26" s="257">
        <v>-50</v>
      </c>
      <c r="U26" s="257">
        <v>-60</v>
      </c>
      <c r="V26" s="257">
        <v>-70</v>
      </c>
      <c r="W26" s="202">
        <v>-75</v>
      </c>
      <c r="X26" s="257" t="s">
        <v>14</v>
      </c>
      <c r="Y26" s="257" t="s">
        <v>231</v>
      </c>
      <c r="Z26" s="202"/>
      <c r="AA26" s="175"/>
      <c r="AB26" s="175"/>
      <c r="AC26" s="175"/>
    </row>
    <row r="27" spans="1:29" ht="20.100000000000001" customHeight="1">
      <c r="A27" s="179"/>
      <c r="B27" s="179"/>
      <c r="C27" s="179"/>
      <c r="D27" s="179"/>
      <c r="E27" s="214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256"/>
      <c r="W27" s="179"/>
      <c r="X27" s="223">
        <f xml:space="preserve"> -0.0001*B2^4 + 0.003*B2^3 - 0.0484*B2^2 - 1.427*B2 + 307.77</f>
        <v>301.45400000000001</v>
      </c>
      <c r="Y27" s="254">
        <f xml:space="preserve"> 8.85763099586073E-10*B2^6 + 1.95009475979606E-07*B2^5 + 0.0000153700559132664*B2^4 + 0.000445505347103534*B2^3 - 0.00739605422167189*B2^2 - 1.40847717459371*B2 + 307.812277698099</f>
        <v>302.09268252649491</v>
      </c>
      <c r="Z27" s="202">
        <f>IF($B$2&gt;0,X27,Y27)</f>
        <v>301.45400000000001</v>
      </c>
      <c r="AA27" s="175"/>
      <c r="AB27" s="175"/>
      <c r="AC27" s="175"/>
    </row>
    <row r="28" spans="1:29" ht="20.100000000000001" customHeight="1">
      <c r="A28" s="179"/>
      <c r="B28" s="179"/>
      <c r="C28" s="179"/>
      <c r="D28" s="179"/>
      <c r="E28" s="214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256"/>
      <c r="W28" s="179"/>
      <c r="X28" s="223">
        <f xml:space="preserve"> -0.0016*B2^4 + 0.0301*B2^3 - 0.1833*B2^2 - 1.4542*B2 + 281.16</f>
        <v>273.92720000000003</v>
      </c>
      <c r="Y28" s="254">
        <f xml:space="preserve"> 2.78860177570922E-10*B2^6 + 6.13418203584612E-08*B2^5 + 4.15146509388483E-06*B2^4 - 9.24225100892677E-06*B2^3 - 0.0173607330051897*B2^2 - 1.60094345298328*B2 + 281.080586323937</f>
        <v>274.3995760111556</v>
      </c>
      <c r="Z28" s="202">
        <f>IF($B$2&gt;0,X28,Y28)</f>
        <v>273.92720000000003</v>
      </c>
      <c r="AA28" s="175"/>
      <c r="AB28" s="175"/>
      <c r="AC28" s="175"/>
    </row>
    <row r="29" spans="1:29" ht="20.100000000000001" customHeight="1">
      <c r="A29" s="179"/>
      <c r="B29" s="179"/>
      <c r="C29" s="179"/>
      <c r="D29" s="179"/>
      <c r="E29" s="211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258"/>
      <c r="W29" s="179"/>
      <c r="X29" s="223">
        <f xml:space="preserve"> 0.001*B2^4 - 0.0194*B2^3 + 0.0913*B2^2 - 1.8833*B2 + 254.06</f>
        <v>247.00200000000001</v>
      </c>
      <c r="Y29" s="254">
        <f xml:space="preserve"> 3.78090490339711E-10*B2^6 + 1.03926808410829E-07*B2^5 + 0.000010434063330767*B2^4 + 0.000406648689488972*B2^3 - 0.00524052990502408*B2^2 - 1.53248376094694*B2 + 254.120349713291</f>
        <v>247.93537079707329</v>
      </c>
      <c r="Z29" s="202">
        <f>IF($B$2&gt;0,X29,Y29)</f>
        <v>247.00200000000001</v>
      </c>
      <c r="AA29" s="175"/>
      <c r="AB29" s="175"/>
      <c r="AC29" s="175"/>
    </row>
    <row r="30" spans="1:29" ht="20.100000000000001" customHeight="1">
      <c r="A30" s="179"/>
      <c r="B30" s="179"/>
      <c r="C30" s="179"/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5"/>
      <c r="Y30" s="175"/>
      <c r="Z30" s="175"/>
      <c r="AA30" s="175"/>
      <c r="AB30" s="175"/>
      <c r="AC30" s="175"/>
    </row>
    <row r="31" spans="1:29" ht="20.100000000000001" customHeight="1">
      <c r="A31" s="179"/>
      <c r="B31" s="179"/>
      <c r="C31" s="179"/>
      <c r="D31" s="179"/>
      <c r="E31" s="663" t="s">
        <v>232</v>
      </c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5"/>
      <c r="W31" s="179"/>
      <c r="X31" s="175"/>
      <c r="Y31" s="175"/>
      <c r="Z31" s="175"/>
      <c r="AA31" s="175"/>
      <c r="AB31" s="175"/>
      <c r="AC31" s="175"/>
    </row>
    <row r="32" spans="1:29" ht="20.100000000000001" customHeight="1">
      <c r="A32" s="179"/>
      <c r="B32" s="179"/>
      <c r="C32" s="179"/>
      <c r="D32" s="179"/>
      <c r="E32" s="218"/>
      <c r="F32" s="196"/>
      <c r="G32" s="196">
        <v>20</v>
      </c>
      <c r="H32" s="196">
        <v>17.5</v>
      </c>
      <c r="I32" s="196">
        <v>10</v>
      </c>
      <c r="J32" s="197">
        <v>7.5</v>
      </c>
      <c r="K32" s="196">
        <v>5</v>
      </c>
      <c r="L32" s="197">
        <v>1.5</v>
      </c>
      <c r="M32" s="196">
        <v>0</v>
      </c>
      <c r="N32" s="196">
        <v>-1</v>
      </c>
      <c r="O32" s="196">
        <v>-5</v>
      </c>
      <c r="P32" s="196">
        <v>-10</v>
      </c>
      <c r="Q32" s="196">
        <v>-20</v>
      </c>
      <c r="R32" s="196">
        <v>-30</v>
      </c>
      <c r="S32" s="196">
        <v>-40</v>
      </c>
      <c r="T32" s="196">
        <v>-50</v>
      </c>
      <c r="U32" s="196">
        <v>-60</v>
      </c>
      <c r="V32" s="217">
        <v>-70</v>
      </c>
      <c r="W32" s="202">
        <v>-75</v>
      </c>
      <c r="X32" s="257" t="s">
        <v>14</v>
      </c>
      <c r="Y32" s="257" t="s">
        <v>231</v>
      </c>
      <c r="Z32" s="202" t="s">
        <v>230</v>
      </c>
      <c r="AA32" s="175"/>
      <c r="AB32" s="175"/>
      <c r="AC32" s="175"/>
    </row>
    <row r="33" spans="1:29" ht="20.100000000000001" customHeight="1">
      <c r="A33" s="179"/>
      <c r="B33" s="179"/>
      <c r="C33" s="179"/>
      <c r="D33" s="179"/>
      <c r="E33" s="214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256"/>
      <c r="W33" s="179"/>
      <c r="X33" s="223">
        <f xml:space="preserve"> 0.0072*B2^4 - 0.13*B2^3 + 0.6901*B2^2 - 0.1003*B2 + 677</f>
        <v>681.16359999999997</v>
      </c>
      <c r="Y33" s="254">
        <f xml:space="preserve"> 1.4024846596572E-08*B2^6 + 3.35947303549411E-06*B2^5 + 0.000305403485919085*B2^4 + 0.0130368295112154*B2^3 + 0.262160026297358*B2^2 + 2.69860180964173*B2 + 676.824161308933</f>
        <v>692.72916689553074</v>
      </c>
      <c r="Z33" s="202">
        <f>ABS(((IF($B$2&gt;0,X33,Y33))-1600/2)/1.875/36)*4</f>
        <v>7.0421570370370388</v>
      </c>
      <c r="AA33" s="175"/>
      <c r="AB33" s="175"/>
      <c r="AC33" s="175"/>
    </row>
    <row r="34" spans="1:29" ht="20.100000000000001" customHeight="1">
      <c r="A34" s="175"/>
      <c r="B34" s="175"/>
      <c r="C34" s="175"/>
      <c r="D34" s="175"/>
      <c r="E34" s="214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256"/>
      <c r="W34" s="179"/>
      <c r="X34" s="223">
        <f xml:space="preserve"> 0.002*B2^4 - 0.039*B2^3 + 0.2804*B2^2 + 0.3272*B2 + 685</f>
        <v>688.81119999999999</v>
      </c>
      <c r="Y34" s="254">
        <f xml:space="preserve"> -2.27736153546321E-09*B2^6 - 5.39727680354263E-07*B2^5 - 0.0000482703409141333*B2^4 - 0.00197220662591574*B2^3 - 0.0299492265032544*B2^2 + 0.728316821291273*B2 + 684.927924068478</f>
        <v>687.22286328904079</v>
      </c>
      <c r="Z34" s="202">
        <f>ABS(((IF($B$2&gt;0,X34,Y34))-1600/2)/1.875/36)*4</f>
        <v>6.588965925925927</v>
      </c>
      <c r="AA34" s="175"/>
      <c r="AB34" s="175"/>
      <c r="AC34" s="175"/>
    </row>
    <row r="35" spans="1:29" ht="20.100000000000001" customHeight="1">
      <c r="A35" s="175"/>
      <c r="B35" s="175"/>
      <c r="C35" s="175"/>
      <c r="D35" s="175"/>
      <c r="E35" s="211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210"/>
      <c r="T35" s="210"/>
      <c r="U35" s="210"/>
      <c r="V35" s="255"/>
      <c r="W35" s="179"/>
      <c r="X35" s="223">
        <f xml:space="preserve"> 0.0028*B2^4 - 0.0419*B2^3 + 0.1364*B2^2 + 1.2134*B2 + 693</f>
        <v>698.07119999999998</v>
      </c>
      <c r="Y35" s="254">
        <f xml:space="preserve"> -2.57072840445516E-10*B2^6 - 6.19436272934759E-08*B2^5 - 5.24511210984492E-06*B2^4 - 0.000141856111855666*B2^3 + 0.00671244804838531*B2^2 + 1.06538449488903*B2 + 693.038770621438</f>
        <v>697.39722174666463</v>
      </c>
      <c r="Z35" s="202">
        <f>ABS(((IF($B$2&gt;0,X35,Y35))-1600/2)/1.875/36)*4</f>
        <v>6.0402251851851867</v>
      </c>
      <c r="AA35" s="175"/>
      <c r="AB35" s="175"/>
      <c r="AC35" s="175"/>
    </row>
    <row r="36" spans="1:29" ht="20.100000000000001" customHeight="1">
      <c r="A36" s="175"/>
      <c r="B36" s="175"/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9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</row>
    <row r="37" spans="1:29" ht="20.100000000000001" customHeight="1">
      <c r="A37" s="175"/>
      <c r="B37" s="175"/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9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</row>
    <row r="38" spans="1:29" ht="20.100000000000001" customHeight="1">
      <c r="A38" s="253" t="s">
        <v>247</v>
      </c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</row>
    <row r="39" spans="1:29" ht="20.100000000000001" customHeight="1">
      <c r="A39" s="179"/>
      <c r="B39" s="179"/>
      <c r="C39" s="179"/>
      <c r="D39" s="179"/>
      <c r="E39" s="239" t="s">
        <v>246</v>
      </c>
      <c r="F39" s="239" t="s">
        <v>245</v>
      </c>
      <c r="G39" s="239" t="s">
        <v>8</v>
      </c>
      <c r="H39" s="239" t="s">
        <v>244</v>
      </c>
      <c r="I39" s="239" t="s">
        <v>243</v>
      </c>
      <c r="J39" s="239" t="s">
        <v>242</v>
      </c>
      <c r="K39" s="179"/>
      <c r="L39" s="179"/>
      <c r="M39" s="196" t="s">
        <v>39</v>
      </c>
      <c r="N39" s="196" t="s">
        <v>258</v>
      </c>
      <c r="O39" s="179"/>
      <c r="P39" s="196" t="s">
        <v>257</v>
      </c>
      <c r="Q39" s="179"/>
      <c r="R39" s="179"/>
      <c r="S39" s="196" t="s">
        <v>249</v>
      </c>
      <c r="T39" s="175"/>
      <c r="U39" s="223" t="s">
        <v>5</v>
      </c>
      <c r="V39" s="223" t="s">
        <v>241</v>
      </c>
      <c r="W39" s="223" t="s">
        <v>240</v>
      </c>
      <c r="X39" s="223" t="s">
        <v>239</v>
      </c>
      <c r="Y39" s="179"/>
      <c r="Z39" s="175"/>
      <c r="AA39" s="666">
        <v>80</v>
      </c>
      <c r="AB39" s="667"/>
      <c r="AC39" s="668"/>
    </row>
    <row r="40" spans="1:29" ht="20.100000000000001" customHeight="1">
      <c r="A40" s="202" t="s">
        <v>238</v>
      </c>
      <c r="B40" s="240">
        <f>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</f>
        <v>36.969535786382579</v>
      </c>
      <c r="C40" s="251">
        <f>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</f>
        <v>38.918902358045237</v>
      </c>
      <c r="D40" s="150">
        <f>Index!$C$13</f>
        <v>1</v>
      </c>
      <c r="E40" s="250">
        <v>1</v>
      </c>
      <c r="F40" s="249">
        <f>Z46</f>
        <v>325.35760000000005</v>
      </c>
      <c r="G40" s="248">
        <f>Z64</f>
        <v>7.4581570370370365</v>
      </c>
      <c r="H40" s="248">
        <f>Z52</f>
        <v>338.12119999999999</v>
      </c>
      <c r="I40" s="248">
        <f>Z58</f>
        <v>312.18719999999996</v>
      </c>
      <c r="J40" s="247">
        <f>Z41</f>
        <v>235.09625</v>
      </c>
      <c r="K40" s="179"/>
      <c r="L40" s="179"/>
      <c r="M40" s="246">
        <v>100</v>
      </c>
      <c r="N40" s="246">
        <v>330.04</v>
      </c>
      <c r="O40" s="244">
        <f>P40*((M40-(100/360))-M41)*((M40-(100/360))-M42)/((M40-M41)*(M40-M42))+P41*((M40-(100/360))-M40)*((M40-(100/360))-M42)/((M41-M40)*(M41-M42))+P42*((M40-(100/360))-M40)*((M40-(100/360))-M41)/((M42-M40)*(M42-M41))</f>
        <v>330.75944058641977</v>
      </c>
      <c r="P40" s="179">
        <v>331.41</v>
      </c>
      <c r="Q40" s="245">
        <f>O40*($J41-P41)*($J41-P42)/((P40-P41)*(P40-P42))+O41*($J41-P40)*($J41-P42)/((P41-P40)*(P41-P42))+O42*($J41-P40)*($J41-P41)/((P42-P40)*(P42-P41))</f>
        <v>229.80824353705248</v>
      </c>
      <c r="R40" s="244">
        <f>N40*($J41-P41)*($J41-P42)/((P40-P41)*(P40-P42))+N41*($J41-P40)*($J41-P42)/((P41-P40)*(P41-P42))+N42*($J41-P40)*($J41-P41)/((P42-P40)*(P42-P41))</f>
        <v>230.97876579197623</v>
      </c>
      <c r="S40" s="243">
        <f>MOD(($B41/100)*-360,1)*-(($J41-Q40)/($J41-R40))+30</f>
        <v>32.363375244333497</v>
      </c>
      <c r="T40" s="175"/>
      <c r="U40" s="223">
        <v>100</v>
      </c>
      <c r="V40" s="223">
        <f>L40</f>
        <v>0</v>
      </c>
      <c r="W40" s="223">
        <v>331.41</v>
      </c>
      <c r="X40" s="223"/>
      <c r="Y40" s="179"/>
      <c r="Z40" s="175"/>
      <c r="AA40" s="242">
        <f>AA42-AB42</f>
        <v>7.9999999999984084E-2</v>
      </c>
      <c r="AB40" s="242"/>
      <c r="AC40" s="241">
        <f>AA42-AC42</f>
        <v>0.36000000000001364</v>
      </c>
    </row>
    <row r="41" spans="1:29" ht="20.100000000000001" customHeight="1">
      <c r="A41" s="202" t="s">
        <v>5</v>
      </c>
      <c r="B41" s="240">
        <f>100*(J41-F41)*(J41-F42)/((F40-F41)*(F40-F42))+90*(J41-F40)*(J41-F42)/((F41-F40)*(F41-F42))+80*(J41-F40)*(J41-F41)/((F42-F40)*(F42-F41))</f>
        <v>68.462625054084185</v>
      </c>
      <c r="C41" s="239">
        <f>100*(J42-F41)*(J42-F42)/((F40-F41)*(F40-F42))+90*(J42-F40)*(J42-F42)/((F41-F40)*(F41-F42))+80*(J42-F40)*(J42-F41)/((F42-F40)*(F42-F41))</f>
        <v>70.842680626721716</v>
      </c>
      <c r="D41" s="179"/>
      <c r="E41" s="230">
        <v>0.9</v>
      </c>
      <c r="F41" s="238">
        <f>Z47</f>
        <v>300.16360000000003</v>
      </c>
      <c r="G41" s="237">
        <f>Z65</f>
        <v>6.9964800000000018</v>
      </c>
      <c r="H41" s="237">
        <f>Z53</f>
        <v>312.79240000000004</v>
      </c>
      <c r="I41" s="237">
        <f>Z59</f>
        <v>286.64359999999999</v>
      </c>
      <c r="J41" s="236">
        <f>J40-((COS(RADIANS($B$4)))*$B$3*(ABS((F40-H40)*(J40-H41)*(J40-H42)/((H40-H41)*(H40-H42))+(F41-H41)*(J40-H40)*(J40-H42)/((H41-H40)*(H41-H42))+(F42-H42)*(J40-H40)*(J40-H41)/((H42-H40)*(H42-H41)))/9))</f>
        <v>230.76285184225381</v>
      </c>
      <c r="K41" s="179"/>
      <c r="L41" s="179"/>
      <c r="M41" s="235">
        <v>90</v>
      </c>
      <c r="N41" s="235">
        <v>305.02999999999997</v>
      </c>
      <c r="O41" s="179">
        <f>P40*((M41-(100/360))-M41)*((M41-(100/360))-M42)/((M40-M41)*(M40-M42))+P41*((M41-(100/360))-M40)*((M41-(100/360))-M42)/((M41-M40)*(M41-M42))+P42*((M41-(100/360))-M40)*((M41-(100/360))-M41)/((M42-M40)*(M42-M41))</f>
        <v>305.669162808642</v>
      </c>
      <c r="P41" s="179">
        <v>306.41000000000003</v>
      </c>
      <c r="Q41" s="184">
        <f>O40*($J42-P41)*($J42-P42)/((P40-P41)*(P40-P42))+O41*($J42-P40)*($J42-P42)/((P41-P40)*(P41-P42))+O42*($J42-P40)*($J42-P41)/((P42-P40)*(P42-P41))</f>
        <v>239.15087908355724</v>
      </c>
      <c r="R41" s="182">
        <f>N40*($J42-P41)*($J42-P42)/((P40-P41)*(P40-P42))+N41*($J42-P40)*($J42-P42)/((P41-P40)*(P41-P42))+N42*($J42-P40)*($J42-P41)/((P42-P40)*(P42-P41))</f>
        <v>239.97119230076112</v>
      </c>
      <c r="S41" s="234">
        <f>MOD((C41/100)*-360,1)*-(($J42-Q41)/($J42-R41))+30</f>
        <v>22.004700206749796</v>
      </c>
      <c r="T41" s="175"/>
      <c r="U41" s="223">
        <v>90</v>
      </c>
      <c r="V41" s="223">
        <f>L41</f>
        <v>0</v>
      </c>
      <c r="W41" s="223">
        <v>306.41000000000003</v>
      </c>
      <c r="X41" s="223"/>
      <c r="Y41" s="179"/>
      <c r="Z41" s="233">
        <f>0*($B$6-0.85)*($B$6-0.7)/((1-0.85)*(1-0.7))+AA40*($B$6-1)*($B$6-0.7)/((0.85-1)*(0.85-0.7))+AC40*($B$6-1)*($B$6-0.85)/((0.7-1)*(0.7-0.85))++$B$1-(ABS($B$5/0.2/20))</f>
        <v>235.09625</v>
      </c>
      <c r="AA41" s="223" t="s">
        <v>256</v>
      </c>
      <c r="AB41" s="202" t="s">
        <v>255</v>
      </c>
      <c r="AC41" s="202" t="s">
        <v>254</v>
      </c>
    </row>
    <row r="42" spans="1:29" ht="20.100000000000001" customHeight="1">
      <c r="A42" s="202" t="s">
        <v>237</v>
      </c>
      <c r="B42" s="232">
        <f>(360-ROUNDDOWN((1-(B41/100))*360,0))*B46/360</f>
        <v>207.20555555555555</v>
      </c>
      <c r="C42" s="231">
        <f>(360-ROUNDDOWN((1-(C41/100))*360,0))*C47/360</f>
        <v>214.75555555555556</v>
      </c>
      <c r="D42" s="179"/>
      <c r="E42" s="230">
        <v>0.8</v>
      </c>
      <c r="F42" s="229">
        <f>Z48</f>
        <v>271.38824</v>
      </c>
      <c r="G42" s="228">
        <f>Z66</f>
        <v>6.5134222222222213</v>
      </c>
      <c r="H42" s="228">
        <f>Z54</f>
        <v>283.84719999999999</v>
      </c>
      <c r="I42" s="228">
        <f>Z60</f>
        <v>257.5736</v>
      </c>
      <c r="J42" s="227">
        <f>J40+((COS(RADIANS($B$4)))*$B$3*(ABS((F40-I40)*(J40-I41)*(J40-I42)/((I40-I41)*(I40-I42))+(F41-I41)*(J40-I40)*(J40-I42)/((I41-I40)*(I41-I42))+(F42-I42)*(J40-I40)*(J40-I41)/((I42-I40)*(I42-I41)))/9))</f>
        <v>240.08397009285034</v>
      </c>
      <c r="K42" s="179"/>
      <c r="L42" s="179"/>
      <c r="M42" s="226">
        <v>80</v>
      </c>
      <c r="N42" s="225">
        <v>277.08999999999997</v>
      </c>
      <c r="O42" s="182">
        <f>P40*((M42-(100/360))-M41)*((M42-(100/360))-M42)/((M40-M41)*(M40-M42))+P41*((M42-(100/360))-M40)*((M42-(100/360))-M42)/((M41-M40)*(M41-M42))+P42*((M42-(100/360))-M40)*((M42-(100/360))-M41)/((M42-M40)*(M42-M41))</f>
        <v>277.32888503086423</v>
      </c>
      <c r="P42" s="224">
        <v>278.16000000000003</v>
      </c>
      <c r="Q42" s="179"/>
      <c r="R42" s="179"/>
      <c r="S42" s="196" t="s">
        <v>248</v>
      </c>
      <c r="T42" s="175"/>
      <c r="U42" s="223">
        <v>80</v>
      </c>
      <c r="V42" s="223">
        <f>L42</f>
        <v>0</v>
      </c>
      <c r="W42" s="223">
        <v>278.16000000000003</v>
      </c>
      <c r="X42" s="223"/>
      <c r="Y42" s="179"/>
      <c r="Z42" s="175"/>
      <c r="AA42" s="222">
        <v>331.24</v>
      </c>
      <c r="AB42" s="221">
        <v>331.16</v>
      </c>
      <c r="AC42" s="221">
        <v>330.88</v>
      </c>
    </row>
    <row r="43" spans="1:29" ht="20.100000000000001" customHeight="1">
      <c r="A43" s="202" t="s">
        <v>39</v>
      </c>
      <c r="B43" s="220">
        <f>S40</f>
        <v>32.363375244333497</v>
      </c>
      <c r="C43" s="219">
        <f>S41</f>
        <v>22.004700206749796</v>
      </c>
      <c r="D43" s="179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9"/>
      <c r="X43" s="179"/>
      <c r="Y43" s="179"/>
      <c r="Z43" s="179"/>
      <c r="AA43" s="175"/>
    </row>
    <row r="44" spans="1:29" ht="20.100000000000001" customHeight="1">
      <c r="A44" s="202" t="s">
        <v>195</v>
      </c>
      <c r="B44" s="220">
        <f>B40/4</f>
        <v>9.2423839465956448</v>
      </c>
      <c r="C44" s="219">
        <f>C40/4</f>
        <v>9.7297255895113093</v>
      </c>
      <c r="D44" s="179"/>
      <c r="E44" s="663" t="s">
        <v>236</v>
      </c>
      <c r="F44" s="664"/>
      <c r="G44" s="664"/>
      <c r="H44" s="664"/>
      <c r="I44" s="664"/>
      <c r="J44" s="664"/>
      <c r="K44" s="664"/>
      <c r="L44" s="664"/>
      <c r="M44" s="664"/>
      <c r="N44" s="664"/>
      <c r="O44" s="664"/>
      <c r="P44" s="664"/>
      <c r="Q44" s="664"/>
      <c r="R44" s="664"/>
      <c r="S44" s="664"/>
      <c r="T44" s="664"/>
      <c r="U44" s="664"/>
      <c r="V44" s="665"/>
      <c r="W44" s="179"/>
      <c r="X44" s="175"/>
      <c r="Y44" s="175"/>
      <c r="Z44" s="175"/>
      <c r="AA44" s="175"/>
    </row>
    <row r="45" spans="1:29" ht="20.100000000000001" customHeight="1">
      <c r="A45" s="179"/>
      <c r="B45" s="179"/>
      <c r="C45" s="179"/>
      <c r="D45" s="179"/>
      <c r="E45" s="218"/>
      <c r="F45" s="196"/>
      <c r="G45" s="196"/>
      <c r="H45" s="196"/>
      <c r="I45" s="196">
        <v>10</v>
      </c>
      <c r="J45" s="197">
        <v>7.5</v>
      </c>
      <c r="K45" s="196">
        <v>5</v>
      </c>
      <c r="L45" s="197">
        <v>1.5</v>
      </c>
      <c r="M45" s="197">
        <v>0</v>
      </c>
      <c r="N45" s="197">
        <v>-1</v>
      </c>
      <c r="O45" s="197">
        <v>-5</v>
      </c>
      <c r="P45" s="197">
        <v>-10</v>
      </c>
      <c r="Q45" s="197">
        <v>-20</v>
      </c>
      <c r="R45" s="196">
        <v>-30</v>
      </c>
      <c r="S45" s="196">
        <v>-40</v>
      </c>
      <c r="T45" s="196">
        <v>-50</v>
      </c>
      <c r="U45" s="196">
        <v>-60</v>
      </c>
      <c r="V45" s="217">
        <v>-70</v>
      </c>
      <c r="W45" s="202">
        <v>-75</v>
      </c>
      <c r="X45" s="201" t="s">
        <v>14</v>
      </c>
      <c r="Y45" s="200" t="s">
        <v>231</v>
      </c>
      <c r="Z45" s="199"/>
      <c r="AA45" s="175"/>
    </row>
    <row r="46" spans="1:29" ht="20.100000000000001" customHeight="1">
      <c r="A46" s="179"/>
      <c r="B46" s="657">
        <v>302</v>
      </c>
      <c r="C46" s="657"/>
      <c r="D46" s="179"/>
      <c r="E46" s="214"/>
      <c r="F46" s="179"/>
      <c r="G46" s="179"/>
      <c r="H46" s="179"/>
      <c r="I46" s="179"/>
      <c r="J46" s="216"/>
      <c r="K46" s="175"/>
      <c r="L46" s="216"/>
      <c r="M46" s="215"/>
      <c r="N46" s="215"/>
      <c r="O46" s="215"/>
      <c r="P46" s="215"/>
      <c r="Q46" s="215"/>
      <c r="R46" s="206"/>
      <c r="S46" s="206"/>
      <c r="T46" s="206"/>
      <c r="U46" s="206"/>
      <c r="V46" s="212"/>
      <c r="W46" s="179"/>
      <c r="X46" s="187">
        <f xml:space="preserve"> -0.0016*B2^4 + 0.0286*B2^3 - 0.1691*B2^2 - 1.1919*B2 + 331.41</f>
        <v>325.35760000000005</v>
      </c>
      <c r="Y46" s="186">
        <f xml:space="preserve"> 9.74533171174685E-11*B2^6 + 1.84704550976883E-08*B2^5 + 7.3858496976633E-07*B2^4 - 0.0000904627425779327*B2^3 - 0.0143846296796925*B2^2 - 1.33582921725277*B2 + 331.421668647515</f>
        <v>325.84261647877094</v>
      </c>
      <c r="Z46" s="185">
        <f>IF($B$2&gt;0,X46,Y46)</f>
        <v>325.35760000000005</v>
      </c>
      <c r="AA46" s="175"/>
    </row>
    <row r="47" spans="1:29" ht="20.100000000000001" customHeight="1">
      <c r="A47" s="179"/>
      <c r="B47" s="202">
        <v>100</v>
      </c>
      <c r="C47" s="202">
        <f>$B$46*B47/100</f>
        <v>302</v>
      </c>
      <c r="D47" s="179"/>
      <c r="E47" s="214"/>
      <c r="F47" s="179"/>
      <c r="G47" s="179"/>
      <c r="H47" s="179"/>
      <c r="I47" s="179"/>
      <c r="J47" s="175"/>
      <c r="K47" s="175"/>
      <c r="L47" s="175"/>
      <c r="M47" s="213"/>
      <c r="N47" s="213"/>
      <c r="O47" s="213"/>
      <c r="P47" s="213"/>
      <c r="Q47" s="213"/>
      <c r="R47" s="206"/>
      <c r="S47" s="206"/>
      <c r="T47" s="206"/>
      <c r="U47" s="206"/>
      <c r="V47" s="212"/>
      <c r="W47" s="179"/>
      <c r="X47" s="187">
        <f xml:space="preserve"> 0.0014*B2^4 - 0.0267*B2^3 + 0.1256*B2^2 - 1.7264*B2 + 306.41</f>
        <v>300.16360000000003</v>
      </c>
      <c r="Y47" s="186">
        <f xml:space="preserve"> -5.12039537072656E-10*B2^6 - 1.28089550801951E-07*B2^5 - 0.0000126913950802715*B2^4 - 0.000674901445794346*B2^3 - 0.0271549239033396*B2^2 - 1.534044062146*B2 + 306.353004752006</f>
        <v>299.73577377028317</v>
      </c>
      <c r="Z47" s="185">
        <f>IF($B$2&gt;0,X47,Y47)</f>
        <v>300.16360000000003</v>
      </c>
      <c r="AA47" s="175"/>
      <c r="AB47" s="175"/>
      <c r="AC47" s="175"/>
    </row>
    <row r="48" spans="1:29" ht="20.100000000000001" customHeight="1">
      <c r="A48" s="179"/>
      <c r="B48" s="202">
        <v>90</v>
      </c>
      <c r="C48" s="202">
        <f>$B$46*B48/100</f>
        <v>271.8</v>
      </c>
      <c r="D48" s="179"/>
      <c r="E48" s="211"/>
      <c r="F48" s="183"/>
      <c r="G48" s="183"/>
      <c r="H48" s="183"/>
      <c r="I48" s="183"/>
      <c r="J48" s="210"/>
      <c r="K48" s="210"/>
      <c r="L48" s="210"/>
      <c r="M48" s="209"/>
      <c r="N48" s="209"/>
      <c r="O48" s="209"/>
      <c r="P48" s="209"/>
      <c r="Q48" s="209"/>
      <c r="R48" s="208"/>
      <c r="S48" s="208"/>
      <c r="T48" s="208"/>
      <c r="U48" s="208"/>
      <c r="V48" s="207"/>
      <c r="W48" s="179"/>
      <c r="X48" s="178">
        <f xml:space="preserve"> 0.00004*B2^4 + 0.0001*B2^3 - 0.0387*B2^2 - 1.5423*B2 + 278.16</f>
        <v>271.38824</v>
      </c>
      <c r="Y48" s="177">
        <f xml:space="preserve"> -2.55661786012495E-10*B2^6 - 5.55516712404808E-08*B2^5 - 5.18008377835711E-06*B2^4 - 0.000334452420447318*B2^3 - 0.0218239386533528*B2^2 - 1.62518559080164*B2 + 278.117986795908</f>
        <v>271.24527242578989</v>
      </c>
      <c r="Z48" s="176">
        <f>IF($B$2&gt;0,X48,Y48)</f>
        <v>271.38824</v>
      </c>
      <c r="AA48" s="175"/>
      <c r="AB48" s="175"/>
      <c r="AC48" s="175"/>
    </row>
    <row r="49" spans="1:29" ht="20.100000000000001" customHeight="1">
      <c r="A49" s="179"/>
      <c r="B49" s="202">
        <v>80</v>
      </c>
      <c r="C49" s="202">
        <f>$B$46*B49/100</f>
        <v>241.6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5"/>
      <c r="AB49" s="175"/>
      <c r="AC49" s="175"/>
    </row>
    <row r="50" spans="1:29" ht="20.100000000000001" customHeight="1">
      <c r="A50" s="179"/>
      <c r="B50" s="175"/>
      <c r="C50" s="175"/>
      <c r="D50" s="179"/>
      <c r="E50" s="658" t="s">
        <v>235</v>
      </c>
      <c r="F50" s="659"/>
      <c r="G50" s="659"/>
      <c r="H50" s="659"/>
      <c r="I50" s="659"/>
      <c r="J50" s="659"/>
      <c r="K50" s="659"/>
      <c r="L50" s="659"/>
      <c r="M50" s="659"/>
      <c r="N50" s="659"/>
      <c r="O50" s="659"/>
      <c r="P50" s="659"/>
      <c r="Q50" s="659"/>
      <c r="R50" s="659"/>
      <c r="S50" s="659"/>
      <c r="T50" s="659"/>
      <c r="U50" s="659"/>
      <c r="V50" s="660"/>
      <c r="W50" s="179"/>
      <c r="X50" s="175"/>
      <c r="Y50" s="175"/>
      <c r="Z50" s="175"/>
      <c r="AA50" s="175"/>
      <c r="AB50" s="175"/>
      <c r="AC50" s="175"/>
    </row>
    <row r="51" spans="1:29" ht="20.100000000000001" customHeight="1">
      <c r="A51" s="179"/>
      <c r="B51" s="175"/>
      <c r="C51" s="175"/>
      <c r="D51" s="179"/>
      <c r="E51" s="196"/>
      <c r="F51" s="196"/>
      <c r="G51" s="196"/>
      <c r="H51" s="196"/>
      <c r="I51" s="196">
        <v>10</v>
      </c>
      <c r="J51" s="197">
        <v>7.5</v>
      </c>
      <c r="K51" s="196">
        <v>5</v>
      </c>
      <c r="L51" s="197">
        <v>1.5</v>
      </c>
      <c r="M51" s="196">
        <v>0</v>
      </c>
      <c r="N51" s="196">
        <v>-1</v>
      </c>
      <c r="O51" s="196">
        <v>-5</v>
      </c>
      <c r="P51" s="196">
        <v>-10</v>
      </c>
      <c r="Q51" s="196">
        <v>-20</v>
      </c>
      <c r="R51" s="196">
        <v>-30</v>
      </c>
      <c r="S51" s="196">
        <v>-40</v>
      </c>
      <c r="T51" s="196">
        <v>-50</v>
      </c>
      <c r="U51" s="196">
        <v>-60</v>
      </c>
      <c r="V51" s="196">
        <v>-70</v>
      </c>
      <c r="W51" s="202">
        <v>-75</v>
      </c>
      <c r="X51" s="201" t="s">
        <v>14</v>
      </c>
      <c r="Y51" s="200" t="s">
        <v>231</v>
      </c>
      <c r="Z51" s="199"/>
      <c r="AA51" s="175"/>
      <c r="AB51" s="175"/>
      <c r="AC51" s="175"/>
    </row>
    <row r="52" spans="1:29" ht="20.100000000000001" customHeight="1">
      <c r="A52" s="179"/>
      <c r="B52" s="175"/>
      <c r="C52" s="175"/>
      <c r="D52" s="179"/>
      <c r="E52" s="189"/>
      <c r="F52" s="179"/>
      <c r="G52" s="179"/>
      <c r="H52" s="179"/>
      <c r="I52" s="179"/>
      <c r="J52" s="179"/>
      <c r="K52" s="179"/>
      <c r="L52" s="179"/>
      <c r="M52" s="206"/>
      <c r="N52" s="206"/>
      <c r="O52" s="206"/>
      <c r="P52" s="206"/>
      <c r="Q52" s="206"/>
      <c r="R52" s="206"/>
      <c r="S52" s="206"/>
      <c r="T52" s="206"/>
      <c r="U52" s="206"/>
      <c r="V52" s="205"/>
      <c r="W52" s="179"/>
      <c r="X52" s="187">
        <f xml:space="preserve"> 0.0003*B2^4 - 0.0058*B2^3 + 0.0253*B2^2 - 1.5723*B2 + 344.3</f>
        <v>338.12119999999999</v>
      </c>
      <c r="Y52" s="186">
        <f xml:space="preserve"> 2.91945173765129E-10*B2^6 + 5.54420407587047E-08*B2^5 + 3.09758724105057E-06*B2^4 - 0.0000396514768609586*B2^3 - 0.0147891688828007*B2^2 - 1.39472283615606*B2 + 344.266209917667</f>
        <v>338.44900512718976</v>
      </c>
      <c r="Z52" s="185">
        <f>IF($B$2&gt;0,X52,Y52)</f>
        <v>338.12119999999999</v>
      </c>
      <c r="AA52" s="175"/>
      <c r="AB52" s="175"/>
      <c r="AC52" s="175"/>
    </row>
    <row r="53" spans="1:29" ht="20.100000000000001" customHeight="1">
      <c r="A53" s="179"/>
      <c r="B53" s="175"/>
      <c r="C53" s="175"/>
      <c r="D53" s="179"/>
      <c r="E53" s="189"/>
      <c r="F53" s="179"/>
      <c r="G53" s="179"/>
      <c r="H53" s="179"/>
      <c r="I53" s="179"/>
      <c r="J53" s="179"/>
      <c r="K53" s="179"/>
      <c r="L53" s="179"/>
      <c r="M53" s="206"/>
      <c r="N53" s="206"/>
      <c r="O53" s="206"/>
      <c r="P53" s="206"/>
      <c r="Q53" s="206"/>
      <c r="R53" s="206"/>
      <c r="S53" s="206"/>
      <c r="T53" s="206"/>
      <c r="U53" s="206"/>
      <c r="V53" s="205"/>
      <c r="W53" s="179"/>
      <c r="X53" s="187">
        <f xml:space="preserve"> -0.0001*B2^4 + 0.0034*B2^3 - 0.0504*B2^2 - 1.5183*B2 + 319.48</f>
        <v>312.79240000000004</v>
      </c>
      <c r="Y53" s="186">
        <f xml:space="preserve"> -3.21563472030495E-10*B2^6 - 7.8554202535136E-08*B2^5 - 7.78685386960791E-06*B2^4 - 0.000451580708190062*B2^3 - 0.0230515895554561*B2^2 - 1.56302211486039*B2 + 319.491616064228</f>
        <v>312.83972581535699</v>
      </c>
      <c r="Z53" s="185">
        <f>IF($B$2&gt;0,X53,Y53)</f>
        <v>312.79240000000004</v>
      </c>
      <c r="AA53" s="175"/>
      <c r="AB53" s="175"/>
      <c r="AC53" s="175"/>
    </row>
    <row r="54" spans="1:29" ht="20.100000000000001" customHeight="1">
      <c r="A54" s="179"/>
      <c r="B54" s="179"/>
      <c r="C54" s="179"/>
      <c r="D54" s="179"/>
      <c r="E54" s="184"/>
      <c r="F54" s="182"/>
      <c r="G54" s="182"/>
      <c r="H54" s="182"/>
      <c r="I54" s="182"/>
      <c r="J54" s="182"/>
      <c r="K54" s="182"/>
      <c r="L54" s="182"/>
      <c r="M54" s="204"/>
      <c r="N54" s="204"/>
      <c r="O54" s="204"/>
      <c r="P54" s="204"/>
      <c r="Q54" s="204"/>
      <c r="R54" s="204"/>
      <c r="S54" s="204"/>
      <c r="T54" s="204"/>
      <c r="U54" s="204"/>
      <c r="V54" s="203"/>
      <c r="W54" s="179"/>
      <c r="X54" s="178">
        <f xml:space="preserve"> 0.0002*B2^4 - 0.0059*B2^3 + 0.0267*B2^2 - 1.8609*B2 + 291.19</f>
        <v>283.84719999999999</v>
      </c>
      <c r="Y54" s="177">
        <f xml:space="preserve"> -3.08387885540606E-11*B2^6 - 2.83828513643336E-10*B2^5 + 2.17671749058127E-07*B2^4 - 0.0000773203639413186*B2^3 - 0.0163068701194351*B2^2 - 1.63536733233811*B2 + 291.196901689122</f>
        <v>284.38962924157806</v>
      </c>
      <c r="Z54" s="176">
        <f>IF($B$2&gt;0,X54,Y54)</f>
        <v>283.84719999999999</v>
      </c>
      <c r="AA54" s="175"/>
      <c r="AB54" s="175"/>
      <c r="AC54" s="175"/>
    </row>
    <row r="55" spans="1:29" ht="20.100000000000001" customHeight="1">
      <c r="A55" s="179"/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5"/>
      <c r="AB55" s="175"/>
      <c r="AC55" s="175"/>
    </row>
    <row r="56" spans="1:29" ht="20.100000000000001" customHeight="1">
      <c r="A56" s="179"/>
      <c r="B56" s="179"/>
      <c r="C56" s="179"/>
      <c r="D56" s="179"/>
      <c r="E56" s="658" t="s">
        <v>233</v>
      </c>
      <c r="F56" s="659"/>
      <c r="G56" s="659"/>
      <c r="H56" s="659"/>
      <c r="I56" s="659"/>
      <c r="J56" s="659"/>
      <c r="K56" s="659"/>
      <c r="L56" s="659"/>
      <c r="M56" s="659"/>
      <c r="N56" s="659"/>
      <c r="O56" s="659"/>
      <c r="P56" s="659"/>
      <c r="Q56" s="659"/>
      <c r="R56" s="659"/>
      <c r="S56" s="659"/>
      <c r="T56" s="659"/>
      <c r="U56" s="659"/>
      <c r="V56" s="660"/>
      <c r="W56" s="179"/>
      <c r="X56" s="175"/>
      <c r="Y56" s="175"/>
      <c r="Z56" s="175"/>
      <c r="AA56" s="175"/>
      <c r="AB56" s="175"/>
      <c r="AC56" s="175"/>
    </row>
    <row r="57" spans="1:29" ht="20.100000000000001" customHeight="1">
      <c r="A57" s="179"/>
      <c r="B57" s="179"/>
      <c r="C57" s="179"/>
      <c r="D57" s="179"/>
      <c r="E57" s="196"/>
      <c r="F57" s="196"/>
      <c r="G57" s="196"/>
      <c r="H57" s="196"/>
      <c r="I57" s="196">
        <v>10</v>
      </c>
      <c r="J57" s="197">
        <v>7.5</v>
      </c>
      <c r="K57" s="196">
        <v>5</v>
      </c>
      <c r="L57" s="197">
        <v>1.5</v>
      </c>
      <c r="M57" s="196">
        <v>0</v>
      </c>
      <c r="N57" s="196">
        <v>-1</v>
      </c>
      <c r="O57" s="196">
        <v>-5</v>
      </c>
      <c r="P57" s="196">
        <v>-10</v>
      </c>
      <c r="Q57" s="196">
        <v>-20</v>
      </c>
      <c r="R57" s="196">
        <v>-30</v>
      </c>
      <c r="S57" s="196">
        <v>-40</v>
      </c>
      <c r="T57" s="196">
        <v>-50</v>
      </c>
      <c r="U57" s="196">
        <v>-60</v>
      </c>
      <c r="V57" s="196">
        <v>-70</v>
      </c>
      <c r="W57" s="202">
        <v>-75</v>
      </c>
      <c r="X57" s="201" t="s">
        <v>14</v>
      </c>
      <c r="Y57" s="200" t="s">
        <v>231</v>
      </c>
      <c r="Z57" s="199"/>
      <c r="AA57" s="175"/>
      <c r="AB57" s="175"/>
      <c r="AC57" s="175"/>
    </row>
    <row r="58" spans="1:29" ht="20.100000000000001" customHeight="1">
      <c r="A58" s="179"/>
      <c r="B58" s="179"/>
      <c r="C58" s="179"/>
      <c r="D58" s="179"/>
      <c r="E58" s="18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88"/>
      <c r="W58" s="179"/>
      <c r="X58" s="187">
        <f xml:space="preserve"> 0.0009*B2^4 - 0.0176*B2^3 + 0.089*B2^2 - 1.5302*B2 + 317.78</f>
        <v>312.18719999999996</v>
      </c>
      <c r="Y58" s="186">
        <f xml:space="preserve"> 4.35828860848031E-10*B2^6 + 1.02610738881431E-07*B2^5 + 8.49884674824879E-06*B2^4 + 0.000233814680324733*B2^3 - 0.0083210837012917*B2^2 - 1.25737539894381*B2 + 317.68829029262</f>
        <v>312.54289806048411</v>
      </c>
      <c r="Z58" s="185">
        <f>IF($B$2&gt;0,X58,Y58)</f>
        <v>312.18719999999996</v>
      </c>
      <c r="AA58" s="175"/>
      <c r="AB58" s="175"/>
      <c r="AC58" s="175"/>
    </row>
    <row r="59" spans="1:29" ht="20.100000000000001" customHeight="1">
      <c r="A59" s="179"/>
      <c r="B59" s="179"/>
      <c r="C59" s="179"/>
      <c r="D59" s="179"/>
      <c r="E59" s="18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88"/>
      <c r="W59" s="179"/>
      <c r="X59" s="187">
        <f xml:space="preserve"> -0.0005*B2^4 + 0.0109*B2^3 - 0.1138*B2^2 - 1.1188*B2 + 292.37</f>
        <v>286.64359999999999</v>
      </c>
      <c r="Y59" s="186">
        <f xml:space="preserve"> -4.01805832529745E-11*B2^6 - 1.47141635308337E-08*B2^5 - 2.51449383764082E-06*B2^4 - 0.00026281745677569*B2^3 - 0.0200932400291067*B2^2 - 1.46331628428946*B2 + 292.397599519251</f>
        <v>286.20536328208823</v>
      </c>
      <c r="Z59" s="185">
        <f>IF($B$2&gt;0,X59,Y59)</f>
        <v>286.64359999999999</v>
      </c>
      <c r="AA59" s="175"/>
      <c r="AB59" s="175"/>
      <c r="AC59" s="175"/>
    </row>
    <row r="60" spans="1:29" ht="20.100000000000001" customHeight="1">
      <c r="A60" s="179"/>
      <c r="B60" s="179"/>
      <c r="C60" s="179"/>
      <c r="D60" s="179"/>
      <c r="E60" s="184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98"/>
      <c r="W60" s="179"/>
      <c r="X60" s="178">
        <f xml:space="preserve"> -0.0018*B2^4 + 0.0353*B2^3 - 0.2219*B2^2 - 1.2536*B2 + 264.34</f>
        <v>257.5736</v>
      </c>
      <c r="Y60" s="177">
        <f xml:space="preserve"> -3.7155088294244E-10*B2^6 - 8.96975163224706E-08*B2^5 - 0.0000088417688932892*B2^4 - 0.000506042126786472*B2^3 - 0.0247231084738949*B2^2 - 1.57602382382971*B2 + 264.336772712551</f>
        <v>257.60236412056969</v>
      </c>
      <c r="Z60" s="176">
        <f>IF($B$2&gt;0,X60,Y60)</f>
        <v>257.5736</v>
      </c>
      <c r="AA60" s="175"/>
      <c r="AB60" s="175"/>
      <c r="AC60" s="175"/>
    </row>
    <row r="61" spans="1:29" ht="20.100000000000001" customHeight="1">
      <c r="A61" s="179"/>
      <c r="B61" s="17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5"/>
      <c r="Y61" s="175"/>
      <c r="Z61" s="175"/>
      <c r="AA61" s="175"/>
      <c r="AB61" s="175"/>
      <c r="AC61" s="175"/>
    </row>
    <row r="62" spans="1:29" ht="20.100000000000001" customHeight="1">
      <c r="A62" s="179"/>
      <c r="B62" s="179"/>
      <c r="C62" s="179"/>
      <c r="D62" s="179"/>
      <c r="E62" s="658" t="s">
        <v>232</v>
      </c>
      <c r="F62" s="659"/>
      <c r="G62" s="659"/>
      <c r="H62" s="659"/>
      <c r="I62" s="659"/>
      <c r="J62" s="659"/>
      <c r="K62" s="659"/>
      <c r="L62" s="659"/>
      <c r="M62" s="659"/>
      <c r="N62" s="659"/>
      <c r="O62" s="659"/>
      <c r="P62" s="659"/>
      <c r="Q62" s="659"/>
      <c r="R62" s="659"/>
      <c r="S62" s="659"/>
      <c r="T62" s="659"/>
      <c r="U62" s="659"/>
      <c r="V62" s="660"/>
      <c r="W62" s="179"/>
      <c r="X62" s="175"/>
      <c r="Y62" s="175"/>
      <c r="Z62" s="175"/>
      <c r="AA62" s="175"/>
      <c r="AB62" s="175"/>
      <c r="AC62" s="175"/>
    </row>
    <row r="63" spans="1:29" ht="20.100000000000001" customHeight="1">
      <c r="A63" s="179"/>
      <c r="B63" s="179"/>
      <c r="C63" s="179"/>
      <c r="D63" s="179"/>
      <c r="E63" s="196"/>
      <c r="F63" s="196"/>
      <c r="G63" s="196"/>
      <c r="H63" s="196"/>
      <c r="I63" s="196">
        <v>10</v>
      </c>
      <c r="J63" s="197">
        <v>7.5</v>
      </c>
      <c r="K63" s="196">
        <v>5</v>
      </c>
      <c r="L63" s="197">
        <v>1.5</v>
      </c>
      <c r="M63" s="196">
        <v>0</v>
      </c>
      <c r="N63" s="196">
        <v>-1</v>
      </c>
      <c r="O63" s="196">
        <v>-5</v>
      </c>
      <c r="P63" s="196">
        <v>-10</v>
      </c>
      <c r="Q63" s="196">
        <v>-20</v>
      </c>
      <c r="R63" s="196">
        <v>-30</v>
      </c>
      <c r="S63" s="196">
        <v>-40</v>
      </c>
      <c r="T63" s="196">
        <v>-50</v>
      </c>
      <c r="U63" s="196">
        <v>-60</v>
      </c>
      <c r="V63" s="196">
        <v>-70</v>
      </c>
      <c r="W63" s="195">
        <v>-75</v>
      </c>
      <c r="X63" s="194" t="s">
        <v>14</v>
      </c>
      <c r="Y63" s="194" t="s">
        <v>231</v>
      </c>
      <c r="Z63" s="193" t="s">
        <v>230</v>
      </c>
      <c r="AA63" s="175"/>
      <c r="AB63" s="175"/>
      <c r="AC63" s="175"/>
    </row>
    <row r="64" spans="1:29" ht="20.100000000000001" customHeight="1">
      <c r="A64" s="179"/>
      <c r="B64" s="179"/>
      <c r="C64" s="179"/>
      <c r="D64" s="179"/>
      <c r="E64" s="18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88"/>
      <c r="W64" s="179"/>
      <c r="X64" s="192">
        <f xml:space="preserve"> 0.0063*B2^4 - 0.1168*B2^3 + 0.6372*B2^2 - 0.0473*B2 + 670</f>
        <v>674.14359999999999</v>
      </c>
      <c r="Y64" s="191">
        <f xml:space="preserve"> -9.02191413590381E-10*B2^6 - 2.0549576203524E-07*B2^5 - 0.0000172984204467371*B2^4 - 0.000589249519281042*B2^3 - 0.000211792691661772*B2^2 + 0.860460469186435*B2 + 670.357303514096</f>
        <v>673.7534022198704</v>
      </c>
      <c r="Z64" s="190">
        <f>ABS(((IF($B$2&gt;0,X64,Y64))-1600/2)/1.875/36)*4</f>
        <v>7.4581570370370365</v>
      </c>
      <c r="AA64" s="175"/>
      <c r="AB64" s="175"/>
      <c r="AC64" s="175"/>
    </row>
    <row r="65" spans="1:29" ht="20.100000000000001" customHeight="1">
      <c r="A65" s="175"/>
      <c r="B65" s="175"/>
      <c r="C65" s="175"/>
      <c r="D65" s="175"/>
      <c r="E65" s="18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88"/>
      <c r="W65" s="179"/>
      <c r="X65" s="187">
        <f xml:space="preserve"> 0.0036*B2^4 - 0.0714*B2^3 + 0.4323*B2^2 + 0.1664*B2 + 678</f>
        <v>681.93439999999998</v>
      </c>
      <c r="Y65" s="186">
        <f xml:space="preserve"> -1.99342961582083E-09*B2^6 - 4.36317248941887E-07*B2^5 - 0.0000354262479507483*B2^4 - 0.00128724745944642*B2^3 - 0.0156223026627911*B2^2 + 0.730108910580686*B2 + 677.885931263816</f>
        <v>680.46450215270352</v>
      </c>
      <c r="Z65" s="185">
        <f>ABS(((IF($B$2&gt;0,X65,Y65))-1600/2)/1.875/36)*4</f>
        <v>6.9964800000000018</v>
      </c>
      <c r="AA65" s="175"/>
      <c r="AB65" s="175"/>
      <c r="AC65" s="175"/>
    </row>
    <row r="66" spans="1:29" ht="20.100000000000001" customHeight="1">
      <c r="A66" s="175"/>
      <c r="B66" s="175"/>
      <c r="C66" s="175"/>
      <c r="D66" s="175"/>
      <c r="E66" s="184"/>
      <c r="F66" s="182"/>
      <c r="G66" s="182"/>
      <c r="H66" s="182"/>
      <c r="I66" s="182"/>
      <c r="J66" s="183"/>
      <c r="K66" s="183"/>
      <c r="L66" s="182"/>
      <c r="M66" s="182"/>
      <c r="N66" s="182"/>
      <c r="O66" s="182"/>
      <c r="P66" s="182"/>
      <c r="Q66" s="182"/>
      <c r="R66" s="182"/>
      <c r="S66" s="181"/>
      <c r="T66" s="181"/>
      <c r="U66" s="181"/>
      <c r="V66" s="180"/>
      <c r="W66" s="179"/>
      <c r="X66" s="178">
        <f xml:space="preserve"> -0.0027*B2^4 + 0.0582*B2^3 - 0.3794*B2^2 + 1.7807*B2 + 686</f>
        <v>690.08600000000001</v>
      </c>
      <c r="Y66" s="177">
        <f xml:space="preserve"> -7.72618323485741E-10*B2^6 - 2.03709552157316E-07*B2^5 - 0.0000199885101627509*B2^4 - 0.000862526954560933*B2^3 - 0.0106396322751857*B2^2 + 0.818803498654729*B2 + 685.95949768309</f>
        <v>689.00394701438631</v>
      </c>
      <c r="Z66" s="176">
        <f>ABS(((IF($B$2&gt;0,X66,Y66))-1600/2)/1.875/36)*4</f>
        <v>6.5134222222222213</v>
      </c>
      <c r="AA66" s="175"/>
      <c r="AB66" s="175"/>
      <c r="AC66" s="175"/>
    </row>
  </sheetData>
  <sheetProtection sheet="1" objects="1" scenarios="1" selectLockedCells="1" selectUnlockedCells="1"/>
  <mergeCells count="12">
    <mergeCell ref="E56:V56"/>
    <mergeCell ref="E62:V62"/>
    <mergeCell ref="E31:V31"/>
    <mergeCell ref="AA39:AC39"/>
    <mergeCell ref="E44:V44"/>
    <mergeCell ref="B46:C46"/>
    <mergeCell ref="E50:V50"/>
    <mergeCell ref="N3:P3"/>
    <mergeCell ref="E13:V13"/>
    <mergeCell ref="B15:C15"/>
    <mergeCell ref="E19:V19"/>
    <mergeCell ref="E25:V2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X362"/>
  <sheetViews>
    <sheetView showGridLines="0" showRowColHeaders="0" topLeftCell="A31" zoomScaleNormal="100" workbookViewId="0"/>
  </sheetViews>
  <sheetFormatPr defaultColWidth="10.5703125" defaultRowHeight="20.100000000000001" customHeight="1"/>
  <cols>
    <col min="1" max="16384" width="10.5703125" style="44"/>
  </cols>
  <sheetData>
    <row r="1" spans="1:20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0.100000000000001" customHeight="1">
      <c r="A2" s="43"/>
      <c r="B2" s="43"/>
      <c r="C2" s="43"/>
      <c r="D2" s="43"/>
      <c r="E2" s="43"/>
      <c r="F2" s="43"/>
      <c r="G2" s="626" t="s">
        <v>0</v>
      </c>
      <c r="H2" s="627"/>
      <c r="I2" s="626" t="s">
        <v>1</v>
      </c>
      <c r="J2" s="627"/>
      <c r="K2" s="626" t="s">
        <v>2</v>
      </c>
      <c r="L2" s="627"/>
      <c r="M2" s="42"/>
      <c r="N2" s="45" t="s">
        <v>3</v>
      </c>
      <c r="O2" s="46">
        <f>COS(Index!E4*PI()/180)</f>
        <v>0.64278760968653936</v>
      </c>
      <c r="P2" s="43"/>
      <c r="Q2" s="43"/>
      <c r="R2" s="43"/>
      <c r="S2" s="43"/>
      <c r="T2" s="43"/>
    </row>
    <row r="3" spans="1:20" ht="20.100000000000001" customHeight="1">
      <c r="A3" s="43"/>
      <c r="B3" s="43"/>
      <c r="C3" s="43"/>
      <c r="D3" s="43"/>
      <c r="E3" s="43"/>
      <c r="F3" s="43"/>
      <c r="G3" s="47">
        <v>0.7</v>
      </c>
      <c r="H3" s="48">
        <v>24.75</v>
      </c>
      <c r="I3" s="47">
        <v>0.7</v>
      </c>
      <c r="J3" s="48">
        <v>24.75</v>
      </c>
      <c r="K3" s="47">
        <v>0.7</v>
      </c>
      <c r="L3" s="48">
        <v>24.75</v>
      </c>
      <c r="M3" s="42"/>
      <c r="N3" s="49" t="s">
        <v>4</v>
      </c>
      <c r="O3" s="50">
        <f>SIN(Index!E4*PI()/180)</f>
        <v>0.76604444311897801</v>
      </c>
      <c r="P3" s="43"/>
      <c r="Q3" s="43"/>
      <c r="R3" s="43"/>
      <c r="S3" s="43"/>
      <c r="T3" s="43"/>
    </row>
    <row r="4" spans="1:20" ht="20.100000000000001" customHeight="1">
      <c r="A4" s="43"/>
      <c r="B4" s="43"/>
      <c r="C4" s="43"/>
      <c r="D4" s="43"/>
      <c r="E4" s="43"/>
      <c r="F4" s="43"/>
      <c r="G4" s="47">
        <v>0.75</v>
      </c>
      <c r="H4" s="48">
        <v>21</v>
      </c>
      <c r="I4" s="47">
        <v>0.75</v>
      </c>
      <c r="J4" s="48">
        <v>20.75</v>
      </c>
      <c r="K4" s="47">
        <v>0.75</v>
      </c>
      <c r="L4" s="48">
        <v>21</v>
      </c>
      <c r="M4" s="42"/>
      <c r="N4" s="49"/>
      <c r="O4" s="50"/>
      <c r="P4" s="43"/>
      <c r="Q4" s="43"/>
      <c r="R4" s="43"/>
      <c r="S4" s="43"/>
      <c r="T4" s="43"/>
    </row>
    <row r="5" spans="1:20" ht="20.100000000000001" customHeight="1">
      <c r="A5" s="43"/>
      <c r="B5" s="43"/>
      <c r="C5" s="43"/>
      <c r="D5" s="43"/>
      <c r="E5" s="43"/>
      <c r="F5" s="43"/>
      <c r="G5" s="47">
        <v>0.8</v>
      </c>
      <c r="H5" s="48">
        <v>15.6</v>
      </c>
      <c r="I5" s="47">
        <v>0.8</v>
      </c>
      <c r="J5" s="48">
        <v>16</v>
      </c>
      <c r="K5" s="47">
        <v>0.8</v>
      </c>
      <c r="L5" s="48">
        <v>16</v>
      </c>
      <c r="M5" s="42"/>
      <c r="N5" s="51" t="s">
        <v>3</v>
      </c>
      <c r="O5" s="52">
        <f>COS(RADIANS(Index!E4))</f>
        <v>0.64278760968653936</v>
      </c>
      <c r="P5" s="43"/>
      <c r="Q5" s="43"/>
      <c r="R5" s="43"/>
      <c r="S5" s="43"/>
      <c r="T5" s="43"/>
    </row>
    <row r="6" spans="1:20" ht="20.100000000000001" customHeight="1">
      <c r="A6" s="53"/>
      <c r="B6" s="43"/>
      <c r="C6" s="43"/>
      <c r="D6" s="43"/>
      <c r="E6" s="43"/>
      <c r="F6" s="43"/>
      <c r="G6" s="47">
        <v>0.82</v>
      </c>
      <c r="H6" s="54">
        <v>14.6</v>
      </c>
      <c r="I6" s="47">
        <v>0.82</v>
      </c>
      <c r="J6" s="54">
        <v>14.5</v>
      </c>
      <c r="K6" s="47">
        <v>0.82</v>
      </c>
      <c r="L6" s="54">
        <v>15</v>
      </c>
      <c r="M6" s="42"/>
      <c r="N6" s="43"/>
      <c r="O6" s="43"/>
      <c r="P6" s="43"/>
      <c r="Q6" s="43"/>
      <c r="R6" s="43"/>
      <c r="S6" s="43"/>
      <c r="T6" s="43"/>
    </row>
    <row r="7" spans="1:20" ht="20.100000000000001" customHeight="1">
      <c r="A7" s="43"/>
      <c r="B7" s="43"/>
      <c r="C7" s="43"/>
      <c r="D7" s="43"/>
      <c r="E7" s="43"/>
      <c r="F7" s="43"/>
      <c r="G7" s="47">
        <v>0.85</v>
      </c>
      <c r="H7" s="48">
        <v>13</v>
      </c>
      <c r="I7" s="47">
        <v>0.85</v>
      </c>
      <c r="J7" s="48">
        <v>11.75</v>
      </c>
      <c r="K7" s="47">
        <v>0.85</v>
      </c>
      <c r="L7" s="48">
        <v>12</v>
      </c>
      <c r="M7" s="42"/>
      <c r="N7" s="43"/>
      <c r="O7" s="43"/>
      <c r="P7" s="43"/>
      <c r="Q7" s="43"/>
      <c r="R7" s="43"/>
      <c r="S7" s="43"/>
      <c r="T7" s="43"/>
    </row>
    <row r="8" spans="1:20" ht="20.100000000000001" customHeight="1">
      <c r="A8" s="43"/>
      <c r="B8" s="43"/>
      <c r="C8" s="43"/>
      <c r="D8" s="43"/>
      <c r="E8" s="43"/>
      <c r="F8" s="43"/>
      <c r="G8" s="47">
        <v>0.9</v>
      </c>
      <c r="H8" s="48">
        <v>8</v>
      </c>
      <c r="I8" s="47">
        <v>0.9</v>
      </c>
      <c r="J8" s="48">
        <v>7.5</v>
      </c>
      <c r="K8" s="47">
        <v>0.9</v>
      </c>
      <c r="L8" s="48">
        <v>8</v>
      </c>
      <c r="M8" s="42"/>
      <c r="N8" s="43"/>
      <c r="O8" s="43"/>
      <c r="P8" s="43"/>
      <c r="Q8" s="43"/>
      <c r="R8" s="43"/>
      <c r="S8" s="43"/>
      <c r="T8" s="43"/>
    </row>
    <row r="9" spans="1:20" ht="20.100000000000001" customHeight="1">
      <c r="A9" s="43"/>
      <c r="B9" s="43"/>
      <c r="C9" s="43"/>
      <c r="D9" s="43"/>
      <c r="E9" s="43"/>
      <c r="F9" s="43"/>
      <c r="G9" s="47">
        <v>0.92</v>
      </c>
      <c r="H9" s="48">
        <v>6.25</v>
      </c>
      <c r="I9" s="47">
        <v>0.92</v>
      </c>
      <c r="J9" s="48">
        <v>5.9</v>
      </c>
      <c r="K9" s="47">
        <v>0.92</v>
      </c>
      <c r="L9" s="48">
        <v>8.5</v>
      </c>
      <c r="M9" s="42"/>
      <c r="N9" s="42"/>
      <c r="O9" s="42"/>
      <c r="P9" s="43"/>
      <c r="Q9" s="43"/>
      <c r="R9" s="43"/>
      <c r="S9" s="43"/>
      <c r="T9" s="43"/>
    </row>
    <row r="10" spans="1:20" ht="20.100000000000001" customHeight="1">
      <c r="A10" s="43"/>
      <c r="B10" s="43"/>
      <c r="C10" s="43"/>
      <c r="D10" s="43"/>
      <c r="E10" s="43"/>
      <c r="F10" s="43"/>
      <c r="G10" s="47">
        <v>0.95</v>
      </c>
      <c r="H10" s="48">
        <v>4</v>
      </c>
      <c r="I10" s="47">
        <v>0.95</v>
      </c>
      <c r="J10" s="48">
        <v>3.7</v>
      </c>
      <c r="K10" s="47">
        <v>0.95</v>
      </c>
      <c r="L10" s="48">
        <v>4</v>
      </c>
      <c r="M10" s="42"/>
      <c r="N10" s="42"/>
      <c r="O10" s="42"/>
      <c r="P10" s="43"/>
      <c r="Q10" s="43"/>
      <c r="R10" s="43"/>
      <c r="S10" s="43"/>
      <c r="T10" s="43"/>
    </row>
    <row r="11" spans="1:20" ht="20.100000000000001" customHeight="1">
      <c r="A11" s="43"/>
      <c r="B11" s="43"/>
      <c r="C11" s="43"/>
      <c r="D11" s="43"/>
      <c r="E11" s="43"/>
      <c r="F11" s="43"/>
      <c r="G11" s="47">
        <v>0.97</v>
      </c>
      <c r="H11" s="48">
        <v>2.35</v>
      </c>
      <c r="I11" s="47">
        <v>0.97</v>
      </c>
      <c r="J11" s="48">
        <v>2.1</v>
      </c>
      <c r="K11" s="47">
        <v>0.97</v>
      </c>
      <c r="L11" s="48">
        <v>4.5</v>
      </c>
      <c r="M11" s="42"/>
      <c r="N11" s="42"/>
      <c r="O11" s="42"/>
      <c r="P11" s="43"/>
      <c r="Q11" s="43"/>
      <c r="R11" s="43"/>
      <c r="S11" s="43"/>
      <c r="T11" s="43"/>
    </row>
    <row r="12" spans="1:20" ht="20.100000000000001" customHeight="1">
      <c r="A12" s="43"/>
      <c r="B12" s="43"/>
      <c r="C12" s="43"/>
      <c r="D12" s="43"/>
      <c r="E12" s="43"/>
      <c r="F12" s="43"/>
      <c r="G12" s="47">
        <v>0.98</v>
      </c>
      <c r="H12" s="48">
        <v>2</v>
      </c>
      <c r="I12" s="47">
        <v>0.98</v>
      </c>
      <c r="J12" s="48">
        <v>1.45</v>
      </c>
      <c r="K12" s="47">
        <v>0.98</v>
      </c>
      <c r="L12" s="48">
        <v>3.75</v>
      </c>
      <c r="M12" s="42"/>
      <c r="N12" s="42"/>
      <c r="O12" s="42"/>
      <c r="P12" s="43"/>
      <c r="Q12" s="43"/>
      <c r="R12" s="43"/>
      <c r="S12" s="43"/>
      <c r="T12" s="43"/>
    </row>
    <row r="13" spans="1:20" ht="20.100000000000001" customHeight="1">
      <c r="A13" s="43"/>
      <c r="B13" s="43"/>
      <c r="C13" s="43"/>
      <c r="D13" s="43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43"/>
      <c r="R13" s="43"/>
      <c r="S13" s="43"/>
      <c r="T13" s="43"/>
    </row>
    <row r="14" spans="1:20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LOOKUP(Index!H4,I3:I13:J3:J13)+Index!B4-(ABS(Link!C7/0.2/20))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  <c r="Q14" s="43"/>
      <c r="R14" s="43"/>
      <c r="S14" s="43"/>
      <c r="T14" s="43"/>
    </row>
    <row r="15" spans="1:20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26" t="s">
        <v>6</v>
      </c>
      <c r="C18" s="628"/>
      <c r="D18" s="628"/>
      <c r="E18" s="627"/>
      <c r="F18" s="43"/>
      <c r="G18" s="626" t="s">
        <v>6</v>
      </c>
      <c r="H18" s="628"/>
      <c r="I18" s="627"/>
      <c r="J18" s="43"/>
      <c r="K18" s="48" t="s">
        <v>7</v>
      </c>
      <c r="L18" s="53"/>
      <c r="M18" s="42"/>
      <c r="N18" s="48" t="s">
        <v>8</v>
      </c>
      <c r="O18" s="54">
        <f>O19/0.2165</f>
        <v>2.441909955733812</v>
      </c>
      <c r="P18" s="43"/>
      <c r="Q18" s="48">
        <v>1</v>
      </c>
      <c r="R18" s="55">
        <v>0.65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16.240232805796563</v>
      </c>
      <c r="I19" s="54">
        <f>I20/0.2165</f>
        <v>16.543865921801736</v>
      </c>
      <c r="J19" s="43"/>
      <c r="K19" s="57" t="s">
        <v>11</v>
      </c>
      <c r="L19" s="58">
        <f>O19*$O$3*Index!$D$4</f>
        <v>2.0249370052422071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0.52867350541637026</v>
      </c>
      <c r="P19" s="43"/>
      <c r="Q19" s="48">
        <v>5</v>
      </c>
      <c r="R19" s="55">
        <f>R18+0.01</f>
        <v>0.66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71">
        <v>300.60000000000002</v>
      </c>
      <c r="D20" s="60">
        <v>218</v>
      </c>
      <c r="E20" s="48">
        <f>D20/45*0.2165</f>
        <v>1.0488222222222221</v>
      </c>
      <c r="F20" s="43"/>
      <c r="G20" s="48" t="s">
        <v>7</v>
      </c>
      <c r="H20" s="48">
        <f>L21+O24+N30</f>
        <v>3.5160104024549557</v>
      </c>
      <c r="I20" s="48">
        <f>L22+O24+O30</f>
        <v>3.5817469720700759</v>
      </c>
      <c r="J20" s="43"/>
      <c r="K20" s="61" t="s">
        <v>13</v>
      </c>
      <c r="L20" s="62">
        <f>IF(L23&gt;0,L19*O22,L19*O23)</f>
        <v>1.9846071825643166</v>
      </c>
      <c r="M20" s="53"/>
      <c r="N20" s="48" t="s">
        <v>14</v>
      </c>
      <c r="O20" s="48">
        <f>H27*POWER(H26,(C20-O25))</f>
        <v>1.33064527008945</v>
      </c>
      <c r="P20" s="43"/>
      <c r="Q20" s="48">
        <v>10</v>
      </c>
      <c r="R20" s="55">
        <f>R19+0.01</f>
        <v>0.67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71">
        <v>267.3</v>
      </c>
      <c r="D21" s="60">
        <v>154</v>
      </c>
      <c r="E21" s="48">
        <f>D21/45*0.2165</f>
        <v>0.74091111111111108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81.183987688372497</v>
      </c>
      <c r="I21" s="48">
        <f>100*(L32-C21)*(L32-C22)/((C20-C21)*(C20-C22))+90*(L32-C20)*(L32-C22)/((C21-C20)*(C21-C22))+80*(L32-C20)*(L32-C21)/((C22-C20)*(C22-C21))</f>
        <v>82.261767512787685</v>
      </c>
      <c r="J21" s="43"/>
      <c r="K21" s="61" t="s">
        <v>15</v>
      </c>
      <c r="L21" s="62">
        <f>L20*L29</f>
        <v>1.9644587881756341</v>
      </c>
      <c r="M21" s="53"/>
      <c r="N21" s="48" t="s">
        <v>16</v>
      </c>
      <c r="O21" s="48">
        <f>I27*POWER(I26,(C20-O25))</f>
        <v>1.4764195295970945</v>
      </c>
      <c r="P21" s="43"/>
      <c r="Q21" s="48">
        <v>15</v>
      </c>
      <c r="R21" s="55">
        <f>R20+0.01</f>
        <v>0.68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71">
        <v>235.2</v>
      </c>
      <c r="D22" s="60">
        <v>110</v>
      </c>
      <c r="E22" s="48">
        <f>D22/45*0.2165</f>
        <v>0.52922222222222226</v>
      </c>
      <c r="F22" s="43"/>
      <c r="G22" s="48" t="s">
        <v>17</v>
      </c>
      <c r="H22" s="48">
        <f>INDEX('R280'!F291:F363,(ROUNDUP(((H21-80)/(20/72))+1,0)),1)</f>
        <v>240.91111111111243</v>
      </c>
      <c r="I22" s="48">
        <f>INDEX('R280'!F291:F363,(ROUNDUP(((I21-80)/(20/72))+1,0)),1)</f>
        <v>244.20000000000132</v>
      </c>
      <c r="J22" s="43"/>
      <c r="K22" s="61" t="s">
        <v>18</v>
      </c>
      <c r="L22" s="62">
        <f>L20/L30</f>
        <v>2.0095973177828159</v>
      </c>
      <c r="M22" s="53"/>
      <c r="N22" s="48" t="s">
        <v>19</v>
      </c>
      <c r="O22" s="48">
        <f>IF((O25&gt;0),((100+(L23/-H25))/100))</f>
        <v>0.98008341860834003</v>
      </c>
      <c r="P22" s="43"/>
      <c r="Q22" s="48">
        <v>20</v>
      </c>
      <c r="R22" s="55">
        <f>R21+0.01</f>
        <v>0.69000000000000006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4.0600582014491406</v>
      </c>
      <c r="I23" s="54">
        <f>I19/4</f>
        <v>4.1359664804504339</v>
      </c>
      <c r="J23" s="43"/>
      <c r="K23" s="63" t="s">
        <v>21</v>
      </c>
      <c r="L23" s="64">
        <f>IF(Index!$C$4&gt;0,Index!$C$4*O20,Index!$C$4*O21)</f>
        <v>5.3225810803578</v>
      </c>
      <c r="M23" s="53"/>
      <c r="N23" s="48" t="s">
        <v>22</v>
      </c>
      <c r="O23" s="48">
        <f>IF((O25&gt;0),((100+(L23/-I25))/100))</f>
        <v>0.97765962681691798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0.6577794486215538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280'!C25</f>
        <v>2.672437089322282</v>
      </c>
      <c r="I25" s="48">
        <f>'inf 280'!D25</f>
        <v>2.3824942568052192</v>
      </c>
      <c r="J25" s="43"/>
      <c r="K25" s="48" t="s">
        <v>25</v>
      </c>
      <c r="L25" s="53"/>
      <c r="M25" s="53"/>
      <c r="N25" s="48" t="s">
        <v>26</v>
      </c>
      <c r="O25" s="48">
        <f>'280'!H14</f>
        <v>235.09625</v>
      </c>
      <c r="P25" s="43"/>
      <c r="Q25" s="48">
        <v>-1</v>
      </c>
      <c r="R25" s="55">
        <v>0.66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1.0108139185962552</v>
      </c>
      <c r="I26" s="48">
        <f>(1+(I28*S32))</f>
        <v>1.0122017698316343</v>
      </c>
      <c r="J26" s="43"/>
      <c r="K26" s="57" t="s">
        <v>28</v>
      </c>
      <c r="L26" s="58">
        <f>O19*Index!$D$4*$O$2</f>
        <v>1.6991238942559619</v>
      </c>
      <c r="M26" s="53"/>
      <c r="N26" s="43"/>
      <c r="O26" s="43"/>
      <c r="P26" s="43"/>
      <c r="Q26" s="48">
        <v>-10</v>
      </c>
      <c r="R26" s="55">
        <f t="shared" ref="R26:R31" si="0">R25-0.01</f>
        <v>0.65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0.6577794486215538</v>
      </c>
      <c r="I27" s="48">
        <f>R32</f>
        <v>0.66710697527886564</v>
      </c>
      <c r="J27" s="43"/>
      <c r="K27" s="61" t="s">
        <v>30</v>
      </c>
      <c r="L27" s="62">
        <f>O5*Index!D4*O19*0.95*(1-(L23*0.016))</f>
        <v>1.4767030842133537</v>
      </c>
      <c r="M27" s="42"/>
      <c r="N27" s="54" t="s">
        <v>31</v>
      </c>
      <c r="O27" s="48">
        <f>O25+L23</f>
        <v>240.41883108035779</v>
      </c>
      <c r="P27" s="43"/>
      <c r="Q27" s="48">
        <v>-20</v>
      </c>
      <c r="R27" s="55">
        <f t="shared" si="0"/>
        <v>0.64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0.82978812210659547</v>
      </c>
      <c r="I28" s="54">
        <f>1*(O25-C21)*(O25-C22)/((C20-C21)*(C20-C22))+0.903*(O25-C20)*(O25-C22)/((C21-C20)*(C21-C22))+0.76*(O25-C20)*(O25-C21)/((C22-C20)*(C22-C21))</f>
        <v>0.75945903851523922</v>
      </c>
      <c r="J28" s="43"/>
      <c r="K28" s="61" t="s">
        <v>32</v>
      </c>
      <c r="L28" s="62">
        <f>O5*Index!D4*O19*1.25*(1-(L23*0.016))</f>
        <v>1.9430303739649391</v>
      </c>
      <c r="M28" s="42"/>
      <c r="N28" s="43"/>
      <c r="O28" s="43"/>
      <c r="P28" s="43"/>
      <c r="Q28" s="48">
        <v>-30</v>
      </c>
      <c r="R28" s="55">
        <f t="shared" si="0"/>
        <v>0.63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0.98984766629603316</v>
      </c>
      <c r="M29" s="42"/>
      <c r="N29" s="632" t="s">
        <v>121</v>
      </c>
      <c r="O29" s="632"/>
      <c r="P29" s="43"/>
      <c r="Q29" s="48">
        <v>-40</v>
      </c>
      <c r="R29" s="55">
        <f t="shared" si="0"/>
        <v>0.62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INDEX('R280'!G291:G363,(ROUNDUP(((Index!O29-80)/(20/72))+1,0)),1)</f>
        <v>#VALUE!</v>
      </c>
      <c r="I30" s="48">
        <f>INDEX('R280'!G291:G363,(ROUNDUP(((Index!P29-80)/(20/72))+1,0)),1)</f>
        <v>244.79999999999876</v>
      </c>
      <c r="J30" s="43"/>
      <c r="K30" s="61" t="s">
        <v>35</v>
      </c>
      <c r="L30" s="62">
        <f>(100+(L28*4/-6.25))/100</f>
        <v>0.98756460560662429</v>
      </c>
      <c r="M30" s="42"/>
      <c r="N30" s="66">
        <f>H21/100*(O18*0.2165)*Link!$C$7</f>
        <v>1.5515516142793215</v>
      </c>
      <c r="O30" s="67">
        <f>I21/100*(O18*0.2165)*Link!$C$7</f>
        <v>1.5721496542872599</v>
      </c>
      <c r="P30" s="42"/>
      <c r="Q30" s="48">
        <v>-50</v>
      </c>
      <c r="R30" s="55">
        <f t="shared" si="0"/>
        <v>0.61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238.94212799614445</v>
      </c>
      <c r="M31" s="43"/>
      <c r="N31" s="43"/>
      <c r="O31" s="43"/>
      <c r="P31" s="43"/>
      <c r="Q31" s="48">
        <v>-60</v>
      </c>
      <c r="R31" s="55">
        <f t="shared" si="0"/>
        <v>0.6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242.36186145432274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0.66710697527886564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0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0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0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ht="20.100000000000001" customHeight="1">
      <c r="A36" s="43"/>
      <c r="B36" s="629" t="s">
        <v>38</v>
      </c>
      <c r="C36" s="630"/>
      <c r="D36" s="630"/>
      <c r="E36" s="631"/>
      <c r="F36" s="43"/>
      <c r="G36" s="629" t="s">
        <v>38</v>
      </c>
      <c r="H36" s="630"/>
      <c r="I36" s="631"/>
      <c r="J36" s="53"/>
      <c r="K36" s="48" t="s">
        <v>7</v>
      </c>
      <c r="L36" s="53"/>
      <c r="M36" s="43"/>
      <c r="N36" s="48" t="s">
        <v>8</v>
      </c>
      <c r="O36" s="48">
        <f>O37/0.2165</f>
        <v>4.073386387885165</v>
      </c>
      <c r="P36" s="42"/>
      <c r="Q36" s="48">
        <v>1</v>
      </c>
      <c r="R36" s="55">
        <v>0.71</v>
      </c>
      <c r="S36" s="56">
        <v>1.2699999999999999E-2</v>
      </c>
      <c r="T36" s="43"/>
    </row>
    <row r="37" spans="1:20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29.236191838495582</v>
      </c>
      <c r="I37" s="54">
        <f>I38/0.2165</f>
        <v>30.118146711330894</v>
      </c>
      <c r="J37" s="53"/>
      <c r="K37" s="57" t="s">
        <v>11</v>
      </c>
      <c r="L37" s="58">
        <f>O37*$O$3*Index!$D$4</f>
        <v>3.3778275952029797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0.88188815297713818</v>
      </c>
      <c r="P37" s="43"/>
      <c r="Q37" s="48">
        <v>5</v>
      </c>
      <c r="R37" s="55">
        <f>R36+0.01</f>
        <v>0.72</v>
      </c>
      <c r="S37" s="56">
        <v>1.3100000000000001E-2</v>
      </c>
      <c r="T37" s="43"/>
    </row>
    <row r="38" spans="1:20" ht="20.100000000000001" customHeight="1">
      <c r="A38" s="43"/>
      <c r="B38" s="54">
        <v>100</v>
      </c>
      <c r="C38" s="71">
        <v>250.5</v>
      </c>
      <c r="D38" s="60">
        <v>219</v>
      </c>
      <c r="E38" s="54">
        <f>D38/45*0.2165</f>
        <v>1.0536333333333332</v>
      </c>
      <c r="F38" s="43"/>
      <c r="G38" s="48" t="s">
        <v>7</v>
      </c>
      <c r="H38" s="48">
        <f>L39+O42+B55</f>
        <v>6.3296355330342937</v>
      </c>
      <c r="I38" s="48">
        <f>L40+O42+C55</f>
        <v>6.5205787630031384</v>
      </c>
      <c r="J38" s="53"/>
      <c r="K38" s="61" t="s">
        <v>13</v>
      </c>
      <c r="L38" s="62">
        <f>IF(L41&gt;0,L37*O40,L37*O41)</f>
        <v>3.3411600134510597</v>
      </c>
      <c r="M38" s="43"/>
      <c r="N38" s="48" t="s">
        <v>14</v>
      </c>
      <c r="O38" s="48">
        <f>H46*POWER((1+(H45)),C38-O43)</f>
        <v>0.87452312913803743</v>
      </c>
      <c r="P38" s="43"/>
      <c r="Q38" s="48">
        <v>10</v>
      </c>
      <c r="R38" s="55">
        <f>R37+0.01</f>
        <v>0.73</v>
      </c>
      <c r="S38" s="56">
        <v>1.3299999999999999E-2</v>
      </c>
      <c r="T38" s="43"/>
    </row>
    <row r="39" spans="1:20" ht="20.100000000000001" customHeight="1">
      <c r="A39" s="43"/>
      <c r="B39" s="54">
        <f>B38-10</f>
        <v>90</v>
      </c>
      <c r="C39" s="71">
        <v>216.6</v>
      </c>
      <c r="D39" s="60">
        <v>148</v>
      </c>
      <c r="E39" s="54">
        <f t="shared" ref="E39:E48" si="1">D39/45*0.2165</f>
        <v>0.71204444444444437</v>
      </c>
      <c r="F39" s="43"/>
      <c r="G39" s="48" t="s">
        <v>5</v>
      </c>
      <c r="H39" s="48">
        <f>IF(O43&gt;(C45-0.0001),H47,H48)</f>
        <v>95.668538451603112</v>
      </c>
      <c r="I39" s="48">
        <f>IF(O43&gt;(C45-0.0001),I47,I48)</f>
        <v>97.437573976148954</v>
      </c>
      <c r="J39" s="53"/>
      <c r="K39" s="61" t="s">
        <v>15</v>
      </c>
      <c r="L39" s="62">
        <f>L38*L47</f>
        <v>3.2796979662014905</v>
      </c>
      <c r="M39" s="43"/>
      <c r="N39" s="48" t="s">
        <v>16</v>
      </c>
      <c r="O39" s="48">
        <f>I46*POWER((1+(I45)),C38-O43)</f>
        <v>0.74250000000000216</v>
      </c>
      <c r="P39" s="43"/>
      <c r="Q39" s="48">
        <v>15</v>
      </c>
      <c r="R39" s="55">
        <f>R38+0.01</f>
        <v>0.74</v>
      </c>
      <c r="S39" s="56">
        <v>1.35E-2</v>
      </c>
      <c r="T39" s="43"/>
    </row>
    <row r="40" spans="1:20" ht="20.100000000000001" customHeight="1">
      <c r="A40" s="43"/>
      <c r="B40" s="54">
        <f t="shared" ref="B40:B47" si="2">B39-10</f>
        <v>80</v>
      </c>
      <c r="C40" s="71">
        <v>184.1</v>
      </c>
      <c r="D40" s="60">
        <v>100</v>
      </c>
      <c r="E40" s="54">
        <f t="shared" si="1"/>
        <v>0.4811111111111111</v>
      </c>
      <c r="F40" s="43"/>
      <c r="G40" s="48" t="s">
        <v>17</v>
      </c>
      <c r="H40" s="48">
        <f>IF(N53=0,INDEX('R280'!E39:E363,(ROUNDDOWN(((H39-10)/(20/72)+1),0)),1),INDEX('R280'!E39:E363,(ROUNDUP(((H39-10)/(20/72))+1,0)),1))</f>
        <v>268.33333333333343</v>
      </c>
      <c r="I40" s="48">
        <f>IF(O53=0,INDEX('R280'!E39:E363,(ROUNDDOWN(((I39-10)/(20/72)+1),0)),1),INDEX('R280'!E39:E363,(ROUNDUP(((I39-10)/(20/72))+1,0)),1))</f>
        <v>273.00000000000006</v>
      </c>
      <c r="J40" s="53"/>
      <c r="K40" s="61" t="s">
        <v>18</v>
      </c>
      <c r="L40" s="62">
        <f>L38/L48</f>
        <v>3.4142438894831058</v>
      </c>
      <c r="M40" s="43"/>
      <c r="N40" s="48" t="s">
        <v>19</v>
      </c>
      <c r="O40" s="48">
        <f>IF((O43&gt;0),((100+(L41/-H44))/100))</f>
        <v>0.98914462603005748</v>
      </c>
      <c r="P40" s="42"/>
      <c r="Q40" s="48">
        <v>20</v>
      </c>
      <c r="R40" s="55">
        <f>R39+0.01</f>
        <v>0.75</v>
      </c>
      <c r="S40" s="56">
        <v>1.38E-2</v>
      </c>
      <c r="T40" s="43"/>
    </row>
    <row r="41" spans="1:20" ht="20.100000000000001" customHeight="1">
      <c r="A41" s="43"/>
      <c r="B41" s="54">
        <f t="shared" si="2"/>
        <v>70</v>
      </c>
      <c r="C41" s="71">
        <v>154.5</v>
      </c>
      <c r="D41" s="60">
        <v>68</v>
      </c>
      <c r="E41" s="54">
        <f t="shared" si="1"/>
        <v>0.32715555555555553</v>
      </c>
      <c r="F41" s="43"/>
      <c r="G41" s="48" t="s">
        <v>39</v>
      </c>
      <c r="H41" s="48">
        <f>N54</f>
        <v>10</v>
      </c>
      <c r="I41" s="48">
        <f>O54</f>
        <v>11</v>
      </c>
      <c r="J41" s="53"/>
      <c r="K41" s="63" t="s">
        <v>21</v>
      </c>
      <c r="L41" s="64">
        <f>IF(Index!$C$4&gt;0,Index!$C$4*O38,Index!$C$4*O39)</f>
        <v>3.4980925165521497</v>
      </c>
      <c r="M41" s="43"/>
      <c r="N41" s="48" t="s">
        <v>22</v>
      </c>
      <c r="O41" s="48">
        <f>IF((O43&gt;0),((100+(L41/-I44))/100))</f>
        <v>0.99034380937481203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0.71777944862155396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</row>
    <row r="42" spans="1:20" ht="20.100000000000001" customHeight="1">
      <c r="A42" s="43"/>
      <c r="B42" s="54">
        <f t="shared" si="2"/>
        <v>60</v>
      </c>
      <c r="C42" s="71">
        <v>128.1</v>
      </c>
      <c r="D42" s="60">
        <v>48</v>
      </c>
      <c r="E42" s="54">
        <f t="shared" si="1"/>
        <v>0.23093333333333332</v>
      </c>
      <c r="F42" s="43"/>
      <c r="G42" s="54" t="s">
        <v>20</v>
      </c>
      <c r="H42" s="54">
        <f>H37/4</f>
        <v>7.3090479596238955</v>
      </c>
      <c r="I42" s="54">
        <f>I37/4</f>
        <v>7.5295366778327235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</row>
    <row r="43" spans="1:20" ht="20.100000000000001" customHeight="1">
      <c r="A43" s="43"/>
      <c r="B43" s="54">
        <f t="shared" si="2"/>
        <v>50</v>
      </c>
      <c r="C43" s="71">
        <v>104.7</v>
      </c>
      <c r="D43" s="60">
        <v>34</v>
      </c>
      <c r="E43" s="54">
        <f t="shared" si="1"/>
        <v>0.16357777777777777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0.72</v>
      </c>
      <c r="S43" s="56">
        <v>1.2699999999999999E-2</v>
      </c>
      <c r="T43" s="43"/>
    </row>
    <row r="44" spans="1:20" ht="20.100000000000001" customHeight="1">
      <c r="A44" s="43"/>
      <c r="B44" s="54">
        <f t="shared" si="2"/>
        <v>40</v>
      </c>
      <c r="C44" s="71">
        <v>83.6</v>
      </c>
      <c r="D44" s="60">
        <v>24</v>
      </c>
      <c r="E44" s="54">
        <f t="shared" si="1"/>
        <v>0.11546666666666666</v>
      </c>
      <c r="F44" s="43"/>
      <c r="G44" s="48" t="s">
        <v>24</v>
      </c>
      <c r="H44" s="48">
        <f>IF('280'!O43&gt;('280'!C45-0.0001),'inf 280'!C11,'inf 280'!C19)</f>
        <v>3.2224523321241967</v>
      </c>
      <c r="I44" s="48">
        <f>IF('280'!O43&gt;('280'!C45-0.0001),'inf 280'!D11,'inf 280'!D19)</f>
        <v>3.6226423569429356</v>
      </c>
      <c r="J44" s="43"/>
      <c r="K44" s="57" t="s">
        <v>28</v>
      </c>
      <c r="L44" s="58">
        <f>O37*Index!$D$4*$O$2</f>
        <v>2.8343338893152592</v>
      </c>
      <c r="M44" s="53"/>
      <c r="N44" s="43"/>
      <c r="O44" s="43"/>
      <c r="P44" s="42"/>
      <c r="Q44" s="54">
        <v>-5</v>
      </c>
      <c r="R44" s="69">
        <f>R43-0.01</f>
        <v>0.71</v>
      </c>
      <c r="S44" s="56">
        <v>1.26E-2</v>
      </c>
      <c r="T44" s="43"/>
    </row>
    <row r="45" spans="1:20" ht="20.100000000000001" customHeight="1">
      <c r="A45" s="43"/>
      <c r="B45" s="54">
        <f t="shared" si="2"/>
        <v>30</v>
      </c>
      <c r="C45" s="71">
        <v>63.9</v>
      </c>
      <c r="D45" s="60">
        <v>17</v>
      </c>
      <c r="E45" s="54">
        <f t="shared" si="1"/>
        <v>8.1788888888888883E-2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1.2905179834206734E-2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$O$5*Index!$D$4*O37*1*(1-(L41*0.016))</f>
        <v>2.6756976946332776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0.87283557086158392</v>
      </c>
      <c r="P45" s="43"/>
      <c r="Q45" s="54">
        <v>-10</v>
      </c>
      <c r="R45" s="69">
        <f>R44-0.01</f>
        <v>0.7</v>
      </c>
      <c r="S45" s="56">
        <v>1.2500000000000001E-2</v>
      </c>
      <c r="T45" s="43"/>
    </row>
    <row r="46" spans="1:20" ht="20.100000000000001" customHeight="1">
      <c r="A46" s="43"/>
      <c r="B46" s="54">
        <f t="shared" si="2"/>
        <v>20</v>
      </c>
      <c r="C46" s="71">
        <v>44.6</v>
      </c>
      <c r="D46" s="60">
        <v>11</v>
      </c>
      <c r="E46" s="54">
        <f t="shared" si="1"/>
        <v>5.2922222222222218E-2</v>
      </c>
      <c r="F46" s="43"/>
      <c r="G46" s="48" t="s">
        <v>29</v>
      </c>
      <c r="H46" s="48">
        <f>R41</f>
        <v>0.71777944862155396</v>
      </c>
      <c r="I46" s="48">
        <f>IF(Index!C4&gt;(-25+0.0001),'280'!R49,'280'!R57)</f>
        <v>0.74250000000000216</v>
      </c>
      <c r="J46" s="43"/>
      <c r="K46" s="61" t="s">
        <v>32</v>
      </c>
      <c r="L46" s="62">
        <f>O5*Index!D4*O37*1.25*(1-(L41*0.016))</f>
        <v>3.3446221182915967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0.88188815297713818</v>
      </c>
      <c r="P46" s="43"/>
      <c r="Q46" s="54">
        <v>-15</v>
      </c>
      <c r="R46" s="69">
        <f>R45-0.01</f>
        <v>0.69</v>
      </c>
      <c r="S46" s="56">
        <v>1.24E-2</v>
      </c>
      <c r="T46" s="43"/>
    </row>
    <row r="47" spans="1:20" ht="20.100000000000001" customHeight="1">
      <c r="A47" s="43"/>
      <c r="B47" s="54">
        <f t="shared" si="2"/>
        <v>10</v>
      </c>
      <c r="C47" s="71">
        <v>24.2</v>
      </c>
      <c r="D47" s="60">
        <v>5</v>
      </c>
      <c r="E47" s="54">
        <f t="shared" si="1"/>
        <v>2.4055555555555556E-2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95.668538451603112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97.437573976148954</v>
      </c>
      <c r="J47" s="43"/>
      <c r="K47" s="61" t="s">
        <v>33</v>
      </c>
      <c r="L47" s="62">
        <f>(100+(L45*2.75/-4))/100</f>
        <v>0.98160457834939618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0.84666966066221327</v>
      </c>
      <c r="P47" s="43"/>
      <c r="Q47" s="54">
        <v>-20</v>
      </c>
      <c r="R47" s="69">
        <f>R46-0.01</f>
        <v>0.67999999999999994</v>
      </c>
      <c r="S47" s="56">
        <v>1.23E-2</v>
      </c>
      <c r="T47" s="43"/>
    </row>
    <row r="48" spans="1:20" ht="20.100000000000001" customHeight="1">
      <c r="A48" s="43"/>
      <c r="B48" s="54">
        <f>B47-10</f>
        <v>0</v>
      </c>
      <c r="C48" s="71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23.100349819793337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15.896376370919825</v>
      </c>
      <c r="J48" s="43"/>
      <c r="K48" s="61" t="s">
        <v>35</v>
      </c>
      <c r="L48" s="62">
        <f>(100+(L46*4/-6.25))/100</f>
        <v>0.97859441844293371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2.9729931103651133</v>
      </c>
      <c r="P48" s="43"/>
      <c r="Q48" s="54">
        <v>-25</v>
      </c>
      <c r="R48" s="69">
        <f>R47-0.01</f>
        <v>0.66999999999999993</v>
      </c>
      <c r="S48" s="56">
        <v>1.2200000000000001E-2</v>
      </c>
      <c r="T48" s="43"/>
    </row>
    <row r="49" spans="1:20" ht="20.100000000000001" customHeight="1">
      <c r="A49" s="43"/>
      <c r="B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235.91864482191889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0.74250000000000216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71">
        <v>242</v>
      </c>
      <c r="D50" s="60">
        <v>198</v>
      </c>
      <c r="E50" s="54">
        <f>D50/45*0.2165</f>
        <v>0.95260000000000011</v>
      </c>
      <c r="F50" s="43"/>
      <c r="G50" s="48">
        <v>107.5</v>
      </c>
      <c r="H50" s="54">
        <v>276</v>
      </c>
      <c r="I50" s="54">
        <v>1.3399000000000001</v>
      </c>
      <c r="J50" s="43"/>
      <c r="K50" s="63" t="s">
        <v>37</v>
      </c>
      <c r="L50" s="52">
        <f>O43+L41+L46</f>
        <v>241.93896463484376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71">
        <v>233.5</v>
      </c>
      <c r="D51" s="60">
        <v>180</v>
      </c>
      <c r="E51" s="54">
        <f>D51/45*0.2165</f>
        <v>0.86599999999999999</v>
      </c>
      <c r="F51" s="43"/>
      <c r="G51" s="54">
        <v>105</v>
      </c>
      <c r="H51" s="54">
        <v>267.5</v>
      </c>
      <c r="I51" s="54">
        <v>1.2461</v>
      </c>
      <c r="J51" s="43"/>
      <c r="K51" s="43"/>
      <c r="L51" s="43"/>
      <c r="M51" s="43"/>
      <c r="N51" s="61">
        <f>MOD(H39,20/72)</f>
        <v>0.11298289604755229</v>
      </c>
      <c r="O51" s="62">
        <f>MOD(I39,20/72)</f>
        <v>0.21535175392672756</v>
      </c>
      <c r="P51" s="43"/>
      <c r="Q51" s="54">
        <v>-30</v>
      </c>
      <c r="R51" s="69">
        <f>R48-0.01</f>
        <v>0.65999999999999992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71">
        <v>225.1</v>
      </c>
      <c r="D52" s="60">
        <v>163</v>
      </c>
      <c r="E52" s="54">
        <f>D52/45*0.2165</f>
        <v>0.78421111111111108</v>
      </c>
      <c r="F52" s="43"/>
      <c r="G52" s="54">
        <v>102.5</v>
      </c>
      <c r="H52" s="54">
        <v>259</v>
      </c>
      <c r="I52" s="54">
        <v>1.1523000000000001</v>
      </c>
      <c r="J52" s="53"/>
      <c r="K52" s="54" t="s">
        <v>31</v>
      </c>
      <c r="L52" s="48">
        <f>O43+L41</f>
        <v>238.59434251655216</v>
      </c>
      <c r="M52" s="53"/>
      <c r="N52" s="61">
        <f>N51/(20/72)</f>
        <v>0.40673842577118824</v>
      </c>
      <c r="O52" s="62">
        <f>O51/(20/72)</f>
        <v>0.77526631413621916</v>
      </c>
      <c r="P52" s="53"/>
      <c r="Q52" s="54">
        <v>-35</v>
      </c>
      <c r="R52" s="69">
        <f>R51-0.01</f>
        <v>0.64999999999999991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1</v>
      </c>
      <c r="O53" s="62">
        <f>IF(O52&lt;0.288,ROUNDDOWN(O52,0),ROUNDUP(O52,0))</f>
        <v>1</v>
      </c>
      <c r="P53" s="53"/>
      <c r="Q53" s="54">
        <v>-40</v>
      </c>
      <c r="R53" s="69">
        <f>R52-0.01</f>
        <v>0.6399999999999999</v>
      </c>
      <c r="S53" s="56">
        <v>1.115E-2</v>
      </c>
      <c r="T53" s="43"/>
    </row>
    <row r="54" spans="1:20" ht="20.100000000000001" customHeight="1">
      <c r="A54" s="43"/>
      <c r="B54" s="632" t="s">
        <v>121</v>
      </c>
      <c r="C54" s="632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0.99025758745610393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1.040463454308628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1.0361860988720679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1.0050842304766601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1.0122432355428028</v>
      </c>
      <c r="M54" s="43"/>
      <c r="N54" s="61">
        <f>IF(N51&lt;0.08,11,N55)</f>
        <v>10</v>
      </c>
      <c r="O54" s="62">
        <f>IF(O51&lt;0.08,11,O55)</f>
        <v>11</v>
      </c>
      <c r="P54" s="42"/>
      <c r="Q54" s="54">
        <v>-45</v>
      </c>
      <c r="R54" s="69">
        <f>R53-0.01</f>
        <v>0.62999999999999989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3.0499375668328033</v>
      </c>
      <c r="C55" s="48">
        <f>I39/100*(O36*0.2165)*Link!$C$7</f>
        <v>3.1063348735200331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1.0588765805340223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1.0054196035656868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0.99532668656986945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1.0596627112519295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1.1555870754844431</v>
      </c>
      <c r="M55" s="43"/>
      <c r="N55" s="63">
        <f>IF(N51&gt;(20/72)-0.08,11,10)</f>
        <v>10</v>
      </c>
      <c r="O55" s="64">
        <f>IF(O51&gt;(20/72)-0.08,11,10)</f>
        <v>11</v>
      </c>
      <c r="P55" s="42"/>
      <c r="Q55" s="54">
        <v>-50</v>
      </c>
      <c r="R55" s="69">
        <f>R54-0.01</f>
        <v>0.61999999999999988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0.60999999999999988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IF(Index!C4&gt;(-25+0.0001),'280'!S49,'280'!S57)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0.72800000000012233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26" t="s">
        <v>64</v>
      </c>
      <c r="C61" s="628"/>
      <c r="D61" s="628"/>
      <c r="E61" s="627"/>
      <c r="F61" s="43"/>
      <c r="G61" s="626" t="s">
        <v>64</v>
      </c>
      <c r="H61" s="628"/>
      <c r="I61" s="627"/>
      <c r="J61" s="43"/>
      <c r="K61" s="48" t="s">
        <v>7</v>
      </c>
      <c r="L61" s="53"/>
      <c r="M61" s="42"/>
      <c r="N61" s="48" t="s">
        <v>8</v>
      </c>
      <c r="O61" s="54">
        <f>O62/0.2165</f>
        <v>3.0665961077457844</v>
      </c>
      <c r="P61" s="43"/>
      <c r="Q61" s="48">
        <v>1</v>
      </c>
      <c r="R61" s="55">
        <v>0.55000000000000004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19.79517685786643</v>
      </c>
      <c r="I62" s="54">
        <f>I63/0.2165</f>
        <v>20.28563230564291</v>
      </c>
      <c r="J62" s="43"/>
      <c r="K62" s="57" t="s">
        <v>11</v>
      </c>
      <c r="L62" s="58">
        <f>O62*$O$3*Index!$D$4</f>
        <v>2.5429536925083331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0.6639180573269623</v>
      </c>
      <c r="P62" s="43"/>
      <c r="Q62" s="48">
        <v>5</v>
      </c>
      <c r="R62" s="55">
        <f>R61+0.01</f>
        <v>0.56000000000000005</v>
      </c>
      <c r="S62" s="56">
        <v>1.3599999999999999E-2</v>
      </c>
    </row>
    <row r="63" spans="1:20" ht="20.100000000000001" customHeight="1">
      <c r="B63" s="59">
        <v>100</v>
      </c>
      <c r="C63" s="71">
        <v>284.8</v>
      </c>
      <c r="D63" s="60">
        <v>232</v>
      </c>
      <c r="E63" s="48">
        <f>D63/45*0.2165</f>
        <v>1.1161777777777779</v>
      </c>
      <c r="F63" s="43"/>
      <c r="G63" s="48" t="s">
        <v>7</v>
      </c>
      <c r="H63" s="48">
        <f>L64+O67+N73</f>
        <v>4.2856557897280823</v>
      </c>
      <c r="I63" s="48">
        <f>L65+O67+O73</f>
        <v>4.39183939417169</v>
      </c>
      <c r="J63" s="43"/>
      <c r="K63" s="61" t="s">
        <v>13</v>
      </c>
      <c r="L63" s="62">
        <f>IF(L66&gt;0,L62*O65,L62*O66)</f>
        <v>2.5041335926614599</v>
      </c>
      <c r="M63" s="53"/>
      <c r="N63" s="48" t="s">
        <v>14</v>
      </c>
      <c r="O63" s="48">
        <f>H70*POWER(H69,(C63-O68))</f>
        <v>0.98686716416290921</v>
      </c>
      <c r="P63" s="43"/>
      <c r="Q63" s="48">
        <v>10</v>
      </c>
      <c r="R63" s="55">
        <f>R62+0.01</f>
        <v>0.57000000000000006</v>
      </c>
      <c r="S63" s="56">
        <v>1.38E-2</v>
      </c>
    </row>
    <row r="64" spans="1:20" ht="20.100000000000001" customHeight="1">
      <c r="B64" s="59">
        <v>90</v>
      </c>
      <c r="C64" s="71">
        <v>254.7</v>
      </c>
      <c r="D64" s="60">
        <v>170</v>
      </c>
      <c r="E64" s="48">
        <f>D64/45*0.2165</f>
        <v>0.81788888888888889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83.98927047924802</v>
      </c>
      <c r="I64" s="48">
        <f>100*(L75-C64)*(L75-C65)/((C63-C64)*(C63-C65))+90*(L75-C63)*(L75-C65)/((C64-C63)*(C64-C65))+80*(L75-C63)*(L75-C64)/((C65-C63)*(C65-C64))</f>
        <v>85.507376366571776</v>
      </c>
      <c r="J64" s="43"/>
      <c r="K64" s="61" t="s">
        <v>15</v>
      </c>
      <c r="L64" s="62">
        <f>L63*L72</f>
        <v>2.4714393379438695</v>
      </c>
      <c r="M64" s="53"/>
      <c r="N64" s="48" t="s">
        <v>16</v>
      </c>
      <c r="O64" s="48">
        <f>I70*POWER(I69,(C63-O68))</f>
        <v>1.1749847358027237</v>
      </c>
      <c r="P64" s="43"/>
      <c r="Q64" s="48">
        <v>15</v>
      </c>
      <c r="R64" s="55">
        <f>R63+0.01</f>
        <v>0.58000000000000007</v>
      </c>
      <c r="S64" s="56">
        <v>1.4E-2</v>
      </c>
    </row>
    <row r="65" spans="2:24" ht="20.100000000000001" customHeight="1">
      <c r="B65" s="59">
        <v>80</v>
      </c>
      <c r="C65" s="71">
        <v>225.7</v>
      </c>
      <c r="D65" s="60">
        <v>125</v>
      </c>
      <c r="E65" s="48">
        <f>D65/45*0.2165</f>
        <v>0.60138888888888886</v>
      </c>
      <c r="F65" s="43"/>
      <c r="G65" s="48" t="s">
        <v>17</v>
      </c>
      <c r="H65" s="48">
        <f>INDEX('R280'!I291:I363,(ROUNDUP(((H64-80)/(20/72))+1,0)),1)</f>
        <v>232.29999999999998</v>
      </c>
      <c r="I65" s="48">
        <f>INDEX('R280'!I291:I363,(ROUNDUP(((I64-80)/(20/72))+1,0)),1)</f>
        <v>236.13333333333338</v>
      </c>
      <c r="J65" s="43"/>
      <c r="K65" s="61" t="s">
        <v>18</v>
      </c>
      <c r="L65" s="62">
        <f>L63/L73</f>
        <v>2.5448309838358938</v>
      </c>
      <c r="M65" s="53"/>
      <c r="N65" s="48" t="s">
        <v>19</v>
      </c>
      <c r="O65" s="48">
        <f>IF((O68&gt;0),((100+(L66/-H68))/100))</f>
        <v>0.98473424822432309</v>
      </c>
      <c r="P65" s="43"/>
      <c r="Q65" s="48">
        <v>20</v>
      </c>
      <c r="R65" s="55">
        <f>R64+0.01</f>
        <v>0.59000000000000008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4.9487942144666075</v>
      </c>
      <c r="I66" s="54">
        <f>I62/4</f>
        <v>5.0714080764107274</v>
      </c>
      <c r="J66" s="43"/>
      <c r="K66" s="63" t="s">
        <v>21</v>
      </c>
      <c r="L66" s="64">
        <f>IF(Index!$C$4&gt;0,Index!$C$4*O63,Index!$C$4*O64)</f>
        <v>3.9474686566516368</v>
      </c>
      <c r="M66" s="53"/>
      <c r="N66" s="48" t="s">
        <v>22</v>
      </c>
      <c r="O66" s="48">
        <f>IF((O68&gt;0),((100+(L66/-I68))/100))</f>
        <v>0.98348680488895435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0.55777944862155404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280'!G25</f>
        <v>2.5858331215244728</v>
      </c>
      <c r="I68" s="48">
        <f>'inf 280'!H25</f>
        <v>2.3904935599114916</v>
      </c>
      <c r="J68" s="43"/>
      <c r="K68" s="48" t="s">
        <v>25</v>
      </c>
      <c r="L68" s="53"/>
      <c r="M68" s="53"/>
      <c r="N68" s="48" t="s">
        <v>26</v>
      </c>
      <c r="O68" s="48">
        <f>'280'!H14</f>
        <v>235.09625</v>
      </c>
      <c r="P68" s="43"/>
      <c r="Q68" s="48">
        <v>-1</v>
      </c>
      <c r="R68" s="55">
        <v>0.61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1.0115455937918154</v>
      </c>
      <c r="I69" s="48">
        <f>(1+(I71*S75))</f>
        <v>1.0130404202378032</v>
      </c>
      <c r="J69" s="43"/>
      <c r="K69" s="57" t="s">
        <v>28</v>
      </c>
      <c r="L69" s="58">
        <f>O62*Index!$D$4*$O$2</f>
        <v>2.1337915054846448</v>
      </c>
      <c r="M69" s="53"/>
      <c r="N69" s="43"/>
      <c r="O69" s="43"/>
      <c r="P69" s="43"/>
      <c r="Q69" s="48">
        <v>-10</v>
      </c>
      <c r="R69" s="55">
        <f t="shared" ref="R69:R74" si="3">R68-0.01</f>
        <v>0.6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0.55777944862155404</v>
      </c>
      <c r="I70" s="48">
        <f>R75</f>
        <v>0.61710697527886438</v>
      </c>
      <c r="J70" s="43"/>
      <c r="K70" s="61" t="s">
        <v>30</v>
      </c>
      <c r="L70" s="62">
        <f>O5*Index!D4*O62*0.95*(1-(L66*0.016))</f>
        <v>1.8990711888769136</v>
      </c>
      <c r="M70" s="42"/>
      <c r="N70" s="54" t="s">
        <v>31</v>
      </c>
      <c r="O70" s="48">
        <f>O68+L66</f>
        <v>239.04371865665163</v>
      </c>
      <c r="P70" s="43"/>
      <c r="Q70" s="48">
        <v>-20</v>
      </c>
      <c r="R70" s="55">
        <f t="shared" si="3"/>
        <v>0.59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0.85319765174642503</v>
      </c>
      <c r="I71" s="54">
        <f>1*(O68-C64)*(O68-C65)/((C63-C64)*(C63-C65))+0.903*(O68-C63)*(O68-C65)/((C64-C63)*(C64-C65))+0.76*(O68-C63)*(O68-C64)/((C65-C63)*(C65-C64))</f>
        <v>0.81165807520482991</v>
      </c>
      <c r="J71" s="43"/>
      <c r="K71" s="61" t="s">
        <v>32</v>
      </c>
      <c r="L71" s="62">
        <f>O5*Index!D4*O62*1.25*(1-(L66*0.016))</f>
        <v>2.4987778801012026</v>
      </c>
      <c r="M71" s="42"/>
      <c r="N71" s="43"/>
      <c r="O71" s="43"/>
      <c r="P71" s="43"/>
      <c r="Q71" s="48">
        <v>-30</v>
      </c>
      <c r="R71" s="55">
        <f t="shared" si="3"/>
        <v>0.57999999999999996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0.98694388557647117</v>
      </c>
      <c r="M72" s="42"/>
      <c r="N72" s="632" t="s">
        <v>121</v>
      </c>
      <c r="O72" s="632"/>
      <c r="P72" s="43"/>
      <c r="Q72" s="48">
        <v>-40</v>
      </c>
      <c r="R72" s="55">
        <f t="shared" si="3"/>
        <v>0.56999999999999995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0.98400782156735234</v>
      </c>
      <c r="M73" s="42"/>
      <c r="N73" s="60">
        <f>H64/100*(O61*0.2165)*Link!$C$7*0.9</f>
        <v>1.814216451784213</v>
      </c>
      <c r="O73" s="48">
        <f>I64/100*(O61*0.2165)*Link!$C$7*0.9</f>
        <v>1.8470084103357964</v>
      </c>
      <c r="P73" s="42"/>
      <c r="Q73" s="48">
        <v>-50</v>
      </c>
      <c r="R73" s="55">
        <f t="shared" si="3"/>
        <v>0.55999999999999994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237.14464746777472</v>
      </c>
      <c r="M74" s="43"/>
      <c r="N74" s="43"/>
      <c r="O74" s="43"/>
      <c r="P74" s="43"/>
      <c r="Q74" s="48">
        <v>-60</v>
      </c>
      <c r="R74" s="55">
        <f t="shared" si="3"/>
        <v>0.54999999999999993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241.54249653675285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0.61710697527886438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26" t="s">
        <v>65</v>
      </c>
      <c r="C79" s="628"/>
      <c r="D79" s="628"/>
      <c r="E79" s="627"/>
      <c r="F79" s="43"/>
      <c r="G79" s="626" t="s">
        <v>65</v>
      </c>
      <c r="H79" s="628"/>
      <c r="I79" s="627"/>
      <c r="J79" s="43"/>
      <c r="K79" s="48" t="s">
        <v>7</v>
      </c>
      <c r="L79" s="53"/>
      <c r="M79" s="42"/>
      <c r="N79" s="48" t="s">
        <v>8</v>
      </c>
      <c r="O79" s="54">
        <f>O80/0.2165</f>
        <v>3.8086525814460312</v>
      </c>
      <c r="P79" s="43"/>
      <c r="Q79" s="48">
        <v>1</v>
      </c>
      <c r="R79" s="55">
        <v>0.52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23.764416082769788</v>
      </c>
      <c r="I80" s="54">
        <f>I81/0.2165</f>
        <v>24.521037762083889</v>
      </c>
      <c r="J80" s="43"/>
      <c r="K80" s="57" t="s">
        <v>11</v>
      </c>
      <c r="L80" s="58">
        <f>O80*$O$3*Index!$D$4</f>
        <v>3.1582989103149499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0.82457328388306572</v>
      </c>
      <c r="P80" s="43"/>
      <c r="Q80" s="48">
        <v>5</v>
      </c>
      <c r="R80" s="55">
        <f>R79+0.01</f>
        <v>0.53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71">
        <v>268.2</v>
      </c>
      <c r="D81" s="60">
        <v>244</v>
      </c>
      <c r="E81" s="48">
        <f>D81/45*0.2165</f>
        <v>1.1739111111111111</v>
      </c>
      <c r="F81" s="43"/>
      <c r="G81" s="48" t="s">
        <v>7</v>
      </c>
      <c r="H81" s="48">
        <f>L82+O85+N91</f>
        <v>5.1449960819196594</v>
      </c>
      <c r="I81" s="48">
        <f>L83+O85+O91</f>
        <v>5.308804675491162</v>
      </c>
      <c r="J81" s="43"/>
      <c r="K81" s="61" t="s">
        <v>13</v>
      </c>
      <c r="L81" s="62">
        <f>IF(L84&gt;0,L80*O83,L80*O84)</f>
        <v>3.1190255030340879</v>
      </c>
      <c r="M81" s="53"/>
      <c r="N81" s="48" t="s">
        <v>14</v>
      </c>
      <c r="O81" s="48">
        <f>H88*POWER(H87,(C81-O86))</f>
        <v>0.7970998452693</v>
      </c>
      <c r="P81" s="43"/>
      <c r="Q81" s="48">
        <v>10</v>
      </c>
      <c r="R81" s="55">
        <f>R80+0.01</f>
        <v>0.54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71">
        <v>240.7</v>
      </c>
      <c r="D82" s="60">
        <v>182</v>
      </c>
      <c r="E82" s="48">
        <f>D82/45*0.2165</f>
        <v>0.87562222222222219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88.209266000021387</v>
      </c>
      <c r="I82" s="48">
        <f>100*(L93-C82)*(L93-C83)/((C81-C82)*(C81-C83))+90*(L93-C81)*(L93-C83)/((C82-C81)*(C82-C83))+80*(L93-C81)*(L93-C82)/((C83-C81)*(C83-C82))</f>
        <v>90.270322997621221</v>
      </c>
      <c r="J82" s="43"/>
      <c r="K82" s="61" t="s">
        <v>15</v>
      </c>
      <c r="L82" s="62">
        <f>L81*L90</f>
        <v>3.0677934663430424</v>
      </c>
      <c r="M82" s="53"/>
      <c r="N82" s="48" t="s">
        <v>16</v>
      </c>
      <c r="O82" s="48">
        <f>I88*POWER(I87,(C81-O86))</f>
        <v>0.91696622517275761</v>
      </c>
      <c r="P82" s="43"/>
      <c r="Q82" s="48">
        <v>15</v>
      </c>
      <c r="R82" s="55">
        <f>R81+0.01</f>
        <v>0.55000000000000004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71">
        <v>214.3</v>
      </c>
      <c r="D83" s="60">
        <v>138</v>
      </c>
      <c r="E83" s="48">
        <f>D83/45*0.2165</f>
        <v>0.66393333333333338</v>
      </c>
      <c r="F83" s="43"/>
      <c r="G83" s="48" t="s">
        <v>17</v>
      </c>
      <c r="H83" s="48">
        <f>INDEX('R280'!L291:L363,(ROUNDUP(((H82-80)/(20/72))+1,0)),1)</f>
        <v>226.13333333333344</v>
      </c>
      <c r="I83" s="48">
        <f>INDEX('R280'!L291:L363,(ROUNDUP(((I82-80)/(20/72))+1,0)),1)</f>
        <v>231.1111111111112</v>
      </c>
      <c r="J83" s="43"/>
      <c r="K83" s="61" t="s">
        <v>18</v>
      </c>
      <c r="L83" s="62">
        <f>L81/L91</f>
        <v>3.183067102302882</v>
      </c>
      <c r="M83" s="53"/>
      <c r="N83" s="48" t="s">
        <v>19</v>
      </c>
      <c r="O83" s="48">
        <f>IF((O86&gt;0),((100+(L84/-H86))/100))</f>
        <v>0.98756501256021212</v>
      </c>
      <c r="P83" s="43"/>
      <c r="Q83" s="48">
        <v>20</v>
      </c>
      <c r="R83" s="55">
        <f>R82+0.01</f>
        <v>0.56000000000000005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5.941104020692447</v>
      </c>
      <c r="I84" s="54">
        <f>I80/4</f>
        <v>6.1302594405209723</v>
      </c>
      <c r="J84" s="43"/>
      <c r="K84" s="63" t="s">
        <v>21</v>
      </c>
      <c r="L84" s="64">
        <f>IF(Index!$C$4&gt;0,Index!$C$4*O81,Index!$C$4*O82)</f>
        <v>3.1883993810772</v>
      </c>
      <c r="M84" s="53"/>
      <c r="N84" s="48" t="s">
        <v>22</v>
      </c>
      <c r="O84" s="48">
        <f>IF((O86&gt;0),((100+(L84/-I86))/100))</f>
        <v>0.98698607764732915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0.52777944862155401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280'!K25</f>
        <v>2.5640551681422257</v>
      </c>
      <c r="I86" s="48">
        <f>'inf 280'!L25</f>
        <v>2.449991090059668</v>
      </c>
      <c r="J86" s="43"/>
      <c r="K86" s="48" t="s">
        <v>25</v>
      </c>
      <c r="L86" s="53"/>
      <c r="M86" s="53"/>
      <c r="N86" s="48" t="s">
        <v>26</v>
      </c>
      <c r="O86" s="48">
        <f>'280'!H14</f>
        <v>235.09625</v>
      </c>
      <c r="P86" s="43"/>
      <c r="Q86" s="48">
        <v>-1</v>
      </c>
      <c r="R86" s="55">
        <v>0.56999999999999995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1.0125327108326712</v>
      </c>
      <c r="I87" s="48">
        <f>(1+(I89*S93))</f>
        <v>1.0140859141486014</v>
      </c>
      <c r="J87" s="43"/>
      <c r="K87" s="57" t="s">
        <v>28</v>
      </c>
      <c r="L87" s="58">
        <f>O80*Index!$D$4*$O$2</f>
        <v>2.6501274507928803</v>
      </c>
      <c r="M87" s="53"/>
      <c r="N87" s="43"/>
      <c r="O87" s="43"/>
      <c r="P87" s="43"/>
      <c r="Q87" s="48">
        <v>-10</v>
      </c>
      <c r="R87" s="55">
        <f t="shared" ref="R87:R92" si="4">R86-0.01</f>
        <v>0.55999999999999994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0.52777944862155401</v>
      </c>
      <c r="I88" s="48">
        <f>R93</f>
        <v>0.57710697527886656</v>
      </c>
      <c r="J88" s="43"/>
      <c r="K88" s="61" t="s">
        <v>30</v>
      </c>
      <c r="L88" s="62">
        <f>O5*Index!D4*O80*0.95*(1-(L84*0.016))</f>
        <v>2.3891861744502036</v>
      </c>
      <c r="M88" s="42"/>
      <c r="N88" s="54" t="s">
        <v>31</v>
      </c>
      <c r="O88" s="48">
        <f>O86+L84</f>
        <v>238.2846493810772</v>
      </c>
      <c r="P88" s="43"/>
      <c r="Q88" s="48">
        <v>-20</v>
      </c>
      <c r="R88" s="55">
        <f t="shared" si="4"/>
        <v>0.54999999999999993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0.89314295166396118</v>
      </c>
      <c r="I89" s="54">
        <f>1*(O86-C82)*(O86-C83)/((C81-C82)*(C81-C83))+0.903*(O86-C81)*(O86-C83)/((C82-C81)*(C82-C83))+0.76*(O86-C81)*(O86-C82)/((C83-C81)*(C83-C82))</f>
        <v>0.87673140564988672</v>
      </c>
      <c r="J89" s="43"/>
      <c r="K89" s="61" t="s">
        <v>32</v>
      </c>
      <c r="L89" s="62">
        <f>O5*Index!D4*O80*1.25*(1-(L84*0.016))</f>
        <v>3.143666019013426</v>
      </c>
      <c r="M89" s="42"/>
      <c r="N89" s="43"/>
      <c r="O89" s="43"/>
      <c r="P89" s="43"/>
      <c r="Q89" s="48">
        <v>-30</v>
      </c>
      <c r="R89" s="55">
        <f t="shared" si="4"/>
        <v>0.53999999999999992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0.98357434505065489</v>
      </c>
      <c r="M90" s="42"/>
      <c r="N90" s="632" t="s">
        <v>121</v>
      </c>
      <c r="O90" s="632"/>
      <c r="P90" s="43"/>
      <c r="Q90" s="48">
        <v>-40</v>
      </c>
      <c r="R90" s="55">
        <f t="shared" si="4"/>
        <v>0.52999999999999992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0.97988053747831405</v>
      </c>
      <c r="M91" s="42"/>
      <c r="N91" s="60">
        <f>H82/100*(O79*0.2165)*Link!$C$7*0.79</f>
        <v>2.0772026155766175</v>
      </c>
      <c r="O91" s="48">
        <f>I82/100*(O79*0.2165)*Link!$C$7*0.79</f>
        <v>2.1257375731882795</v>
      </c>
      <c r="P91" s="42"/>
      <c r="Q91" s="48">
        <v>-50</v>
      </c>
      <c r="R91" s="55">
        <f t="shared" si="4"/>
        <v>0.51999999999999991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235.895463206627</v>
      </c>
      <c r="M92" s="43"/>
      <c r="N92" s="43"/>
      <c r="O92" s="43"/>
      <c r="P92" s="43"/>
      <c r="Q92" s="48">
        <v>-60</v>
      </c>
      <c r="R92" s="55">
        <f t="shared" si="4"/>
        <v>0.5099999999999999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241.42831540009064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0.57710697527886656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29" t="s">
        <v>66</v>
      </c>
      <c r="C97" s="630"/>
      <c r="D97" s="630"/>
      <c r="E97" s="631"/>
      <c r="F97" s="43"/>
      <c r="G97" s="629" t="s">
        <v>66</v>
      </c>
      <c r="H97" s="630"/>
      <c r="I97" s="631"/>
      <c r="J97" s="53"/>
      <c r="K97" s="48" t="s">
        <v>7</v>
      </c>
      <c r="L97" s="53"/>
      <c r="M97" s="43"/>
      <c r="N97" s="48" t="s">
        <v>8</v>
      </c>
      <c r="O97" s="48">
        <f>O98/0.2165</f>
        <v>5.1440749038272422</v>
      </c>
      <c r="P97" s="42"/>
      <c r="Q97" s="48">
        <v>1</v>
      </c>
      <c r="R97" s="55">
        <v>0.65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35.883508681735243</v>
      </c>
      <c r="I98" s="54">
        <f>I99/0.2165</f>
        <v>37.301163463998321</v>
      </c>
      <c r="J98" s="53"/>
      <c r="K98" s="57" t="s">
        <v>11</v>
      </c>
      <c r="L98" s="58">
        <f>O98*$O$3*Index!$D$4</f>
        <v>4.2656886696574841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1.1136922166785979</v>
      </c>
      <c r="P98" s="43"/>
      <c r="Q98" s="48">
        <v>5</v>
      </c>
      <c r="R98" s="55">
        <f>R97+0.01</f>
        <v>0.66</v>
      </c>
      <c r="S98" s="56">
        <v>1.3599999999999999E-2</v>
      </c>
    </row>
    <row r="99" spans="2:19" ht="20.100000000000001" customHeight="1">
      <c r="B99" s="54">
        <v>100</v>
      </c>
      <c r="C99" s="71">
        <v>233.8</v>
      </c>
      <c r="D99" s="60">
        <v>228</v>
      </c>
      <c r="E99" s="54">
        <f>D99/45*0.2165</f>
        <v>1.0969333333333333</v>
      </c>
      <c r="F99" s="43"/>
      <c r="G99" s="48" t="s">
        <v>7</v>
      </c>
      <c r="H99" s="48">
        <f>L100+O103+B116</f>
        <v>7.7687796295956799</v>
      </c>
      <c r="I99" s="48">
        <f>L101+O103+C116</f>
        <v>8.0757018899556368</v>
      </c>
      <c r="J99" s="53"/>
      <c r="K99" s="61" t="s">
        <v>13</v>
      </c>
      <c r="L99" s="62">
        <f>IF(L102&gt;0,L98*O101,L98*O102)</f>
        <v>4.2402443435168085</v>
      </c>
      <c r="M99" s="43"/>
      <c r="N99" s="48" t="s">
        <v>14</v>
      </c>
      <c r="O99" s="48">
        <f>H107*POWER((1+(H106)),C99-O104)</f>
        <v>0.64590838940899908</v>
      </c>
      <c r="P99" s="43"/>
      <c r="Q99" s="48">
        <v>10</v>
      </c>
      <c r="R99" s="55">
        <f>R98+0.01</f>
        <v>0.67</v>
      </c>
      <c r="S99" s="56">
        <v>1.38E-2</v>
      </c>
    </row>
    <row r="100" spans="2:19" ht="20.100000000000001" customHeight="1">
      <c r="B100" s="54">
        <f>B99-10</f>
        <v>90</v>
      </c>
      <c r="C100" s="71">
        <v>203.2</v>
      </c>
      <c r="D100" s="60">
        <v>159</v>
      </c>
      <c r="E100" s="54">
        <f t="shared" ref="E100:E109" si="5">D100/45*0.2165</f>
        <v>0.76496666666666668</v>
      </c>
      <c r="F100" s="43"/>
      <c r="G100" s="48" t="s">
        <v>5</v>
      </c>
      <c r="H100" s="48">
        <f>IF(O104&gt;(C106-0.0001),H108,H109)</f>
        <v>100.14262839624661</v>
      </c>
      <c r="I100" s="48">
        <f>IF(O104&gt;(C106-0.0001),I108,I109)</f>
        <v>102.54941737201679</v>
      </c>
      <c r="J100" s="53"/>
      <c r="K100" s="61" t="s">
        <v>15</v>
      </c>
      <c r="L100" s="62">
        <f>L99*L108</f>
        <v>4.1402140087068853</v>
      </c>
      <c r="M100" s="43"/>
      <c r="N100" s="48" t="s">
        <v>16</v>
      </c>
      <c r="O100" s="48">
        <f>I107*POWER((1+(I106)),C99-O104)</f>
        <v>0.69250000000000234</v>
      </c>
      <c r="P100" s="43"/>
      <c r="Q100" s="48">
        <v>15</v>
      </c>
      <c r="R100" s="55">
        <f>R99+0.01</f>
        <v>0.68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71">
        <v>174</v>
      </c>
      <c r="D101" s="60">
        <v>111</v>
      </c>
      <c r="E101" s="54">
        <f t="shared" si="5"/>
        <v>0.53403333333333336</v>
      </c>
      <c r="F101" s="43"/>
      <c r="G101" s="48" t="s">
        <v>17</v>
      </c>
      <c r="H101" s="48" t="e">
        <f>IF(N114=0,INDEX('R280'!H39:H363,(ROUNDDOWN(((H100-10)/(20/72)+1),0)),1),INDEX('R280'!H39:H363,(ROUNDUP(((H100-10)/(20/72))+1,0)),1))</f>
        <v>#REF!</v>
      </c>
      <c r="I101" s="48" t="e">
        <f>IF(O114=0,INDEX('R280'!H39:H363,(ROUNDDOWN(((I100-10)/(20/72)+1),0)),1),INDEX('R280'!H39:H363,(ROUNDUP(((I100-10)/(20/72))+1,0)),1))</f>
        <v>#REF!</v>
      </c>
      <c r="J101" s="53"/>
      <c r="K101" s="61" t="s">
        <v>18</v>
      </c>
      <c r="L101" s="62">
        <f>L99/L109</f>
        <v>4.3599287344327582</v>
      </c>
      <c r="M101" s="43"/>
      <c r="N101" s="48" t="s">
        <v>19</v>
      </c>
      <c r="O101" s="48">
        <f>IF((O104&gt;0),((100+(L102/-H105))/100))</f>
        <v>0.99403511880234841</v>
      </c>
      <c r="P101" s="42"/>
      <c r="Q101" s="48">
        <v>20</v>
      </c>
      <c r="R101" s="55">
        <f>R100+0.01</f>
        <v>0.69000000000000006</v>
      </c>
      <c r="S101" s="56">
        <v>1.43E-2</v>
      </c>
    </row>
    <row r="102" spans="2:19" ht="20.100000000000001" customHeight="1">
      <c r="B102" s="54">
        <f t="shared" si="6"/>
        <v>70</v>
      </c>
      <c r="C102" s="71">
        <v>147.4</v>
      </c>
      <c r="D102" s="60">
        <v>79</v>
      </c>
      <c r="E102" s="54">
        <f t="shared" si="5"/>
        <v>0.38007777777777779</v>
      </c>
      <c r="F102" s="43"/>
      <c r="G102" s="48" t="s">
        <v>39</v>
      </c>
      <c r="H102" s="48">
        <f>N115</f>
        <v>10</v>
      </c>
      <c r="I102" s="48">
        <f>O115</f>
        <v>11</v>
      </c>
      <c r="J102" s="53"/>
      <c r="K102" s="63" t="s">
        <v>21</v>
      </c>
      <c r="L102" s="64">
        <f>IF(Index!$C$4&gt;0,Index!$C$4*O99,Index!$C$4*O100)</f>
        <v>2.5836335576359963</v>
      </c>
      <c r="M102" s="43"/>
      <c r="N102" s="48" t="s">
        <v>22</v>
      </c>
      <c r="O102" s="48">
        <f>IF((O104&gt;0),((100+(L102/-I105))/100))</f>
        <v>0.99330881203350374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0.6577794486215538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71">
        <v>123.5</v>
      </c>
      <c r="D103" s="60">
        <v>57</v>
      </c>
      <c r="E103" s="54">
        <f t="shared" si="5"/>
        <v>0.27423333333333333</v>
      </c>
      <c r="F103" s="43"/>
      <c r="G103" s="54" t="s">
        <v>20</v>
      </c>
      <c r="H103" s="54">
        <f>H98/4</f>
        <v>8.9708771704338108</v>
      </c>
      <c r="I103" s="54">
        <f>I98/4</f>
        <v>9.3252908659995803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71">
        <v>101.9</v>
      </c>
      <c r="D104" s="60">
        <v>42</v>
      </c>
      <c r="E104" s="54">
        <f t="shared" si="5"/>
        <v>0.20206666666666667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0.67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71">
        <v>82.1</v>
      </c>
      <c r="D105" s="60">
        <v>31</v>
      </c>
      <c r="E105" s="54">
        <f t="shared" si="5"/>
        <v>0.14914444444444444</v>
      </c>
      <c r="F105" s="43"/>
      <c r="G105" s="48" t="s">
        <v>24</v>
      </c>
      <c r="H105" s="48">
        <f>IF('280'!O104&gt;('280'!C106-0.0001),'inf 280'!G11,'inf 280'!G19)</f>
        <v>4.3314082410446417</v>
      </c>
      <c r="I105" s="48">
        <f>IF('280'!O104&gt;('280'!C106-0.0001),'inf 280'!H11,'inf 280'!H19)</f>
        <v>3.86124791378244</v>
      </c>
      <c r="J105" s="43"/>
      <c r="K105" s="57" t="s">
        <v>28</v>
      </c>
      <c r="L105" s="58">
        <f>O98*Index!$D$4*$O$2</f>
        <v>3.5793377894266971</v>
      </c>
      <c r="M105" s="53"/>
      <c r="N105" s="43"/>
      <c r="O105" s="43"/>
      <c r="P105" s="42"/>
      <c r="Q105" s="54">
        <v>-5</v>
      </c>
      <c r="R105" s="69">
        <f>R104-0.01</f>
        <v>0.66</v>
      </c>
      <c r="S105" s="56">
        <v>1.26E-2</v>
      </c>
    </row>
    <row r="106" spans="2:19" ht="20.100000000000001" customHeight="1">
      <c r="B106" s="54">
        <f t="shared" si="6"/>
        <v>30</v>
      </c>
      <c r="C106" s="71">
        <v>63.2</v>
      </c>
      <c r="D106" s="60">
        <v>22</v>
      </c>
      <c r="E106" s="54">
        <f t="shared" si="5"/>
        <v>0.10584444444444444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1.4148927684637828E-2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3.4313746337966573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1.1116886787201308</v>
      </c>
      <c r="P106" s="43"/>
      <c r="Q106" s="54">
        <v>-10</v>
      </c>
      <c r="R106" s="69">
        <f>R105-0.01</f>
        <v>0.65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71">
        <v>44.4</v>
      </c>
      <c r="D107" s="60">
        <v>15</v>
      </c>
      <c r="E107" s="54">
        <f t="shared" si="5"/>
        <v>7.2166666666666657E-2</v>
      </c>
      <c r="F107" s="43"/>
      <c r="G107" s="48" t="s">
        <v>29</v>
      </c>
      <c r="H107" s="48">
        <f>R102</f>
        <v>0.6577794486215538</v>
      </c>
      <c r="I107" s="48">
        <f>IF(Index!C4&gt;(-25+0.0001),'280'!R110,'280'!R118)</f>
        <v>0.69250000000000234</v>
      </c>
      <c r="J107" s="43"/>
      <c r="K107" s="61" t="s">
        <v>32</v>
      </c>
      <c r="L107" s="62">
        <f>O5*Index!D4*O98*1.25*(1-(L102*0.016))</f>
        <v>4.2892182922458222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1.1136951890101798</v>
      </c>
      <c r="P107" s="43"/>
      <c r="Q107" s="54">
        <v>-15</v>
      </c>
      <c r="R107" s="69">
        <f>R106-0.01</f>
        <v>0.64</v>
      </c>
      <c r="S107" s="56">
        <v>1.24E-2</v>
      </c>
    </row>
    <row r="108" spans="2:19" ht="20.100000000000001" customHeight="1">
      <c r="B108" s="54">
        <f t="shared" si="6"/>
        <v>10</v>
      </c>
      <c r="C108" s="71">
        <v>24.2</v>
      </c>
      <c r="D108" s="60">
        <v>7</v>
      </c>
      <c r="E108" s="54">
        <f t="shared" si="5"/>
        <v>3.3677777777777779E-2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100.14262839624661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102.54941737201679</v>
      </c>
      <c r="J108" s="43"/>
      <c r="K108" s="61" t="s">
        <v>33</v>
      </c>
      <c r="L108" s="62">
        <f>(100+(L106*2.75/-4))/100</f>
        <v>0.97640929939264798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1.1136922166785979</v>
      </c>
      <c r="P108" s="43"/>
      <c r="Q108" s="54">
        <v>-20</v>
      </c>
      <c r="R108" s="69">
        <f>R107-0.01</f>
        <v>0.63</v>
      </c>
      <c r="S108" s="56">
        <v>1.23E-2</v>
      </c>
    </row>
    <row r="109" spans="2:19" ht="20.100000000000001" customHeight="1">
      <c r="B109" s="54">
        <f>B108-10</f>
        <v>0</v>
      </c>
      <c r="C109" s="71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-11.597364388071583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-28.104908191471623</v>
      </c>
      <c r="J109" s="43"/>
      <c r="K109" s="61" t="s">
        <v>35</v>
      </c>
      <c r="L109" s="62">
        <f>(100+(L107*4/-6.25))/100</f>
        <v>0.97254900292962676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8.803310136646715</v>
      </c>
      <c r="P109" s="43"/>
      <c r="Q109" s="54">
        <v>-25</v>
      </c>
      <c r="R109" s="69">
        <f>R108-0.01</f>
        <v>0.62</v>
      </c>
      <c r="S109" s="56">
        <v>1.2200000000000001E-2</v>
      </c>
    </row>
    <row r="110" spans="2:19" ht="20.100000000000001" customHeight="1">
      <c r="B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234.24850892383935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0.69250000000000234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71">
        <v>226.1</v>
      </c>
      <c r="D111" s="60">
        <v>208</v>
      </c>
      <c r="E111" s="54">
        <f>D111/45*0.2165</f>
        <v>1.0007111111111111</v>
      </c>
      <c r="F111" s="43"/>
      <c r="G111" s="48">
        <v>107.5</v>
      </c>
      <c r="H111" s="54">
        <v>256.89999999999998</v>
      </c>
      <c r="I111" s="54">
        <v>1.3761000000000001</v>
      </c>
      <c r="J111" s="43"/>
      <c r="K111" s="63" t="s">
        <v>37</v>
      </c>
      <c r="L111" s="52">
        <f>O104+L102+L107</f>
        <v>241.96910184988184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71">
        <v>218.4</v>
      </c>
      <c r="D112" s="60">
        <v>190</v>
      </c>
      <c r="E112" s="54">
        <f>D112/45*0.2165</f>
        <v>0.9141111111111111</v>
      </c>
      <c r="F112" s="43"/>
      <c r="G112" s="54">
        <v>105</v>
      </c>
      <c r="H112" s="54">
        <v>249.2</v>
      </c>
      <c r="I112" s="54">
        <v>1.2846</v>
      </c>
      <c r="J112" s="43"/>
      <c r="K112" s="43"/>
      <c r="L112" s="43"/>
      <c r="M112" s="43"/>
      <c r="N112" s="61">
        <f>MOD(H100,20/72)</f>
        <v>0.14262839624660284</v>
      </c>
      <c r="O112" s="62">
        <f>MOD(I100,20/72)</f>
        <v>4.9417372016786199E-2</v>
      </c>
      <c r="P112" s="43"/>
      <c r="Q112" s="54">
        <v>-30</v>
      </c>
      <c r="R112" s="69">
        <f>R109-0.01</f>
        <v>0.61</v>
      </c>
      <c r="S112" s="56">
        <v>1.1350000000000001E-2</v>
      </c>
    </row>
    <row r="113" spans="1:20" ht="20.100000000000001" customHeight="1">
      <c r="B113" s="54">
        <v>92.5</v>
      </c>
      <c r="C113" s="71">
        <v>210.7</v>
      </c>
      <c r="D113" s="60">
        <v>174</v>
      </c>
      <c r="E113" s="54">
        <f>D113/45*0.2165</f>
        <v>0.83713333333333328</v>
      </c>
      <c r="F113" s="43"/>
      <c r="G113" s="54">
        <v>102.5</v>
      </c>
      <c r="H113" s="54">
        <v>241.5</v>
      </c>
      <c r="I113" s="54">
        <v>1.1932</v>
      </c>
      <c r="J113" s="53"/>
      <c r="K113" s="54" t="s">
        <v>31</v>
      </c>
      <c r="L113" s="48">
        <f>O104+L102</f>
        <v>237.679883557636</v>
      </c>
      <c r="M113" s="53"/>
      <c r="N113" s="61">
        <f>N112/(20/72)</f>
        <v>0.51346222648777018</v>
      </c>
      <c r="O113" s="62">
        <f>O112/(20/72)</f>
        <v>0.17790253926043031</v>
      </c>
      <c r="P113" s="53"/>
      <c r="Q113" s="54">
        <v>-35</v>
      </c>
      <c r="R113" s="69">
        <f>R112-0.01</f>
        <v>0.6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0</v>
      </c>
      <c r="P114" s="53"/>
      <c r="Q114" s="54">
        <v>-40</v>
      </c>
      <c r="R114" s="69">
        <f>R113-0.01</f>
        <v>0.59</v>
      </c>
      <c r="S114" s="56">
        <v>1.115E-2</v>
      </c>
    </row>
    <row r="115" spans="1:20" ht="20.100000000000001" customHeight="1">
      <c r="B115" s="632" t="s">
        <v>121</v>
      </c>
      <c r="C115" s="632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1.0455791268025203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1.106152864009359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1.1067933890874355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1.0322487983060724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1.0425020026215823</v>
      </c>
      <c r="M115" s="43"/>
      <c r="N115" s="61">
        <f>IF(N112&lt;0.08,11,N116)</f>
        <v>10</v>
      </c>
      <c r="O115" s="62">
        <f>IF(O112&lt;0.08,11,O116)</f>
        <v>11</v>
      </c>
      <c r="P115" s="42"/>
      <c r="Q115" s="54">
        <v>-45</v>
      </c>
      <c r="R115" s="69">
        <f>R114-0.01</f>
        <v>0.57999999999999996</v>
      </c>
      <c r="S115" s="56">
        <v>1.1050000000000001E-2</v>
      </c>
    </row>
    <row r="116" spans="1:20" ht="20.100000000000001" customHeight="1">
      <c r="B116" s="60">
        <f>H100/100*(O97*0.2165)*Link!$C$7*0.9</f>
        <v>3.6285656208887946</v>
      </c>
      <c r="C116" s="48">
        <f>I100/100*(O97*0.2165)*Link!$C$7*0.9</f>
        <v>3.7157731555228781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1.1036638747017344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0.99809050289044021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0.99955783226071193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1.137108137677473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1.2016149550401281</v>
      </c>
      <c r="M116" s="43"/>
      <c r="N116" s="63">
        <f>IF(N112&gt;(20/72)-0.08,11,10)</f>
        <v>10</v>
      </c>
      <c r="O116" s="64">
        <f>IF(O112&gt;(20/72)-0.08,11,10)</f>
        <v>10</v>
      </c>
      <c r="P116" s="42"/>
      <c r="Q116" s="54">
        <v>-50</v>
      </c>
      <c r="R116" s="69">
        <f>R115-0.01</f>
        <v>0.56999999999999995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0.55999999999999994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IF(Index!C4&gt;(-25+0.0001),'280'!S110,'280'!S118)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0.67800000000008254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29" t="s">
        <v>67</v>
      </c>
      <c r="C122" s="630"/>
      <c r="D122" s="630"/>
      <c r="E122" s="631"/>
      <c r="F122" s="43"/>
      <c r="G122" s="629" t="s">
        <v>67</v>
      </c>
      <c r="H122" s="630"/>
      <c r="I122" s="631"/>
      <c r="J122" s="53"/>
      <c r="K122" s="48" t="s">
        <v>7</v>
      </c>
      <c r="L122" s="53"/>
      <c r="M122" s="43"/>
      <c r="N122" s="48" t="s">
        <v>8</v>
      </c>
      <c r="O122" s="48">
        <f>O123/0.2165</f>
        <v>6.2536605213070002</v>
      </c>
      <c r="P122" s="42"/>
      <c r="Q122" s="48">
        <v>1</v>
      </c>
      <c r="R122" s="55">
        <v>0.62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41.782122331541849</v>
      </c>
      <c r="I123" s="54">
        <f>I124/0.2165</f>
        <v>43.305009146247571</v>
      </c>
      <c r="J123" s="53"/>
      <c r="K123" s="57" t="s">
        <v>11</v>
      </c>
      <c r="L123" s="58">
        <f>O123*$O$3*Index!$D$4</f>
        <v>5.1858048975484881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1.3539175028629655</v>
      </c>
      <c r="P123" s="43"/>
      <c r="Q123" s="48">
        <v>5</v>
      </c>
      <c r="R123" s="55">
        <f>R122+0.01</f>
        <v>0.63</v>
      </c>
      <c r="S123" s="56">
        <v>1.41E-2</v>
      </c>
    </row>
    <row r="124" spans="1:20" ht="20.100000000000001" customHeight="1">
      <c r="B124" s="54">
        <v>100</v>
      </c>
      <c r="C124" s="71">
        <v>216.5</v>
      </c>
      <c r="D124" s="60">
        <v>233</v>
      </c>
      <c r="E124" s="54">
        <f>D124/45*0.2165</f>
        <v>1.120988888888889</v>
      </c>
      <c r="F124" s="43"/>
      <c r="G124" s="48" t="s">
        <v>7</v>
      </c>
      <c r="H124" s="48">
        <f>L125+O128+B141</f>
        <v>9.0458294847788103</v>
      </c>
      <c r="I124" s="48">
        <f>L126+O128+C141</f>
        <v>9.3755344801625995</v>
      </c>
      <c r="J124" s="53"/>
      <c r="K124" s="61" t="s">
        <v>13</v>
      </c>
      <c r="L124" s="62">
        <f>IF(L127&gt;0,L123*O126,L123*O127)</f>
        <v>5.1782032187264564</v>
      </c>
      <c r="M124" s="43"/>
      <c r="N124" s="48" t="s">
        <v>14</v>
      </c>
      <c r="O124" s="48">
        <f>H132*POWER((1+(H131)),C124-O129)</f>
        <v>0.46556686304869732</v>
      </c>
      <c r="P124" s="43"/>
      <c r="Q124" s="48">
        <v>10</v>
      </c>
      <c r="R124" s="55">
        <f>R123+0.01</f>
        <v>0.64</v>
      </c>
      <c r="S124" s="56">
        <v>1.43E-2</v>
      </c>
    </row>
    <row r="125" spans="1:20" ht="20.100000000000001" customHeight="1">
      <c r="B125" s="54">
        <f>B124-10</f>
        <v>90</v>
      </c>
      <c r="C125" s="71">
        <v>188.5</v>
      </c>
      <c r="D125" s="60">
        <v>166</v>
      </c>
      <c r="E125" s="54">
        <f t="shared" ref="E125:E134" si="7">D125/45*0.2165</f>
        <v>0.79864444444444449</v>
      </c>
      <c r="F125" s="43"/>
      <c r="G125" s="48" t="s">
        <v>5</v>
      </c>
      <c r="H125" s="48">
        <f>IF(O129&gt;(C131-0.0001),H133,H134)</f>
        <v>103.91394263947069</v>
      </c>
      <c r="I125" s="48">
        <f>IF(O129&gt;(C131-0.0001),I133,I134)</f>
        <v>103.87277414774337</v>
      </c>
      <c r="J125" s="53"/>
      <c r="K125" s="61" t="s">
        <v>15</v>
      </c>
      <c r="L125" s="62">
        <f>L124*L133</f>
        <v>5.0279082534578299</v>
      </c>
      <c r="M125" s="43"/>
      <c r="N125" s="48" t="s">
        <v>16</v>
      </c>
      <c r="O125" s="48">
        <f>I132*POWER((1+(I131)),C124-O129)</f>
        <v>0.67249999999999732</v>
      </c>
      <c r="P125" s="43"/>
      <c r="Q125" s="48">
        <v>15</v>
      </c>
      <c r="R125" s="55">
        <f>R124+0.01</f>
        <v>0.65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71">
        <v>162.19999999999999</v>
      </c>
      <c r="D126" s="60">
        <v>119</v>
      </c>
      <c r="E126" s="54">
        <f t="shared" si="7"/>
        <v>0.57252222222222215</v>
      </c>
      <c r="F126" s="43"/>
      <c r="G126" s="48" t="s">
        <v>17</v>
      </c>
      <c r="H126" s="48" t="e">
        <f>IF(N139=0,INDEX('R280'!K39:K363,(ROUNDDOWN(((H125-10)/(20/72)+1),0)),1),INDEX('R280'!K39:K363,(ROUNDUP(((H125-10)/(20/72))+1,0)),1))</f>
        <v>#REF!</v>
      </c>
      <c r="I126" s="48" t="e">
        <f>IF(O139=0,INDEX('R280'!K39:K363,(ROUNDDOWN(((I125-10)/(20/72)+1),0)),1),INDEX('R280'!K39:K363,(ROUNDUP(((I125-10)/(20/72))+1,0)),1))</f>
        <v>#REF!</v>
      </c>
      <c r="J126" s="53"/>
      <c r="K126" s="61" t="s">
        <v>18</v>
      </c>
      <c r="L126" s="62">
        <f>L124/L134</f>
        <v>5.3592050636912081</v>
      </c>
      <c r="M126" s="43"/>
      <c r="N126" s="48" t="s">
        <v>19</v>
      </c>
      <c r="O126" s="48">
        <f>IF((O129&gt;0),((100+(L127/-H130))/100))</f>
        <v>0.99853413713546657</v>
      </c>
      <c r="P126" s="42"/>
      <c r="Q126" s="48">
        <v>20</v>
      </c>
      <c r="R126" s="55">
        <f>R125+0.01</f>
        <v>0.66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71">
        <v>138.19999999999999</v>
      </c>
      <c r="D127" s="60">
        <v>87</v>
      </c>
      <c r="E127" s="54">
        <f t="shared" si="7"/>
        <v>0.41856666666666664</v>
      </c>
      <c r="F127" s="43"/>
      <c r="G127" s="48" t="s">
        <v>39</v>
      </c>
      <c r="H127" s="48">
        <f>N140</f>
        <v>11</v>
      </c>
      <c r="I127" s="48">
        <f>O140</f>
        <v>11</v>
      </c>
      <c r="J127" s="53"/>
      <c r="K127" s="63" t="s">
        <v>21</v>
      </c>
      <c r="L127" s="64">
        <f>IF(Index!$C$4&gt;0,Index!$C$4*O124,Index!$C$4*O125)</f>
        <v>1.8622674521947893</v>
      </c>
      <c r="M127" s="43"/>
      <c r="N127" s="48" t="s">
        <v>22</v>
      </c>
      <c r="O127" s="48">
        <f>IF((O129&gt;0),((100+(L127/-I130))/100))</f>
        <v>0.99535685024691734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0.62777944862155388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71">
        <v>116.5</v>
      </c>
      <c r="D128" s="60">
        <v>65</v>
      </c>
      <c r="E128" s="54">
        <f t="shared" si="7"/>
        <v>0.31272222222222223</v>
      </c>
      <c r="F128" s="43"/>
      <c r="G128" s="54" t="s">
        <v>20</v>
      </c>
      <c r="H128" s="54">
        <f>H123/4</f>
        <v>10.445530582885462</v>
      </c>
      <c r="I128" s="54">
        <f>I123/4</f>
        <v>10.826252286561893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71">
        <v>96.6</v>
      </c>
      <c r="D129" s="60">
        <v>42</v>
      </c>
      <c r="E129" s="54">
        <f t="shared" si="7"/>
        <v>0.20206666666666667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0.65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71">
        <v>78.2</v>
      </c>
      <c r="D130" s="60">
        <v>36</v>
      </c>
      <c r="E130" s="54">
        <f t="shared" si="7"/>
        <v>0.17320000000000002</v>
      </c>
      <c r="F130" s="43"/>
      <c r="G130" s="48" t="s">
        <v>24</v>
      </c>
      <c r="H130" s="48">
        <f>IF('280'!O129&gt;('280'!C131-0.0001),'inf 280'!K11,'inf 280'!K19)</f>
        <v>12.704240602940295</v>
      </c>
      <c r="I130" s="48">
        <f>IF('280'!O129&gt;('280'!C131-0.0001),'inf 280'!L11,'inf 280'!L19)</f>
        <v>4.0107848146796972</v>
      </c>
      <c r="J130" s="43"/>
      <c r="K130" s="57" t="s">
        <v>28</v>
      </c>
      <c r="L130" s="58">
        <f>O123*Index!$D$4*$O$2</f>
        <v>4.3514069768902699</v>
      </c>
      <c r="M130" s="53"/>
      <c r="N130" s="43"/>
      <c r="O130" s="43"/>
      <c r="P130" s="42"/>
      <c r="Q130" s="54">
        <v>-5</v>
      </c>
      <c r="R130" s="69">
        <f>R129-0.01</f>
        <v>0.64</v>
      </c>
      <c r="S130" s="56">
        <v>1.26E-2</v>
      </c>
    </row>
    <row r="131" spans="2:19" ht="20.100000000000001" customHeight="1">
      <c r="B131" s="54">
        <f t="shared" si="8"/>
        <v>30</v>
      </c>
      <c r="C131" s="71">
        <v>60.4</v>
      </c>
      <c r="D131" s="60">
        <v>26</v>
      </c>
      <c r="E131" s="54">
        <f t="shared" si="7"/>
        <v>0.12508888888888889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1.6204814095253026E-2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4.2217512395412129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3.0213744674017953</v>
      </c>
      <c r="P131" s="43"/>
      <c r="Q131" s="54">
        <v>-10</v>
      </c>
      <c r="R131" s="69">
        <f>R130-0.01</f>
        <v>0.63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71">
        <v>42.4</v>
      </c>
      <c r="D132" s="60">
        <v>17</v>
      </c>
      <c r="E132" s="54">
        <f t="shared" si="7"/>
        <v>8.1788888888888883E-2</v>
      </c>
      <c r="F132" s="43"/>
      <c r="G132" s="48" t="s">
        <v>29</v>
      </c>
      <c r="H132" s="48">
        <f>R127</f>
        <v>0.62777944862155388</v>
      </c>
      <c r="I132" s="48">
        <f>IF(Index!C4&gt;(-25+0.0001),'280'!R135,'280'!R143)</f>
        <v>0.67249999999999732</v>
      </c>
      <c r="J132" s="43"/>
      <c r="K132" s="61" t="s">
        <v>32</v>
      </c>
      <c r="L132" s="62">
        <f>O5*Index!D4*O123*1.25*(1-(L127*0.016))</f>
        <v>5.2771890494265161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1.4530362698321255</v>
      </c>
      <c r="P132" s="43"/>
      <c r="Q132" s="54">
        <v>-15</v>
      </c>
      <c r="R132" s="69">
        <f>R131-0.01</f>
        <v>0.62</v>
      </c>
      <c r="S132" s="56">
        <v>1.24E-2</v>
      </c>
    </row>
    <row r="133" spans="2:19" ht="20.100000000000001" customHeight="1">
      <c r="B133" s="54">
        <f t="shared" si="8"/>
        <v>10</v>
      </c>
      <c r="C133" s="71">
        <v>23.1</v>
      </c>
      <c r="D133" s="60">
        <v>9</v>
      </c>
      <c r="E133" s="54">
        <f t="shared" si="7"/>
        <v>4.3300000000000005E-2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103.91394263947069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103.87277414774337</v>
      </c>
      <c r="J133" s="43"/>
      <c r="K133" s="61" t="s">
        <v>33</v>
      </c>
      <c r="L133" s="62">
        <f>(100+(L131*2.75/-4))/100</f>
        <v>0.97097546022815417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1.3539175028629655</v>
      </c>
      <c r="P133" s="43"/>
      <c r="Q133" s="54">
        <v>-20</v>
      </c>
      <c r="R133" s="69">
        <f>R132-0.01</f>
        <v>0.61</v>
      </c>
      <c r="S133" s="56">
        <v>1.23E-2</v>
      </c>
    </row>
    <row r="134" spans="2:19" ht="20.100000000000001" customHeight="1">
      <c r="B134" s="54">
        <f>B133-10</f>
        <v>0</v>
      </c>
      <c r="C134" s="71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77.344793908334395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74.900471699842456</v>
      </c>
      <c r="J134" s="43"/>
      <c r="K134" s="61" t="s">
        <v>35</v>
      </c>
      <c r="L134" s="62">
        <f>(100+(L132*4/-6.25))/100</f>
        <v>0.96622599008367027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-2.0877989592196684</v>
      </c>
      <c r="P134" s="43"/>
      <c r="Q134" s="54">
        <v>-25</v>
      </c>
      <c r="R134" s="69">
        <f>R133-0.01</f>
        <v>0.6</v>
      </c>
      <c r="S134" s="56">
        <v>1.2200000000000001E-2</v>
      </c>
    </row>
    <row r="135" spans="2:19" ht="20.100000000000001" customHeight="1">
      <c r="B135" s="43"/>
      <c r="C135" s="43"/>
      <c r="D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232.73676621265358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0.67249999999999732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71">
        <v>209.4</v>
      </c>
      <c r="D136" s="60">
        <v>214</v>
      </c>
      <c r="E136" s="54">
        <f>D136/45*0.2165</f>
        <v>1.0295777777777777</v>
      </c>
      <c r="F136" s="43"/>
      <c r="G136" s="48">
        <v>107.5</v>
      </c>
      <c r="H136" s="54">
        <v>237.7</v>
      </c>
      <c r="I136" s="54">
        <v>1.3855999999999999</v>
      </c>
      <c r="J136" s="43"/>
      <c r="K136" s="63" t="s">
        <v>37</v>
      </c>
      <c r="L136" s="52">
        <f>O129+L127+L132</f>
        <v>242.23570650162131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71">
        <v>202.4</v>
      </c>
      <c r="D137" s="60">
        <v>197</v>
      </c>
      <c r="E137" s="54">
        <f>D137/45*0.2165</f>
        <v>0.94778888888888901</v>
      </c>
      <c r="F137" s="43"/>
      <c r="G137" s="54">
        <v>105</v>
      </c>
      <c r="H137" s="54">
        <v>230.6</v>
      </c>
      <c r="I137" s="54">
        <v>1.2990999999999999</v>
      </c>
      <c r="J137" s="43"/>
      <c r="K137" s="43"/>
      <c r="L137" s="43"/>
      <c r="M137" s="43"/>
      <c r="N137" s="61">
        <f>MOD(H125,20/72)</f>
        <v>2.5053750581796708E-2</v>
      </c>
      <c r="O137" s="62">
        <f>MOD(I125,20/72)</f>
        <v>0.26166303663225532</v>
      </c>
      <c r="P137" s="43"/>
      <c r="Q137" s="54">
        <v>-30</v>
      </c>
      <c r="R137" s="69">
        <f>R134-0.01</f>
        <v>0.59</v>
      </c>
      <c r="S137" s="56">
        <v>1.1350000000000001E-2</v>
      </c>
    </row>
    <row r="138" spans="2:19" ht="20.100000000000001" customHeight="1">
      <c r="B138" s="54">
        <v>92.5</v>
      </c>
      <c r="C138" s="71">
        <v>195.4</v>
      </c>
      <c r="D138" s="60">
        <v>181</v>
      </c>
      <c r="E138" s="54">
        <f>D138/45*0.2165</f>
        <v>0.87081111111111109</v>
      </c>
      <c r="F138" s="43"/>
      <c r="G138" s="54">
        <v>102.5</v>
      </c>
      <c r="H138" s="54">
        <v>223.6</v>
      </c>
      <c r="I138" s="54">
        <v>1.2123999999999999</v>
      </c>
      <c r="J138" s="53"/>
      <c r="K138" s="54" t="s">
        <v>31</v>
      </c>
      <c r="L138" s="48">
        <f>O129+L127</f>
        <v>236.9585174521948</v>
      </c>
      <c r="M138" s="53"/>
      <c r="N138" s="61">
        <f>N137/(20/72)</f>
        <v>9.019350209446815E-2</v>
      </c>
      <c r="O138" s="62">
        <f>O137/(20/72)</f>
        <v>0.94198693187611915</v>
      </c>
      <c r="P138" s="53"/>
      <c r="Q138" s="54">
        <v>-35</v>
      </c>
      <c r="R138" s="69">
        <f>R137-0.01</f>
        <v>0.57999999999999996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0</v>
      </c>
      <c r="O139" s="62">
        <f>IF(O138&lt;0.288,ROUNDDOWN(O138,0),ROUNDUP(O138,0))</f>
        <v>1</v>
      </c>
      <c r="P139" s="53"/>
      <c r="Q139" s="54">
        <v>-40</v>
      </c>
      <c r="R139" s="69">
        <f>R138-0.01</f>
        <v>0.56999999999999995</v>
      </c>
      <c r="S139" s="56">
        <v>1.115E-2</v>
      </c>
    </row>
    <row r="140" spans="2:19" ht="20.100000000000001" customHeight="1">
      <c r="B140" s="632" t="s">
        <v>121</v>
      </c>
      <c r="C140" s="632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1.1548351897237088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1.2106126892184519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1.2262201389673124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1.0611352170843018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1.0746117645977098</v>
      </c>
      <c r="M140" s="43"/>
      <c r="N140" s="61">
        <f>IF(N137&lt;0.08,11,N141)</f>
        <v>11</v>
      </c>
      <c r="O140" s="62">
        <f>IF(O137&lt;0.08,11,O141)</f>
        <v>11</v>
      </c>
      <c r="P140" s="42"/>
      <c r="Q140" s="54">
        <v>-45</v>
      </c>
      <c r="R140" s="69">
        <f>R139-0.01</f>
        <v>0.55999999999999994</v>
      </c>
      <c r="S140" s="56">
        <v>1.1050000000000001E-2</v>
      </c>
    </row>
    <row r="141" spans="2:19" ht="20.100000000000001" customHeight="1">
      <c r="B141" s="60">
        <f>H125/100*(O122*0.2165)*Link!$C$7*0.79</f>
        <v>4.0179212313209796</v>
      </c>
      <c r="C141" s="48">
        <f>I125/100*(O122*0.2165)*Link!$C$7*0.79</f>
        <v>4.0163294164713923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1.1500994558183586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0.93025868581028692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0.96911163103923603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1.2556900194680276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1.146838965840467</v>
      </c>
      <c r="M141" s="43"/>
      <c r="N141" s="63">
        <f>IF(N137&gt;(20/72)-0.08,11,10)</f>
        <v>10</v>
      </c>
      <c r="O141" s="64">
        <f>IF(O137&gt;(20/72)-0.08,11,10)</f>
        <v>11</v>
      </c>
      <c r="P141" s="42"/>
      <c r="Q141" s="54">
        <v>-50</v>
      </c>
      <c r="R141" s="69">
        <f>R140-0.01</f>
        <v>0.54999999999999993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0.53999999999999992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IF(Index!C4&gt;(-25+0.0001),'280'!S135,'280'!S143)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0.65799999999973124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26" t="s">
        <v>48</v>
      </c>
      <c r="C147" s="628"/>
      <c r="D147" s="628"/>
      <c r="E147" s="627"/>
      <c r="F147" s="43"/>
      <c r="G147" s="629" t="s">
        <v>48</v>
      </c>
      <c r="H147" s="630"/>
      <c r="I147" s="631"/>
      <c r="J147" s="43"/>
      <c r="K147" s="48" t="s">
        <v>7</v>
      </c>
      <c r="L147" s="53"/>
      <c r="M147" s="43"/>
      <c r="N147" s="54" t="s">
        <v>8</v>
      </c>
      <c r="O147" s="54">
        <f>O148/0.2165</f>
        <v>5.5946701813718063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30.552072440589459</v>
      </c>
      <c r="I148" s="48">
        <f>I149/0.2165</f>
        <v>30.959440132037042</v>
      </c>
      <c r="J148" s="43"/>
      <c r="K148" s="57" t="s">
        <v>11</v>
      </c>
      <c r="L148" s="58">
        <f>O148*$O$3*Index!$D$4</f>
        <v>4.6393416988139906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1.211246094266996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71">
        <v>302.39999999999998</v>
      </c>
      <c r="D149" s="60">
        <v>301</v>
      </c>
      <c r="E149" s="48">
        <f>D149/45*0.2165</f>
        <v>1.4481444444444445</v>
      </c>
      <c r="F149" s="42"/>
      <c r="G149" s="48" t="s">
        <v>7</v>
      </c>
      <c r="H149" s="48">
        <f>L150+O153+N158</f>
        <v>6.6145236833876178</v>
      </c>
      <c r="I149" s="48">
        <f>L151+O153+O158</f>
        <v>6.7027187885860195</v>
      </c>
      <c r="J149" s="43"/>
      <c r="K149" s="61" t="s">
        <v>13</v>
      </c>
      <c r="L149" s="62">
        <f>IF(L152&gt;0,L148*O151,L148*O152)</f>
        <v>4.5163910610039508</v>
      </c>
      <c r="M149" s="43"/>
      <c r="N149" s="48" t="s">
        <v>14</v>
      </c>
      <c r="O149" s="48">
        <f>R152*POWER(1.001,(C149-Index!B4))</f>
        <v>2.1532665560330546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71">
        <v>277.8</v>
      </c>
      <c r="D150" s="60">
        <v>281</v>
      </c>
      <c r="E150" s="48">
        <f>D150/45*0.2165</f>
        <v>1.3519222222222222</v>
      </c>
      <c r="F150" s="42"/>
      <c r="G150" s="48" t="s">
        <v>5</v>
      </c>
      <c r="H150" s="48">
        <f>IF(L160&lt;=C150,80+(L160-C151)/((C150-C151)/10),90+(L160-C150)/((C149-C150)/10))</f>
        <v>74.987933731073696</v>
      </c>
      <c r="I150" s="48">
        <f>IF(L161&lt;=C150,80+(L161-C151)/((C150-C151)/10),90+(L161-C150)/((C149-C150)/10))</f>
        <v>78.140055114377489</v>
      </c>
      <c r="J150" s="43"/>
      <c r="K150" s="61" t="s">
        <v>15</v>
      </c>
      <c r="L150" s="62">
        <f>L149*L158</f>
        <v>4.5163910610039508</v>
      </c>
      <c r="M150" s="43"/>
      <c r="N150" s="48" t="s">
        <v>16</v>
      </c>
      <c r="O150" s="48">
        <f>R161*POWER(1.001,(C149-Index!B4))</f>
        <v>1.4058050881563229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71">
        <v>253.1</v>
      </c>
      <c r="D151" s="60">
        <v>263</v>
      </c>
      <c r="E151" s="48">
        <f>D151/45*0.2165</f>
        <v>1.2653222222222222</v>
      </c>
      <c r="F151" s="42"/>
      <c r="G151" s="48" t="s">
        <v>17</v>
      </c>
      <c r="H151" s="48" t="e">
        <f>INDEX('R280'!F291:F363,(ROUNDUP(((H150-80)/(20/72))+1,0)),1)</f>
        <v>#VALUE!</v>
      </c>
      <c r="I151" s="48" t="e">
        <f>INDEX('R280'!F291:F363,(ROUNDUP(((I150-80)/(20/72))+1,0)),1)</f>
        <v>#VALUE!</v>
      </c>
      <c r="J151" s="43"/>
      <c r="K151" s="61" t="s">
        <v>18</v>
      </c>
      <c r="L151" s="62">
        <f>L149/L159</f>
        <v>4.5163910610039508</v>
      </c>
      <c r="M151" s="43"/>
      <c r="N151" s="48" t="s">
        <v>19</v>
      </c>
      <c r="O151" s="48">
        <f>IF((Index!B4&gt;0),((100+(L152/-3.25))/100))</f>
        <v>0.97349825777190091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7.6380181101473648</v>
      </c>
      <c r="I152" s="48">
        <f>I148/4</f>
        <v>7.7398600330092604</v>
      </c>
      <c r="J152" s="43"/>
      <c r="K152" s="63" t="s">
        <v>21</v>
      </c>
      <c r="L152" s="64">
        <f>IF(Index!C4&gt;0,Index!C4*O149,Index!C4*O150)</f>
        <v>8.6130662241322185</v>
      </c>
      <c r="M152" s="43"/>
      <c r="N152" s="48" t="s">
        <v>22</v>
      </c>
      <c r="O152" s="48">
        <f>IF((Index!B4&gt;0),((100+(L152/-3.25))/100))</f>
        <v>0.97349825777190091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INDEX('R280'!G291:G363,(ROUNDUP(((Index!K17-80)/(20/72))+1,0)),1)</f>
        <v>#VALUE!</v>
      </c>
      <c r="I154" s="48" t="e">
        <f>INDEX('R280'!G291:G363,(ROUNDUP(((Index!L17-80)/(20/72))+1,0)),1)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1.28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3.8928699083801952</v>
      </c>
      <c r="M155" s="43"/>
      <c r="N155" s="48">
        <f>100*(L160-C150)*(L160-C151)/((C149-C150)*(C149-C151))+90*(L160-C149)*(L160-C151)/((C150-C149)*(C150-C151))+80*(L160-C149)*(L160-C150)/((C151-C149)*(C151-C150))</f>
        <v>75.00325773322615</v>
      </c>
      <c r="O155" s="48">
        <f>100*(L161-C150)*(L161-C151)/((C149-C150)*(C149-C151))+90*(L161-C149)*(L161-C151)/((C150-C149)*(C150-C151))+80*(L161-C149)*(L161-C150)/((C151-C149)*(C151-C150))</f>
        <v>78.144547713552072</v>
      </c>
      <c r="P155" s="53"/>
      <c r="Q155" s="48">
        <v>-10</v>
      </c>
      <c r="R155" s="55">
        <f t="shared" ref="R155:R160" si="9">R154-0.05</f>
        <v>1.23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3.8928699083801952</v>
      </c>
      <c r="M156" s="43"/>
      <c r="N156" s="53"/>
      <c r="O156" s="43"/>
      <c r="P156" s="53"/>
      <c r="Q156" s="48">
        <v>-20</v>
      </c>
      <c r="R156" s="55">
        <f t="shared" si="9"/>
        <v>1.18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3.8928699083801952</v>
      </c>
      <c r="M157" s="43"/>
      <c r="N157" s="632" t="s">
        <v>121</v>
      </c>
      <c r="O157" s="632"/>
      <c r="P157" s="42"/>
      <c r="Q157" s="48">
        <v>-30</v>
      </c>
      <c r="R157" s="55">
        <f t="shared" si="9"/>
        <v>1.1299999999999999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2.0981326223836669</v>
      </c>
      <c r="O158" s="48">
        <f>I150/100*(O147*0.2165)*Link!$C$7*0.639</f>
        <v>2.1863277275820687</v>
      </c>
      <c r="P158" s="42"/>
      <c r="Q158" s="48">
        <v>-40</v>
      </c>
      <c r="R158" s="55">
        <f t="shared" si="9"/>
        <v>1.0799999999999998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1.0299999999999998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240.72019631575202</v>
      </c>
      <c r="M160" s="42"/>
      <c r="N160" s="42"/>
      <c r="O160" s="42"/>
      <c r="P160" s="42"/>
      <c r="Q160" s="48">
        <v>-60</v>
      </c>
      <c r="R160" s="55">
        <f t="shared" si="9"/>
        <v>0.97999999999999976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248.5059361325124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1.3155348763943304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26" t="s">
        <v>47</v>
      </c>
      <c r="C165" s="628"/>
      <c r="D165" s="628"/>
      <c r="E165" s="627"/>
      <c r="F165" s="43"/>
      <c r="G165" s="629" t="s">
        <v>47</v>
      </c>
      <c r="H165" s="630"/>
      <c r="I165" s="631"/>
      <c r="J165" s="43"/>
      <c r="K165" s="48" t="s">
        <v>7</v>
      </c>
      <c r="L165" s="53"/>
      <c r="M165" s="43"/>
      <c r="N165" s="48" t="s">
        <v>8</v>
      </c>
      <c r="O165" s="48">
        <f>O166/0.2165</f>
        <v>4.2092480804381447</v>
      </c>
      <c r="P165" s="42"/>
      <c r="Q165" s="48">
        <v>1</v>
      </c>
      <c r="R165" s="55">
        <v>0.66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29.999669591372534</v>
      </c>
      <c r="I166" s="48">
        <f>I167/0.2165</f>
        <v>30.932813690174726</v>
      </c>
      <c r="J166" s="43"/>
      <c r="K166" s="57" t="s">
        <v>11</v>
      </c>
      <c r="L166" s="58">
        <f>O166*$O$3*Index!$D$4</f>
        <v>3.4904899676214973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0.9113022094148584</v>
      </c>
      <c r="P166" s="42"/>
      <c r="Q166" s="48">
        <v>5</v>
      </c>
      <c r="R166" s="55">
        <f>R165+0.01</f>
        <v>0.67</v>
      </c>
      <c r="S166" s="56">
        <v>1.3100000000000001E-2</v>
      </c>
    </row>
    <row r="167" spans="2:19" ht="20.100000000000001" customHeight="1">
      <c r="B167" s="59">
        <v>100</v>
      </c>
      <c r="C167" s="71">
        <v>263.5</v>
      </c>
      <c r="D167" s="60">
        <v>262</v>
      </c>
      <c r="E167" s="48">
        <f t="shared" ref="E167:E172" si="10">D167/45*0.2165</f>
        <v>1.2605111111111111</v>
      </c>
      <c r="F167" s="43"/>
      <c r="G167" s="48" t="s">
        <v>7</v>
      </c>
      <c r="H167" s="48">
        <f>L168+O171+B179</f>
        <v>6.4949284665321532</v>
      </c>
      <c r="I167" s="48">
        <f>L169+O171+C179</f>
        <v>6.6969541639228281</v>
      </c>
      <c r="J167" s="43"/>
      <c r="K167" s="61" t="s">
        <v>13</v>
      </c>
      <c r="L167" s="62">
        <f>IF(L170&gt;0,L166*O169,L166*O170)</f>
        <v>3.4522670819125509</v>
      </c>
      <c r="M167" s="43"/>
      <c r="N167" s="48" t="s">
        <v>14</v>
      </c>
      <c r="O167" s="48">
        <f>H175*POWER((1+(H174)),C167-O172)</f>
        <v>0.95980074737267063</v>
      </c>
      <c r="P167" s="42"/>
      <c r="Q167" s="48">
        <v>10</v>
      </c>
      <c r="R167" s="55">
        <f>R166+0.01</f>
        <v>0.68</v>
      </c>
      <c r="S167" s="56">
        <v>1.3299999999999999E-2</v>
      </c>
    </row>
    <row r="168" spans="2:19" ht="20.100000000000001" customHeight="1">
      <c r="B168" s="59">
        <v>90</v>
      </c>
      <c r="C168" s="71">
        <v>227.3</v>
      </c>
      <c r="D168" s="60">
        <v>173</v>
      </c>
      <c r="E168" s="48">
        <f t="shared" si="10"/>
        <v>0.83232222222222219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92.471052898565929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94.194119641061491</v>
      </c>
      <c r="J168" s="43"/>
      <c r="K168" s="61" t="s">
        <v>15</v>
      </c>
      <c r="L168" s="62">
        <f>L167*L176</f>
        <v>3.3876748709383415</v>
      </c>
      <c r="M168" s="43"/>
      <c r="N168" s="48" t="s">
        <v>16</v>
      </c>
      <c r="O168" s="48">
        <f>I175*POWER((1+(I174)),C167-O172)</f>
        <v>0.63710697527886451</v>
      </c>
      <c r="P168" s="42"/>
      <c r="Q168" s="48">
        <v>15</v>
      </c>
      <c r="R168" s="55">
        <f>R167+0.01</f>
        <v>0.69000000000000006</v>
      </c>
      <c r="S168" s="56">
        <v>1.35E-2</v>
      </c>
    </row>
    <row r="169" spans="2:19" ht="20.100000000000001" customHeight="1">
      <c r="B169" s="59">
        <v>80</v>
      </c>
      <c r="C169" s="71">
        <v>192.3</v>
      </c>
      <c r="D169" s="60">
        <v>114</v>
      </c>
      <c r="E169" s="48">
        <f t="shared" si="10"/>
        <v>0.54846666666666666</v>
      </c>
      <c r="F169" s="42"/>
      <c r="G169" s="48" t="s">
        <v>17</v>
      </c>
      <c r="H169" s="48">
        <f>IF(N180=0,INDEX('R280'!E183:E363,(ROUNDDOWN(((H168-50)/(20/72)+1),0)),1),INDEX('R280'!E183:E363,(ROUNDUP(((H168-50)/(20/72))+1,0)),1))</f>
        <v>259.00000000000017</v>
      </c>
      <c r="I169" s="48">
        <f>IF(O180=0,INDEX('R280'!E183:E363,(ROUNDDOWN(((I168-50)/(20/72)+1),0)),1),INDEX('R280'!E183:E363,(ROUNDUP(((I168-50)/(20/72))+1,0)),1))</f>
        <v>263.6666666666668</v>
      </c>
      <c r="J169" s="43"/>
      <c r="K169" s="61" t="s">
        <v>18</v>
      </c>
      <c r="L169" s="62">
        <f>L167/L177</f>
        <v>3.5318013105262489</v>
      </c>
      <c r="M169" s="43"/>
      <c r="N169" s="48" t="s">
        <v>19</v>
      </c>
      <c r="O169" s="48">
        <f>IF((O172&gt;0),((100+(L170/-H173))/100))</f>
        <v>0.98904942112324923</v>
      </c>
      <c r="P169" s="42"/>
      <c r="Q169" s="48">
        <v>20</v>
      </c>
      <c r="R169" s="55">
        <f>R168+0.01</f>
        <v>0.70000000000000007</v>
      </c>
      <c r="S169" s="56">
        <v>1.38E-2</v>
      </c>
    </row>
    <row r="170" spans="2:19" ht="20.100000000000001" customHeight="1">
      <c r="B170" s="59">
        <v>70</v>
      </c>
      <c r="C170" s="71">
        <v>160.4</v>
      </c>
      <c r="D170" s="60">
        <v>76</v>
      </c>
      <c r="E170" s="48">
        <f t="shared" si="10"/>
        <v>0.36564444444444444</v>
      </c>
      <c r="F170" s="42"/>
      <c r="G170" s="48" t="s">
        <v>39</v>
      </c>
      <c r="H170" s="48">
        <f>N181</f>
        <v>30</v>
      </c>
      <c r="I170" s="48">
        <f>O181</f>
        <v>30</v>
      </c>
      <c r="J170" s="43"/>
      <c r="K170" s="63" t="s">
        <v>21</v>
      </c>
      <c r="L170" s="64">
        <f>IF(Index!$C$4&gt;0,Index!$C$4*O167,Index!$C$4*O168)</f>
        <v>3.8392029894906825</v>
      </c>
      <c r="M170" s="43"/>
      <c r="N170" s="48" t="s">
        <v>22</v>
      </c>
      <c r="O170" s="48">
        <f>IF((O172&gt;0),((100+(L170/-I173))/100))</f>
        <v>0.98927473333742699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0.66777944862155403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71">
        <v>132.30000000000001</v>
      </c>
      <c r="D171" s="60">
        <v>52</v>
      </c>
      <c r="E171" s="48">
        <f t="shared" si="10"/>
        <v>0.25017777777777778</v>
      </c>
      <c r="F171" s="42"/>
      <c r="G171" s="54" t="s">
        <v>20</v>
      </c>
      <c r="H171" s="54">
        <f>H166/4</f>
        <v>7.4999173978431335</v>
      </c>
      <c r="I171" s="48">
        <f>I166/4</f>
        <v>7.7332034225436814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71">
        <v>107.6</v>
      </c>
      <c r="D172" s="60">
        <v>36</v>
      </c>
      <c r="E172" s="48">
        <f t="shared" si="10"/>
        <v>0.17320000000000002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'280'!$J$14</f>
        <v>235.09625</v>
      </c>
      <c r="P172" s="42"/>
      <c r="Q172" s="48">
        <v>-1</v>
      </c>
      <c r="R172" s="55">
        <v>0.63</v>
      </c>
      <c r="S172" s="56">
        <v>1.2699999999999999E-2</v>
      </c>
    </row>
    <row r="173" spans="2:19" ht="20.100000000000001" customHeight="1">
      <c r="B173" s="43"/>
      <c r="C173" s="43"/>
      <c r="D173" s="43"/>
      <c r="E173" s="43"/>
      <c r="F173" s="42"/>
      <c r="G173" s="54" t="s">
        <v>24</v>
      </c>
      <c r="H173" s="48">
        <f>'inf 280'!O9</f>
        <v>3.5059361086761474</v>
      </c>
      <c r="I173" s="48">
        <f>'inf 280'!P9</f>
        <v>3.5795874454926078</v>
      </c>
      <c r="J173" s="43"/>
      <c r="K173" s="57" t="s">
        <v>28</v>
      </c>
      <c r="L173" s="58">
        <f>O166*Index!$D$4*$O$2</f>
        <v>2.9288688444591946</v>
      </c>
      <c r="M173" s="43"/>
      <c r="N173" s="42"/>
      <c r="O173" s="42"/>
      <c r="P173" s="43"/>
      <c r="Q173" s="48">
        <v>-10</v>
      </c>
      <c r="R173" s="55">
        <f t="shared" ref="R173:R178" si="11">R172-0.01</f>
        <v>0.62</v>
      </c>
      <c r="S173" s="56">
        <v>1.2500000000000001E-2</v>
      </c>
    </row>
    <row r="174" spans="2:19" ht="20.100000000000001" customHeight="1">
      <c r="B174" s="54">
        <v>97.5</v>
      </c>
      <c r="C174" s="71">
        <v>254.5</v>
      </c>
      <c r="D174" s="60">
        <v>237</v>
      </c>
      <c r="E174" s="54">
        <f>D174/45*0.2165</f>
        <v>1.1402333333333332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1.2853734212930351E-2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$O$5*Index!$D$4*O166*0.99*(1-(L170*0.016))</f>
        <v>2.7214669271627767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0.91077160072154728</v>
      </c>
      <c r="P174" s="43"/>
      <c r="Q174" s="48">
        <v>-20</v>
      </c>
      <c r="R174" s="55">
        <f t="shared" si="11"/>
        <v>0.61</v>
      </c>
      <c r="S174" s="56">
        <v>1.23E-2</v>
      </c>
    </row>
    <row r="175" spans="2:19" ht="20.100000000000001" customHeight="1">
      <c r="B175" s="54">
        <v>95</v>
      </c>
      <c r="C175" s="71">
        <v>245.4</v>
      </c>
      <c r="D175" s="60">
        <v>213</v>
      </c>
      <c r="E175" s="54">
        <f>D175/45*0.2165</f>
        <v>1.0247666666666666</v>
      </c>
      <c r="F175" s="43"/>
      <c r="G175" s="54" t="s">
        <v>29</v>
      </c>
      <c r="H175" s="54">
        <f>R170</f>
        <v>0.66777944862155403</v>
      </c>
      <c r="I175" s="48">
        <f>R179</f>
        <v>0.63710697527886451</v>
      </c>
      <c r="J175" s="43"/>
      <c r="K175" s="61" t="s">
        <v>32</v>
      </c>
      <c r="L175" s="62">
        <f>O5*Index!D4*O166*1.28*(1-(L170*0.016))</f>
        <v>3.5186643098670243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0.9113022094148584</v>
      </c>
      <c r="P175" s="43"/>
      <c r="Q175" s="48">
        <v>-30</v>
      </c>
      <c r="R175" s="55">
        <f t="shared" si="11"/>
        <v>0.6</v>
      </c>
      <c r="S175" s="56">
        <v>1.1350000000000001E-2</v>
      </c>
    </row>
    <row r="176" spans="2:19" ht="20.100000000000001" customHeight="1">
      <c r="B176" s="54">
        <v>92.5</v>
      </c>
      <c r="C176" s="71">
        <v>236.3</v>
      </c>
      <c r="D176" s="60">
        <v>192</v>
      </c>
      <c r="E176" s="54">
        <f>D176/45*0.2165</f>
        <v>0.9237333333333333</v>
      </c>
      <c r="F176" s="43"/>
      <c r="J176" s="42"/>
      <c r="K176" s="61" t="s">
        <v>33</v>
      </c>
      <c r="L176" s="62">
        <f>(100+(L174*2.75/-4))/100</f>
        <v>0.9812899148757559</v>
      </c>
      <c r="M176" s="42"/>
      <c r="N176" s="43"/>
      <c r="O176" s="43"/>
      <c r="P176" s="43"/>
      <c r="Q176" s="48">
        <v>-40</v>
      </c>
      <c r="R176" s="55">
        <f t="shared" si="11"/>
        <v>0.59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0.98630999296576616</v>
      </c>
      <c r="I177" s="48">
        <f>1.1*(O172-C169)*(O172-C171)/((C167-C169)*(C167-C171))+0.911*(O172-C167)*(O172-C171)/((C169-C167)*(C169-C171))+0.772*(O172-C167)*(O172-C169)/((C171-C167)*(C171-C169))</f>
        <v>1.0214724160006292</v>
      </c>
      <c r="J177" s="43"/>
      <c r="K177" s="61" t="s">
        <v>35</v>
      </c>
      <c r="L177" s="62">
        <f>(100+(L175*4/-6.25))/100</f>
        <v>0.97748054841685106</v>
      </c>
      <c r="M177" s="43"/>
      <c r="N177" s="57" t="s">
        <v>43</v>
      </c>
      <c r="O177" s="46"/>
      <c r="P177" s="43"/>
      <c r="Q177" s="48">
        <v>-50</v>
      </c>
      <c r="R177" s="55">
        <f t="shared" si="11"/>
        <v>0.57999999999999996</v>
      </c>
      <c r="S177" s="56">
        <v>1.095E-2</v>
      </c>
    </row>
    <row r="178" spans="2:19" ht="20.100000000000001" customHeight="1">
      <c r="B178" s="632" t="s">
        <v>121</v>
      </c>
      <c r="C178" s="632"/>
      <c r="D178" s="43"/>
      <c r="E178" s="43"/>
      <c r="F178" s="43"/>
      <c r="G178" s="43"/>
      <c r="H178" s="48">
        <f>1.1*(O172-C169)*(O172-C171)/((C167-C169)*(C167-C171))+0.912*(O172-C167)*(O172-C171)/((C169-C167)*(C169-C171))+0.835*(O172-C167)*(O172-C169)/((C171-C167)*(C171-C169))</f>
        <v>1.012427591640277</v>
      </c>
      <c r="I178" s="54">
        <f>1*(O172-C169)*(O172-C171)/((C167-C169)*(C167-C171))+0.903*(O172-C167)*(O172-C171)/((C169-C167)*(C169-C171))+0.76*(O172-C167)*(O172-C169)/((C171-C167)*(C171-C169))</f>
        <v>0.97076324859455121</v>
      </c>
      <c r="J178" s="43"/>
      <c r="K178" s="61" t="s">
        <v>36</v>
      </c>
      <c r="L178" s="62">
        <f>O172+L170-L174</f>
        <v>236.2139860623279</v>
      </c>
      <c r="M178" s="43"/>
      <c r="N178" s="61">
        <f>MOD(H168,20/72)</f>
        <v>0.24883067634370315</v>
      </c>
      <c r="O178" s="62">
        <f>MOD(I168,20/72)</f>
        <v>2.7452974394819862E-2</v>
      </c>
      <c r="P178" s="43"/>
      <c r="Q178" s="48">
        <v>-60</v>
      </c>
      <c r="R178" s="55">
        <f t="shared" si="11"/>
        <v>0.56999999999999995</v>
      </c>
      <c r="S178" s="56">
        <v>1.0749999999999999E-2</v>
      </c>
    </row>
    <row r="179" spans="2:19" ht="20.100000000000001" customHeight="1">
      <c r="B179" s="60">
        <f>H168/100*(O165*0.2165)*Link!$C$7*1.02</f>
        <v>3.1072535955938112</v>
      </c>
      <c r="C179" s="48">
        <f>I168/100*(O165*0.2165)*Link!$C$7*1.02</f>
        <v>3.1651528533965791</v>
      </c>
      <c r="D179" s="43"/>
      <c r="E179" s="43"/>
      <c r="F179" s="43"/>
      <c r="G179" s="65"/>
      <c r="H179" s="48">
        <f>1.04*(O172-C169)*(O172-C171)/((C167-C169)*(C167-C171))+0.909*(O172-C167)*(O172-C171)/((C169-C167)*(C169-C171))+0.853*(O172-C167)*(O172-C169)/((C171-C167)*(C171-C169))</f>
        <v>0.9793410244160452</v>
      </c>
      <c r="I179" s="48">
        <f>1*(O172-C169)*(O172-C171)/((C167-C169)*(C167-C171))+0.9*(O172-C167)*(O172-C171)/((C169-C167)*(C169-C171))+0.752*(O172-C167)*(O172-C169)/((C171-C167)*(C171-C169))</f>
        <v>0.96994816737496237</v>
      </c>
      <c r="J179" s="43"/>
      <c r="K179" s="63" t="s">
        <v>37</v>
      </c>
      <c r="L179" s="64">
        <f>O172+L170+L175</f>
        <v>242.4541172993577</v>
      </c>
      <c r="M179" s="43"/>
      <c r="N179" s="61">
        <f>N178/(20/72)</f>
        <v>0.89579043483733134</v>
      </c>
      <c r="O179" s="62">
        <f>O178/(20/72)</f>
        <v>9.8830707821351504E-2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0.63710697527886451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1.6066396227884815E-2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0.98264463608763186</v>
      </c>
      <c r="I180" s="48">
        <f>1.13*(O172-C169)*(O172-C171)/((C167-C169)*(C167-C171))+0.886*(O172-C167)*(O172-C171)/((C169-C167)*(C169-C171))+0.721*(O172-C167)*(O172-C169)/((C171-C167)*(C171-C169))</f>
        <v>1.0263891825968814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0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0.98750516118757703</v>
      </c>
      <c r="I181" s="54">
        <f>1.2*(O172-C169)*(O172-C171)/((C167-C169)*(C167-C171))+0.85*(O172-C167)*(O172-C171)/((C169-C167)*(C169-C171))+0.64*(O172-C167)*(O172-C169)/((C171-C167)*(C171-C169))</f>
        <v>1.0472580182731461</v>
      </c>
      <c r="J181" s="43"/>
      <c r="K181" s="48" t="s">
        <v>31</v>
      </c>
      <c r="L181" s="48">
        <f>O172+L170</f>
        <v>238.93545298949067</v>
      </c>
      <c r="M181" s="43"/>
      <c r="N181" s="61">
        <f>IF(N178&lt;0.08,30,N182)</f>
        <v>30</v>
      </c>
      <c r="O181" s="62">
        <f>IF(O178&lt;0.08,30,O182)</f>
        <v>30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30</v>
      </c>
      <c r="O182" s="64">
        <f>IF(O178&gt;(20/72)-0.08,30,29)</f>
        <v>29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26" t="s">
        <v>49</v>
      </c>
      <c r="C186" s="628"/>
      <c r="D186" s="628"/>
      <c r="E186" s="627"/>
      <c r="F186" s="43"/>
      <c r="G186" s="629" t="s">
        <v>49</v>
      </c>
      <c r="H186" s="630"/>
      <c r="I186" s="631"/>
      <c r="J186" s="43"/>
      <c r="K186" s="48" t="s">
        <v>7</v>
      </c>
      <c r="L186" s="53"/>
      <c r="M186" s="43"/>
      <c r="N186" s="48" t="s">
        <v>8</v>
      </c>
      <c r="O186" s="54">
        <f>O187/0.2165</f>
        <v>3.7403993563106712</v>
      </c>
      <c r="P186" s="43"/>
      <c r="Q186" s="48">
        <v>1</v>
      </c>
      <c r="R186" s="55">
        <v>0.68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26.226741339264343</v>
      </c>
      <c r="I187" s="48">
        <f>I188/0.2165</f>
        <v>26.947524375472458</v>
      </c>
      <c r="J187" s="43"/>
      <c r="K187" s="57" t="s">
        <v>11</v>
      </c>
      <c r="L187" s="58">
        <f>O187*$O$3*Index!$D$4</f>
        <v>3.1017003936582683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0.80979646064126032</v>
      </c>
      <c r="P187" s="43"/>
      <c r="Q187" s="48">
        <v>5</v>
      </c>
      <c r="R187" s="55">
        <f>R186+0.01</f>
        <v>0.69000000000000006</v>
      </c>
      <c r="S187" s="56">
        <v>1.3100000000000001E-2</v>
      </c>
    </row>
    <row r="188" spans="2:19" ht="20.100000000000001" customHeight="1">
      <c r="B188" s="59">
        <v>100</v>
      </c>
      <c r="C188" s="71">
        <v>276.2</v>
      </c>
      <c r="D188" s="60">
        <v>268</v>
      </c>
      <c r="E188" s="54">
        <f>D188/45*0.2165</f>
        <v>1.2893777777777777</v>
      </c>
      <c r="F188" s="43"/>
      <c r="G188" s="48" t="s">
        <v>7</v>
      </c>
      <c r="H188" s="48">
        <f>L189+O192+B194</f>
        <v>5.6780894999507305</v>
      </c>
      <c r="I188" s="48">
        <f>L190+O192+C194</f>
        <v>5.8341390272897868</v>
      </c>
      <c r="J188" s="43"/>
      <c r="K188" s="61" t="s">
        <v>13</v>
      </c>
      <c r="L188" s="62">
        <f>IF(L191&gt;0,L187*O190,L187*O191)</f>
        <v>3.0644390103212613</v>
      </c>
      <c r="M188" s="43"/>
      <c r="N188" s="48" t="s">
        <v>14</v>
      </c>
      <c r="O188" s="48">
        <f>H196*POWER(H195,(C188-O193))</f>
        <v>1.110919850966376</v>
      </c>
      <c r="P188" s="42"/>
      <c r="Q188" s="48">
        <v>10</v>
      </c>
      <c r="R188" s="55">
        <f>R187+0.01</f>
        <v>0.70000000000000007</v>
      </c>
      <c r="S188" s="56">
        <v>1.3299999999999999E-2</v>
      </c>
    </row>
    <row r="189" spans="2:19" ht="20.100000000000001" customHeight="1">
      <c r="B189" s="59">
        <v>90</v>
      </c>
      <c r="C189" s="71">
        <v>239.9</v>
      </c>
      <c r="D189" s="60">
        <v>178</v>
      </c>
      <c r="E189" s="54">
        <f>D189/45*0.2165</f>
        <v>0.85637777777777779</v>
      </c>
      <c r="F189" s="43"/>
      <c r="G189" s="48" t="s">
        <v>5</v>
      </c>
      <c r="H189" s="48">
        <f>IF(L199&lt;=C189,80+(L199-C190)/((C189-C190)/10),90+(L199-C189)/((C188-C189)/10))</f>
        <v>89.219975669950003</v>
      </c>
      <c r="I189" s="48">
        <f>IF(L200&lt;=C189,80+(L200-C190)/((C189-C190)/10),90+(L200-C189)/((C188-C189)/10))</f>
        <v>90.733310855387018</v>
      </c>
      <c r="J189" s="43"/>
      <c r="K189" s="61" t="s">
        <v>15</v>
      </c>
      <c r="L189" s="62">
        <f>L188*L197</f>
        <v>3.0140144934633457</v>
      </c>
      <c r="M189" s="43"/>
      <c r="N189" s="48" t="s">
        <v>16</v>
      </c>
      <c r="O189" s="48">
        <f>I196*POWER(I195,(C188-O193))</f>
        <v>1.1213983816757036</v>
      </c>
      <c r="P189" s="42"/>
      <c r="Q189" s="48">
        <v>15</v>
      </c>
      <c r="R189" s="55">
        <f>R188+0.01</f>
        <v>0.71000000000000008</v>
      </c>
      <c r="S189" s="56">
        <v>1.35E-2</v>
      </c>
    </row>
    <row r="190" spans="2:19" ht="20.100000000000001" customHeight="1">
      <c r="B190" s="59">
        <v>80</v>
      </c>
      <c r="C190" s="71">
        <v>204.6</v>
      </c>
      <c r="D190" s="60">
        <v>119</v>
      </c>
      <c r="E190" s="54">
        <f>D190/45*0.2165</f>
        <v>0.57252222222222215</v>
      </c>
      <c r="F190" s="43"/>
      <c r="G190" s="48" t="s">
        <v>17</v>
      </c>
      <c r="H190" s="48">
        <f>IF(N200=0,INDEX('R280'!F255:F363,(ROUNDDOWN(((H189-70)/(20/72)+1),0)),1),INDEX('R280'!F255:F363,(ROUNDUP(((H189-70)/(20/72))+1,0)),1))</f>
        <v>263.93333333333442</v>
      </c>
      <c r="I190" s="48">
        <f>IF(O200=0,INDEX('R280'!F255:F363,(ROUNDDOWN(((I189-70)/(20/72)+1),0)),1),INDEX('R280'!F255:F363,(ROUNDUP(((I189-70)/(20/72))+1,0)),1))</f>
        <v>268.86666666666758</v>
      </c>
      <c r="J190" s="43"/>
      <c r="K190" s="61" t="s">
        <v>18</v>
      </c>
      <c r="L190" s="62">
        <f>L188/L198</f>
        <v>3.1248763998275337</v>
      </c>
      <c r="M190" s="43"/>
      <c r="N190" s="48" t="s">
        <v>19</v>
      </c>
      <c r="O190" s="48">
        <f>IF((O193&gt;0),((100+(L191/-H194))/100))</f>
        <v>0.98798678833932785</v>
      </c>
      <c r="P190" s="42"/>
      <c r="Q190" s="48">
        <v>20</v>
      </c>
      <c r="R190" s="55">
        <f>R189+0.01</f>
        <v>0.72000000000000008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30</v>
      </c>
      <c r="I191" s="48">
        <f>O201</f>
        <v>29</v>
      </c>
      <c r="J191" s="43"/>
      <c r="K191" s="63" t="s">
        <v>21</v>
      </c>
      <c r="L191" s="64">
        <f>IF(Index!$C$4&gt;0,Index!$C$4*O188,Index!$C$4*O189)</f>
        <v>4.4436794038655041</v>
      </c>
      <c r="M191" s="43"/>
      <c r="N191" s="48" t="s">
        <v>22</v>
      </c>
      <c r="O191" s="48">
        <f>IF((O193&gt;0),((100+(L191/-I194))/100))</f>
        <v>0.9876477483897359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0.68777944862155382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6.5566853348160858</v>
      </c>
      <c r="I192" s="48">
        <f>I187/4</f>
        <v>6.7368810938681145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32" t="s">
        <v>121</v>
      </c>
      <c r="C193" s="632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'280'!$J$14</f>
        <v>235.09625</v>
      </c>
      <c r="P193" s="42"/>
      <c r="Q193" s="48">
        <v>-1</v>
      </c>
      <c r="R193" s="55">
        <v>0.62</v>
      </c>
      <c r="S193" s="56">
        <v>1.2699999999999999E-2</v>
      </c>
    </row>
    <row r="194" spans="2:19" ht="20.100000000000001" customHeight="1">
      <c r="B194" s="60">
        <f>H189/100*(O186*0.2165)*Link!$C$7*1.02</f>
        <v>2.6640750064873848</v>
      </c>
      <c r="C194" s="48">
        <f>I189/100*(O186*0.2165)*Link!$C$7*1.02</f>
        <v>2.7092626274622535</v>
      </c>
      <c r="D194" s="43"/>
      <c r="E194" s="43"/>
      <c r="F194" s="43"/>
      <c r="G194" s="54" t="s">
        <v>24</v>
      </c>
      <c r="H194" s="48">
        <f>'inf 280'!C31</f>
        <v>3.6989936824411838</v>
      </c>
      <c r="I194" s="48">
        <f>'inf 280'!D31</f>
        <v>3.597465097110756</v>
      </c>
      <c r="J194" s="43"/>
      <c r="K194" s="57" t="s">
        <v>28</v>
      </c>
      <c r="L194" s="58">
        <f>O187*Index!$D$4*$O$2</f>
        <v>2.6026356563410773</v>
      </c>
      <c r="M194" s="43"/>
      <c r="N194" s="43"/>
      <c r="O194" s="42"/>
      <c r="P194" s="42"/>
      <c r="Q194" s="48">
        <v>-10</v>
      </c>
      <c r="R194" s="55">
        <f t="shared" ref="R194:R199" si="12">R193-0.01</f>
        <v>0.61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1.0117333059684406</v>
      </c>
      <c r="I195" s="48">
        <f>(1+(I197*S200))</f>
        <v>1.0142406295755182</v>
      </c>
      <c r="J195" s="43"/>
      <c r="K195" s="61" t="s">
        <v>30</v>
      </c>
      <c r="L195" s="62">
        <f>$O$5*Index!$D$4*O187*0.99*(1-(L191*0.016))</f>
        <v>2.3934152889419815</v>
      </c>
      <c r="M195" s="42"/>
      <c r="N195" s="54" t="s">
        <v>31</v>
      </c>
      <c r="O195" s="48">
        <f>O193+L191</f>
        <v>239.5399294038655</v>
      </c>
      <c r="P195" s="42"/>
      <c r="Q195" s="48">
        <v>-20</v>
      </c>
      <c r="R195" s="55">
        <f t="shared" si="12"/>
        <v>0.6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0.68777944862155382</v>
      </c>
      <c r="I196" s="48">
        <f>R200</f>
        <v>0.62710697527886872</v>
      </c>
      <c r="J196" s="43"/>
      <c r="K196" s="61" t="s">
        <v>32</v>
      </c>
      <c r="L196" s="62">
        <f>$O$5*Index!$D$4*O187*1.25*(1-(L191*0.016))</f>
        <v>3.02198900118937</v>
      </c>
      <c r="M196" s="42"/>
      <c r="N196" s="43"/>
      <c r="O196" s="43"/>
      <c r="P196" s="53"/>
      <c r="Q196" s="48">
        <v>-30</v>
      </c>
      <c r="R196" s="55">
        <f t="shared" si="12"/>
        <v>0.59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0.90033578845564066</v>
      </c>
      <c r="I197" s="54">
        <f>1*(O193-C189)*(O193-C190)/((C188-C189)*(C188-C190))+0.903*(O193-C188)*(O193-C190)/((C189-C188)*(C189-C190))+0.76*(O193-C188)*(O193-C189)/((C190-C188)*(C190-C189))</f>
        <v>0.886361158627609</v>
      </c>
      <c r="J197" s="43"/>
      <c r="K197" s="61" t="s">
        <v>33</v>
      </c>
      <c r="L197" s="62">
        <f>(100+(L195*2.75/-4))/100</f>
        <v>0.98354526988852387</v>
      </c>
      <c r="M197" s="42"/>
      <c r="N197" s="57" t="s">
        <v>43</v>
      </c>
      <c r="O197" s="58"/>
      <c r="P197" s="53"/>
      <c r="Q197" s="48">
        <v>-40</v>
      </c>
      <c r="R197" s="55">
        <f t="shared" si="12"/>
        <v>0.57999999999999996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0.98065927039238798</v>
      </c>
      <c r="M198" s="42"/>
      <c r="N198" s="61">
        <f>MOD(H189,20/72)</f>
        <v>5.3309003283332212E-2</v>
      </c>
      <c r="O198" s="62">
        <f>MOD(I189,20/72)</f>
        <v>0.17775529983145799</v>
      </c>
      <c r="P198" s="53"/>
      <c r="Q198" s="48">
        <v>-50</v>
      </c>
      <c r="R198" s="55">
        <f t="shared" si="12"/>
        <v>0.56999999999999995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237.14651411492352</v>
      </c>
      <c r="M199" s="42"/>
      <c r="N199" s="61">
        <f>N198/(20/72)</f>
        <v>0.19191241181999596</v>
      </c>
      <c r="O199" s="62">
        <f>O198/(20/72)</f>
        <v>0.63991907939324877</v>
      </c>
      <c r="P199" s="53"/>
      <c r="Q199" s="48">
        <v>-60</v>
      </c>
      <c r="R199" s="55">
        <f t="shared" si="12"/>
        <v>0.55999999999999994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242.56191840505488</v>
      </c>
      <c r="M200" s="43"/>
      <c r="N200" s="61">
        <f>IF(N199&lt;0.288,ROUNDDOWN(N199,0),ROUNDUP(N199,0))</f>
        <v>0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0.62710697527886872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30</v>
      </c>
      <c r="O201" s="62">
        <f>IF(O198&lt;0.08,30,O202)</f>
        <v>29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29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26" t="s">
        <v>68</v>
      </c>
      <c r="C206" s="628"/>
      <c r="D206" s="628"/>
      <c r="E206" s="627"/>
      <c r="F206" s="43"/>
      <c r="G206" s="629" t="s">
        <v>68</v>
      </c>
      <c r="H206" s="630"/>
      <c r="I206" s="631"/>
      <c r="J206" s="43"/>
      <c r="K206" s="48" t="s">
        <v>7</v>
      </c>
      <c r="L206" s="53"/>
      <c r="M206" s="43"/>
      <c r="N206" s="48" t="s">
        <v>8</v>
      </c>
      <c r="O206" s="54">
        <f>O207/0.2165</f>
        <v>3.4812447075671336</v>
      </c>
      <c r="P206" s="43"/>
      <c r="Q206" s="48">
        <v>1</v>
      </c>
      <c r="R206" s="55">
        <v>0.69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24.183781572215146</v>
      </c>
      <c r="I207" s="48">
        <f>I208/0.2165</f>
        <v>24.806238580866822</v>
      </c>
      <c r="J207" s="43"/>
      <c r="K207" s="57" t="s">
        <v>11</v>
      </c>
      <c r="L207" s="58">
        <f>O207*$O$3*Index!$D$4</f>
        <v>2.88679818684711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0.75368947918828444</v>
      </c>
      <c r="P207" s="43"/>
      <c r="Q207" s="48">
        <v>5</v>
      </c>
      <c r="R207" s="55">
        <f>R206+0.01</f>
        <v>0.7</v>
      </c>
      <c r="S207" s="56">
        <v>1.3100000000000001E-2</v>
      </c>
    </row>
    <row r="208" spans="2:19" ht="20.100000000000001" customHeight="1">
      <c r="B208" s="59">
        <v>100</v>
      </c>
      <c r="C208" s="71">
        <v>282.89999999999998</v>
      </c>
      <c r="D208" s="60">
        <v>267</v>
      </c>
      <c r="E208" s="54">
        <f>D208/45*0.2165</f>
        <v>1.2845666666666666</v>
      </c>
      <c r="F208" s="43"/>
      <c r="G208" s="48" t="s">
        <v>7</v>
      </c>
      <c r="H208" s="48">
        <f>L209+O212+B214</f>
        <v>5.235788710384579</v>
      </c>
      <c r="I208" s="48">
        <f>L210+O212+C214</f>
        <v>5.3705506527576672</v>
      </c>
      <c r="J208" s="43"/>
      <c r="K208" s="61" t="s">
        <v>13</v>
      </c>
      <c r="L208" s="62">
        <f>IF(L211&gt;0,L207*O210,L207*O211)</f>
        <v>2.8489941649411792</v>
      </c>
      <c r="M208" s="43"/>
      <c r="N208" s="48" t="s">
        <v>14</v>
      </c>
      <c r="O208" s="48">
        <f>H216*POWER(H215,(C208-O213))</f>
        <v>1.2050926460893603</v>
      </c>
      <c r="P208" s="42"/>
      <c r="Q208" s="48">
        <v>10</v>
      </c>
      <c r="R208" s="55">
        <f>R207+0.01</f>
        <v>0.71</v>
      </c>
      <c r="S208" s="56">
        <v>1.3299999999999999E-2</v>
      </c>
    </row>
    <row r="209" spans="2:19" ht="20.100000000000001" customHeight="1">
      <c r="B209" s="59">
        <v>90</v>
      </c>
      <c r="C209" s="71">
        <v>246.7</v>
      </c>
      <c r="D209" s="60">
        <v>179</v>
      </c>
      <c r="E209" s="54">
        <f>D209/45*0.2165</f>
        <v>0.86118888888888889</v>
      </c>
      <c r="F209" s="43"/>
      <c r="G209" s="48" t="s">
        <v>5</v>
      </c>
      <c r="H209" s="48">
        <f>IF(L219&lt;=C209,80+(L219-C210)/((C209-C210)/10),90+(L219-C209)/((C208-C209)/10))</f>
        <v>87.444172495183565</v>
      </c>
      <c r="I209" s="48">
        <f>IF(L220&lt;=C209,80+(L220-C210)/((C209-C210)/10),90+(L220-C209)/((C208-C209)/10))</f>
        <v>88.866755948735388</v>
      </c>
      <c r="J209" s="43"/>
      <c r="K209" s="61" t="s">
        <v>15</v>
      </c>
      <c r="L209" s="62">
        <f>L208*L217</f>
        <v>2.8056458864334934</v>
      </c>
      <c r="M209" s="43"/>
      <c r="N209" s="48" t="s">
        <v>16</v>
      </c>
      <c r="O209" s="48">
        <f>I216*POWER(I215,(C208-O213))</f>
        <v>1.2095285224445746</v>
      </c>
      <c r="P209" s="42"/>
      <c r="Q209" s="48">
        <v>15</v>
      </c>
      <c r="R209" s="55">
        <f>R208+0.01</f>
        <v>0.72</v>
      </c>
      <c r="S209" s="56">
        <v>1.35E-2</v>
      </c>
    </row>
    <row r="210" spans="2:19" ht="20.100000000000001" customHeight="1">
      <c r="B210" s="59">
        <v>80</v>
      </c>
      <c r="C210" s="71">
        <v>211.5</v>
      </c>
      <c r="D210" s="60">
        <v>120</v>
      </c>
      <c r="E210" s="54">
        <f>D210/45*0.2165</f>
        <v>0.57733333333333325</v>
      </c>
      <c r="F210" s="43"/>
      <c r="G210" s="48" t="s">
        <v>17</v>
      </c>
      <c r="H210" s="48">
        <f>IF(N220=0,INDEX('R280'!G255:G363,(ROUNDDOWN(((H209-70)/(20/72)+1),0)),1),INDEX('R280'!G255:G363,(ROUNDUP(((H209-70)/(20/72))+1,0)),1))</f>
        <v>267.74999999999898</v>
      </c>
      <c r="I210" s="48">
        <f>IF(O220=0,INDEX('R280'!G255:G363,(ROUNDDOWN(((I209-70)/(20/72)+1),0)),1),INDEX('R280'!G255:G363,(ROUNDUP(((I209-70)/(20/72))+1,0)),1))</f>
        <v>271.99999999999909</v>
      </c>
      <c r="J210" s="43"/>
      <c r="K210" s="61" t="s">
        <v>18</v>
      </c>
      <c r="L210" s="62">
        <f>L208/L218</f>
        <v>2.9008731077099772</v>
      </c>
      <c r="M210" s="43"/>
      <c r="N210" s="48" t="s">
        <v>19</v>
      </c>
      <c r="O210" s="48">
        <f>IF((O213&gt;0),((100+(L211/-H214))/100))</f>
        <v>0.98690451515517286</v>
      </c>
      <c r="P210" s="42"/>
      <c r="Q210" s="48">
        <v>20</v>
      </c>
      <c r="R210" s="55">
        <f>R209+0.01</f>
        <v>0.73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30</v>
      </c>
      <c r="I211" s="48">
        <f>O221</f>
        <v>30</v>
      </c>
      <c r="J211" s="43"/>
      <c r="K211" s="63" t="s">
        <v>21</v>
      </c>
      <c r="L211" s="64">
        <f>IF(Index!$C$4&gt;0,Index!$C$4*O208,Index!$C$4*O209)</f>
        <v>4.8203705843574411</v>
      </c>
      <c r="M211" s="43"/>
      <c r="N211" s="48" t="s">
        <v>22</v>
      </c>
      <c r="O211" s="48">
        <f>IF((O213&gt;0),((100+(L211/-I214))/100))</f>
        <v>0.98642256425140862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0.69777944862155383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6.0459453930537865</v>
      </c>
      <c r="I212" s="48">
        <f>I207/4</f>
        <v>6.2015596452167054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32" t="s">
        <v>121</v>
      </c>
      <c r="C213" s="632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'280'!$J$14</f>
        <v>235.09625</v>
      </c>
      <c r="P213" s="42"/>
      <c r="Q213" s="48">
        <v>-1</v>
      </c>
      <c r="R213" s="55">
        <v>0.62</v>
      </c>
      <c r="S213" s="56">
        <v>1.2699999999999999E-2</v>
      </c>
    </row>
    <row r="214" spans="2:19" ht="20.100000000000001" customHeight="1">
      <c r="B214" s="60">
        <f>H209/100*(O206*0.2165)*Link!$C$7*1.02</f>
        <v>2.4301428239510852</v>
      </c>
      <c r="C214" s="48">
        <f>I209/100*(O206*0.2165)*Link!$C$7*1.02</f>
        <v>2.46967754504769</v>
      </c>
      <c r="D214" s="43"/>
      <c r="E214" s="43"/>
      <c r="F214" s="43"/>
      <c r="G214" s="54" t="s">
        <v>24</v>
      </c>
      <c r="H214" s="48">
        <f>'inf 280'!C37</f>
        <v>3.6809409055683084</v>
      </c>
      <c r="I214" s="48">
        <f>'inf 280'!D37</f>
        <v>3.5502805342735995</v>
      </c>
      <c r="J214" s="43"/>
      <c r="K214" s="57" t="s">
        <v>28</v>
      </c>
      <c r="L214" s="58">
        <f>O207*Index!$D$4*$O$2</f>
        <v>2.4223112938666502</v>
      </c>
      <c r="M214" s="43"/>
      <c r="N214" s="43"/>
      <c r="O214" s="42"/>
      <c r="P214" s="42"/>
      <c r="Q214" s="48">
        <v>-10</v>
      </c>
      <c r="R214" s="55">
        <f t="shared" ref="R214:R219" si="13">R213-0.01</f>
        <v>0.61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1.0114958214791665</v>
      </c>
      <c r="I215" s="48">
        <f>(1+(I217*S220))</f>
        <v>1.01383578720733</v>
      </c>
      <c r="J215" s="43"/>
      <c r="K215" s="61" t="s">
        <v>30</v>
      </c>
      <c r="L215" s="62">
        <f>$O$5*Index!$D$4*O207*0.99*(1-(L211*0.016))</f>
        <v>2.2131334013113362</v>
      </c>
      <c r="M215" s="42"/>
      <c r="N215" s="54" t="s">
        <v>31</v>
      </c>
      <c r="O215" s="48">
        <f>O213+L211</f>
        <v>239.91662058435745</v>
      </c>
      <c r="P215" s="42"/>
      <c r="Q215" s="48">
        <v>-20</v>
      </c>
      <c r="R215" s="55">
        <f t="shared" si="13"/>
        <v>0.6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0.69777944862155383</v>
      </c>
      <c r="I216" s="48">
        <f>R220</f>
        <v>0.62710697527886872</v>
      </c>
      <c r="J216" s="43"/>
      <c r="K216" s="61" t="s">
        <v>32</v>
      </c>
      <c r="L216" s="62">
        <f>$O$5*Index!$D$4*O207*1.25*(1-(L211*0.016))</f>
        <v>2.7943603551910812</v>
      </c>
      <c r="M216" s="42"/>
      <c r="N216" s="43"/>
      <c r="O216" s="43"/>
      <c r="P216" s="53"/>
      <c r="Q216" s="48">
        <v>-30</v>
      </c>
      <c r="R216" s="55">
        <f t="shared" si="13"/>
        <v>0.59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0.88211280974258943</v>
      </c>
      <c r="I217" s="54">
        <f>1*(O213-C209)*(O213-C210)/((C208-C209)*(C208-C210))+0.903*(O213-C208)*(O213-C210)/((C209-C208)*(C209-C210))+0.76*(O213-C208)*(O213-C209)/((C210-C208)*(C210-C209))</f>
        <v>0.8611630767151528</v>
      </c>
      <c r="J217" s="43"/>
      <c r="K217" s="61" t="s">
        <v>33</v>
      </c>
      <c r="L217" s="62">
        <f>(100+(L215*2.75/-4))/100</f>
        <v>0.98478470786598449</v>
      </c>
      <c r="M217" s="42"/>
      <c r="N217" s="57" t="s">
        <v>43</v>
      </c>
      <c r="O217" s="58"/>
      <c r="P217" s="53"/>
      <c r="Q217" s="48">
        <v>-40</v>
      </c>
      <c r="R217" s="55">
        <f t="shared" si="13"/>
        <v>0.57999999999999996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0.98211609372677711</v>
      </c>
      <c r="M218" s="42"/>
      <c r="N218" s="61">
        <f>MOD(H209,20/72)</f>
        <v>0.22195027296133918</v>
      </c>
      <c r="O218" s="62">
        <f>MOD(I209,20/72)</f>
        <v>0.25564483762427337</v>
      </c>
      <c r="P218" s="53"/>
      <c r="Q218" s="48">
        <v>-50</v>
      </c>
      <c r="R218" s="55">
        <f t="shared" si="13"/>
        <v>0.56999999999999995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237.70348718304612</v>
      </c>
      <c r="M219" s="42"/>
      <c r="N219" s="61">
        <f>N218/(20/72)</f>
        <v>0.799020982660821</v>
      </c>
      <c r="O219" s="62">
        <f>O218/(20/72)</f>
        <v>0.92032141544738411</v>
      </c>
      <c r="P219" s="53"/>
      <c r="Q219" s="48">
        <v>-60</v>
      </c>
      <c r="R219" s="55">
        <f t="shared" si="13"/>
        <v>0.55999999999999994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242.71098093954853</v>
      </c>
      <c r="M220" s="43"/>
      <c r="N220" s="61">
        <f>IF(N219&lt;0.288,ROUNDDOWN(N219,0),ROUNDUP(N219,0))</f>
        <v>1</v>
      </c>
      <c r="O220" s="62">
        <f>IF(O219&lt;0.288,ROUNDDOWN(O219,0),ROUNDUP(O219,0))</f>
        <v>1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0.62710697527886872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30</v>
      </c>
      <c r="O221" s="62">
        <f>IF(O218&lt;0.08,30,O222)</f>
        <v>30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30</v>
      </c>
      <c r="O222" s="64">
        <f>IF(O218&gt;(20/72)-0.08,30,29)</f>
        <v>30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26" t="s">
        <v>69</v>
      </c>
      <c r="C226" s="628"/>
      <c r="D226" s="628"/>
      <c r="E226" s="627"/>
      <c r="F226" s="43"/>
      <c r="G226" s="629" t="s">
        <v>69</v>
      </c>
      <c r="H226" s="630"/>
      <c r="I226" s="631"/>
      <c r="J226" s="43"/>
      <c r="K226" s="48" t="s">
        <v>7</v>
      </c>
      <c r="L226" s="53"/>
      <c r="M226" s="43"/>
      <c r="N226" s="48" t="s">
        <v>8</v>
      </c>
      <c r="O226" s="54">
        <f>O227/0.2165</f>
        <v>5.3245261097202166</v>
      </c>
      <c r="P226" s="43"/>
      <c r="Q226" s="48">
        <v>1</v>
      </c>
      <c r="R226" s="55">
        <v>0.62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34.280048833967555</v>
      </c>
      <c r="I227" s="48">
        <f>I228/0.2165</f>
        <v>35.735524983392665</v>
      </c>
      <c r="J227" s="43"/>
      <c r="K227" s="57" t="s">
        <v>11</v>
      </c>
      <c r="L227" s="58">
        <f>O227*$O$3*Index!$D$4</f>
        <v>4.4153265887770115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1.1527599027544269</v>
      </c>
      <c r="P227" s="43"/>
      <c r="Q227" s="48">
        <v>5</v>
      </c>
      <c r="R227" s="55">
        <f>R226+0.01</f>
        <v>0.63</v>
      </c>
      <c r="S227" s="56">
        <v>1.3599999999999999E-2</v>
      </c>
      <c r="T227" s="43"/>
    </row>
    <row r="228" spans="2:20" ht="20.100000000000001" customHeight="1">
      <c r="B228" s="59">
        <v>100</v>
      </c>
      <c r="C228" s="71">
        <v>245.5</v>
      </c>
      <c r="D228" s="60">
        <v>270</v>
      </c>
      <c r="E228" s="54">
        <f>D228/45*0.2165</f>
        <v>1.2989999999999999</v>
      </c>
      <c r="F228" s="43"/>
      <c r="G228" s="48" t="s">
        <v>7</v>
      </c>
      <c r="H228" s="48">
        <f>L229+O232+B234</f>
        <v>7.4216305725539762</v>
      </c>
      <c r="I228" s="48">
        <f>L230+O232+C234</f>
        <v>7.7367411589045112</v>
      </c>
      <c r="J228" s="43"/>
      <c r="K228" s="61" t="s">
        <v>13</v>
      </c>
      <c r="L228" s="62">
        <f>IF(L231&gt;0,L227*O230,L227*O231)</f>
        <v>4.3731258359361123</v>
      </c>
      <c r="M228" s="43"/>
      <c r="N228" s="48" t="s">
        <v>14</v>
      </c>
      <c r="O228" s="48">
        <f>H236*POWER(H235,(C228-O233))</f>
        <v>0.72160014637791603</v>
      </c>
      <c r="P228" s="42"/>
      <c r="Q228" s="48">
        <v>10</v>
      </c>
      <c r="R228" s="55">
        <f>R227+0.01</f>
        <v>0.64</v>
      </c>
      <c r="S228" s="56">
        <v>1.38E-2</v>
      </c>
      <c r="T228" s="43"/>
    </row>
    <row r="229" spans="2:20" ht="20.100000000000001" customHeight="1">
      <c r="B229" s="59">
        <v>90</v>
      </c>
      <c r="C229" s="71">
        <v>212.6</v>
      </c>
      <c r="D229" s="60">
        <v>183</v>
      </c>
      <c r="E229" s="54">
        <f>D229/45*0.2165</f>
        <v>0.88043333333333329</v>
      </c>
      <c r="F229" s="43"/>
      <c r="G229" s="48" t="s">
        <v>5</v>
      </c>
      <c r="H229" s="48">
        <f>IF(L239&lt;=C229,80+(L239-C230)/((C229-C230)/10),90+(L239-C229)/((C228-C229)/10))</f>
        <v>96.65172972921296</v>
      </c>
      <c r="I229" s="48">
        <f>IF(L240&lt;=C229,80+(L240-C230)/((C229-C230)/10),90+(L240-C229)/((C228-C229)/10))</f>
        <v>99.089942769165788</v>
      </c>
      <c r="J229" s="43"/>
      <c r="K229" s="61" t="s">
        <v>15</v>
      </c>
      <c r="L229" s="62">
        <f>L228*L237</f>
        <v>4.267943802701244</v>
      </c>
      <c r="M229" s="43"/>
      <c r="N229" s="48" t="s">
        <v>16</v>
      </c>
      <c r="O229" s="48">
        <f>I236*POWER(I235,(C228-O233))</f>
        <v>0.71369246844034073</v>
      </c>
      <c r="P229" s="42"/>
      <c r="Q229" s="48">
        <v>15</v>
      </c>
      <c r="R229" s="55">
        <f>R228+0.01</f>
        <v>0.65</v>
      </c>
      <c r="S229" s="56">
        <v>1.4E-2</v>
      </c>
      <c r="T229" s="43"/>
    </row>
    <row r="230" spans="2:20" ht="20.100000000000001" customHeight="1">
      <c r="B230" s="59">
        <v>80</v>
      </c>
      <c r="C230" s="71">
        <v>181.3</v>
      </c>
      <c r="D230" s="60">
        <v>125</v>
      </c>
      <c r="E230" s="54">
        <f>D230/45*0.2165</f>
        <v>0.60138888888888886</v>
      </c>
      <c r="F230" s="43"/>
      <c r="G230" s="48" t="s">
        <v>17</v>
      </c>
      <c r="H230" s="48">
        <f>IF(N240=0,INDEX('R280'!H255:H363,(ROUNDDOWN(((H229-70)/(20/72)+1),0)),1),INDEX('R280'!H255:H363,(ROUNDUP(((H229-70)/(20/72))+1,0)),1))</f>
        <v>251.33333333333326</v>
      </c>
      <c r="I230" s="48">
        <f>IF(O240=0,INDEX('R280'!H255:H363,(ROUNDDOWN(((I229-70)/(20/72)+1),0)),1),INDEX('R280'!H255:H363,(ROUNDUP(((I229-70)/(20/72))+1,0)),1))</f>
        <v>257.83333333333331</v>
      </c>
      <c r="J230" s="43"/>
      <c r="K230" s="61" t="s">
        <v>18</v>
      </c>
      <c r="L230" s="62">
        <f>L228/L238</f>
        <v>4.503496990257938</v>
      </c>
      <c r="M230" s="43"/>
      <c r="N230" s="48" t="s">
        <v>19</v>
      </c>
      <c r="O230" s="48">
        <f>IF((O233&gt;0),((100+(L231/-H234))/100))</f>
        <v>0.99044221259913912</v>
      </c>
      <c r="P230" s="42"/>
      <c r="Q230" s="48">
        <v>20</v>
      </c>
      <c r="R230" s="55">
        <f>R229+0.01</f>
        <v>0.66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2.8864005855116641</v>
      </c>
      <c r="M231" s="43"/>
      <c r="N231" s="48" t="s">
        <v>22</v>
      </c>
      <c r="O231" s="48">
        <f>IF((O233&gt;0),((100+(L231/-I234))/100))</f>
        <v>0.99029837351228722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0.62777944862155388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8.5700122084918888</v>
      </c>
      <c r="I232" s="48">
        <f>I227/4</f>
        <v>8.9338812458481662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32" t="s">
        <v>121</v>
      </c>
      <c r="C233" s="632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'280'!$J$14</f>
        <v>235.09625</v>
      </c>
      <c r="P233" s="42"/>
      <c r="Q233" s="48">
        <v>-1</v>
      </c>
      <c r="R233" s="55">
        <v>0.6</v>
      </c>
      <c r="S233" s="56">
        <v>1.2699999999999999E-2</v>
      </c>
      <c r="T233" s="43"/>
    </row>
    <row r="234" spans="2:20" ht="20.100000000000001" customHeight="1">
      <c r="B234" s="60">
        <f>H229/100*(O226*0.2165*0.9)*Link!$C$7*0.87</f>
        <v>3.1536867698527322</v>
      </c>
      <c r="C234" s="48">
        <f>I229/100*(O226*0.2165*0.9)*Link!$C$7*0.87</f>
        <v>3.2332441686465736</v>
      </c>
      <c r="D234" s="43"/>
      <c r="E234" s="43"/>
      <c r="F234" s="43"/>
      <c r="G234" s="54" t="s">
        <v>24</v>
      </c>
      <c r="H234" s="48">
        <f>'inf 280'!G31</f>
        <v>3.0199464211263605</v>
      </c>
      <c r="I234" s="48">
        <f>'inf 280'!H31</f>
        <v>2.9751718324420526</v>
      </c>
      <c r="J234" s="43"/>
      <c r="K234" s="57" t="s">
        <v>28</v>
      </c>
      <c r="L234" s="58">
        <f>O227*Index!$D$4*$O$2</f>
        <v>3.7048989121700284</v>
      </c>
      <c r="M234" s="43"/>
      <c r="N234" s="43"/>
      <c r="O234" s="42"/>
      <c r="P234" s="42"/>
      <c r="Q234" s="48">
        <v>-10</v>
      </c>
      <c r="R234" s="55">
        <f t="shared" ref="R234:R239" si="14">R233-0.01</f>
        <v>0.59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1.0134777145053697</v>
      </c>
      <c r="I235" s="48">
        <f>(1+(I237*S240))</f>
        <v>1.0156684872854833</v>
      </c>
      <c r="J235" s="43"/>
      <c r="K235" s="61" t="s">
        <v>30</v>
      </c>
      <c r="L235" s="62">
        <f>$O$5*Index!$D$4*O227*0.99*(1-(L231*0.016))</f>
        <v>3.4984597764010377</v>
      </c>
      <c r="M235" s="42"/>
      <c r="N235" s="54" t="s">
        <v>31</v>
      </c>
      <c r="O235" s="48">
        <f>O233+L231</f>
        <v>237.98265058551166</v>
      </c>
      <c r="P235" s="42"/>
      <c r="Q235" s="48">
        <v>-20</v>
      </c>
      <c r="R235" s="55">
        <f t="shared" si="14"/>
        <v>0.57999999999999996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0.62777944862155388</v>
      </c>
      <c r="I236" s="48">
        <f>R240</f>
        <v>0.60710697527886726</v>
      </c>
      <c r="J236" s="43"/>
      <c r="K236" s="61" t="s">
        <v>32</v>
      </c>
      <c r="L236" s="62">
        <f>$O$5*Index!$D$4*O227*1.28*(1-(L231*0.016))</f>
        <v>4.5232611250437662</v>
      </c>
      <c r="M236" s="42"/>
      <c r="N236" s="43"/>
      <c r="O236" s="43"/>
      <c r="P236" s="53"/>
      <c r="Q236" s="48">
        <v>-30</v>
      </c>
      <c r="R236" s="55">
        <f t="shared" si="14"/>
        <v>0.56999999999999995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0.99597773611624874</v>
      </c>
      <c r="I237" s="54">
        <f>1*(O233-C229)*(O233-C230)/((C228-C229)*(C228-C230))+0.903*(O233-C228)*(O233-C230)/((C229-C228)*(C229-C230))+0.76*(O233-C228)*(O233-C229)/((C230-C228)*(C230-C229))</f>
        <v>0.97523346637555297</v>
      </c>
      <c r="J237" s="43"/>
      <c r="K237" s="61" t="s">
        <v>33</v>
      </c>
      <c r="L237" s="62">
        <f>(100+(L235*2.75/-4))/100</f>
        <v>0.97594808903724284</v>
      </c>
      <c r="M237" s="42"/>
      <c r="N237" s="57" t="s">
        <v>43</v>
      </c>
      <c r="O237" s="58"/>
      <c r="P237" s="53"/>
      <c r="Q237" s="48">
        <v>-40</v>
      </c>
      <c r="R237" s="55">
        <f t="shared" si="14"/>
        <v>0.55999999999999994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0.97105112879971989</v>
      </c>
      <c r="M238" s="42"/>
      <c r="N238" s="61">
        <f>MOD(H229,20/72)</f>
        <v>0.26284084032406663</v>
      </c>
      <c r="O238" s="62">
        <f>MOD(I229,20/72)</f>
        <v>0.20105388027689441</v>
      </c>
      <c r="P238" s="53"/>
      <c r="Q238" s="48">
        <v>-50</v>
      </c>
      <c r="R238" s="55">
        <f t="shared" si="14"/>
        <v>0.54999999999999993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234.48419080911063</v>
      </c>
      <c r="M239" s="42"/>
      <c r="N239" s="61">
        <f>N238/(20/72)</f>
        <v>0.94622702516663981</v>
      </c>
      <c r="O239" s="62">
        <f>O238/(20/72)</f>
        <v>0.72379396899681991</v>
      </c>
      <c r="P239" s="53"/>
      <c r="Q239" s="48">
        <v>-60</v>
      </c>
      <c r="R239" s="55">
        <f t="shared" si="14"/>
        <v>0.53999999999999992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242.50591171055544</v>
      </c>
      <c r="M240" s="43"/>
      <c r="N240" s="61">
        <f>IF(N239&lt;0.288,ROUNDDOWN(N239,0),ROUNDUP(N239,0))</f>
        <v>1</v>
      </c>
      <c r="O240" s="62">
        <f>IF(O239&lt;0.288,ROUNDDOWN(O239,0),ROUNDUP(O239,0))</f>
        <v>1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0.60710697527886726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30</v>
      </c>
      <c r="O242" s="64">
        <f>IF(O238&gt;(20/72)-0.08,30,29)</f>
        <v>30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26" t="s">
        <v>70</v>
      </c>
      <c r="C246" s="628"/>
      <c r="D246" s="628"/>
      <c r="E246" s="627"/>
      <c r="F246" s="43"/>
      <c r="G246" s="629" t="s">
        <v>70</v>
      </c>
      <c r="H246" s="630"/>
      <c r="I246" s="631"/>
      <c r="J246" s="43"/>
      <c r="K246" s="48" t="s">
        <v>7</v>
      </c>
      <c r="L246" s="53"/>
      <c r="M246" s="43"/>
      <c r="N246" s="48" t="s">
        <v>8</v>
      </c>
      <c r="O246" s="54">
        <f>O247/0.2165</f>
        <v>6.6706104668902153</v>
      </c>
      <c r="P246" s="43"/>
      <c r="Q246" s="48">
        <v>1</v>
      </c>
      <c r="R246" s="55">
        <v>0.59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44.03750152069766</v>
      </c>
      <c r="I247" s="48">
        <f>I248/0.2165</f>
        <v>46.428999747151401</v>
      </c>
      <c r="J247" s="43"/>
      <c r="K247" s="57" t="s">
        <v>11</v>
      </c>
      <c r="L247" s="58">
        <f>O247*$O$3*Index!$D$4</f>
        <v>5.5315577670032754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1.4441871660817316</v>
      </c>
      <c r="P247" s="43"/>
      <c r="Q247" s="48">
        <v>5</v>
      </c>
      <c r="R247" s="55">
        <f>R246+0.01</f>
        <v>0.6</v>
      </c>
      <c r="S247" s="56">
        <v>1.41E-2</v>
      </c>
    </row>
    <row r="248" spans="2:20" ht="20.100000000000001" customHeight="1">
      <c r="B248" s="59">
        <v>100</v>
      </c>
      <c r="C248" s="71">
        <v>226.8</v>
      </c>
      <c r="D248" s="60">
        <v>273</v>
      </c>
      <c r="E248" s="54">
        <f>D248/45*0.2165</f>
        <v>1.3134333333333332</v>
      </c>
      <c r="F248" s="43"/>
      <c r="G248" s="48" t="s">
        <v>7</v>
      </c>
      <c r="H248" s="48">
        <f>L249+O252+B254</f>
        <v>9.5341190792310435</v>
      </c>
      <c r="I248" s="48">
        <f>L250+O252+C254</f>
        <v>10.051878445258279</v>
      </c>
      <c r="J248" s="43"/>
      <c r="K248" s="61" t="s">
        <v>13</v>
      </c>
      <c r="L248" s="62">
        <f>IF(L251&gt;0,L247*O250,L247*O251)</f>
        <v>5.4951751753377831</v>
      </c>
      <c r="M248" s="43"/>
      <c r="N248" s="48" t="s">
        <v>14</v>
      </c>
      <c r="O248" s="48">
        <f>H256*POWER(H255,(C248-O253))</f>
        <v>0.52754686919459948</v>
      </c>
      <c r="P248" s="42"/>
      <c r="Q248" s="48">
        <v>10</v>
      </c>
      <c r="R248" s="55">
        <f>R247+0.01</f>
        <v>0.61</v>
      </c>
      <c r="S248" s="56">
        <v>1.43E-2</v>
      </c>
    </row>
    <row r="249" spans="2:20" ht="20.100000000000001" customHeight="1">
      <c r="B249" s="59">
        <v>90</v>
      </c>
      <c r="C249" s="71">
        <v>196.9</v>
      </c>
      <c r="D249" s="60">
        <v>190</v>
      </c>
      <c r="E249" s="54">
        <f>D249/45*0.2165</f>
        <v>0.9141111111111111</v>
      </c>
      <c r="F249" s="43"/>
      <c r="G249" s="48" t="s">
        <v>5</v>
      </c>
      <c r="H249" s="48">
        <f>IF(L259&lt;=C249,80+(L259-C250)/((C249-C250)/10),90+(L259-C249)/((C248-C249)/10))</f>
        <v>101.99547473821895</v>
      </c>
      <c r="I249" s="48">
        <f>IF(L260&lt;=C249,80+(L260-C250)/((C249-C250)/10),90+(L260-C249)/((C248-C249)/10))</f>
        <v>105.40033517589791</v>
      </c>
      <c r="J249" s="43"/>
      <c r="K249" s="61" t="s">
        <v>15</v>
      </c>
      <c r="L249" s="62">
        <f>L248*L257</f>
        <v>5.3274361616900903</v>
      </c>
      <c r="M249" s="43"/>
      <c r="N249" s="48" t="s">
        <v>16</v>
      </c>
      <c r="O249" s="48">
        <f>I256*POWER(I255,(C248-O253))</f>
        <v>0.52197853536692917</v>
      </c>
      <c r="P249" s="42"/>
      <c r="Q249" s="48">
        <v>15</v>
      </c>
      <c r="R249" s="55">
        <f>R248+0.01</f>
        <v>0.62</v>
      </c>
      <c r="S249" s="56">
        <v>1.4500000000000001E-2</v>
      </c>
    </row>
    <row r="250" spans="2:20" ht="20.100000000000001" customHeight="1">
      <c r="B250" s="59">
        <v>80</v>
      </c>
      <c r="C250" s="71">
        <v>168.6</v>
      </c>
      <c r="D250" s="60">
        <v>133</v>
      </c>
      <c r="E250" s="54">
        <f>D250/45*0.2165</f>
        <v>0.63987777777777777</v>
      </c>
      <c r="F250" s="43"/>
      <c r="G250" s="48" t="s">
        <v>17</v>
      </c>
      <c r="H250" s="48" t="e">
        <f>IF(N260=0,INDEX('R280'!K255:K363,(ROUNDDOWN(((H249-70)/(20/72)+1),0)),1),INDEX('R280'!K255:K363,(ROUNDUP(((H249-70)/(20/72))+1,0)),1))</f>
        <v>#REF!</v>
      </c>
      <c r="I250" s="48" t="e">
        <f>IF(O260=0,INDEX('R280'!K255:K363,(ROUNDDOWN(((I249-70)/(20/72)+1),0)),1),INDEX('R280'!K255:K363,(ROUNDUP(((I249-70)/(20/72))+1,0)),1))</f>
        <v>#REF!</v>
      </c>
      <c r="J250" s="43"/>
      <c r="K250" s="61" t="s">
        <v>18</v>
      </c>
      <c r="L250" s="62">
        <f>L248/L258</f>
        <v>5.7047660794838944</v>
      </c>
      <c r="M250" s="43"/>
      <c r="N250" s="48" t="s">
        <v>19</v>
      </c>
      <c r="O250" s="48">
        <f>IF((O253&gt;0),((100+(L251/-H254))/100))</f>
        <v>0.99342272227861006</v>
      </c>
      <c r="P250" s="42"/>
      <c r="Q250" s="48">
        <v>20</v>
      </c>
      <c r="R250" s="55">
        <f>R249+0.01</f>
        <v>0.63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30</v>
      </c>
      <c r="I251" s="48">
        <f>O261</f>
        <v>29</v>
      </c>
      <c r="J251" s="43"/>
      <c r="K251" s="63" t="s">
        <v>21</v>
      </c>
      <c r="L251" s="64">
        <f>IF(Index!$C$4&gt;0,Index!$C$4*O248,Index!$C$4*O249)</f>
        <v>2.1101874767783979</v>
      </c>
      <c r="M251" s="43"/>
      <c r="N251" s="48" t="s">
        <v>22</v>
      </c>
      <c r="O251" s="48">
        <f>IF((O253&gt;0),((100+(L251/-I254))/100))</f>
        <v>0.99355703744637214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0.59777944862155385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11.009375380174415</v>
      </c>
      <c r="I252" s="48">
        <f>I247/4</f>
        <v>11.60724993678785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32" t="s">
        <v>121</v>
      </c>
      <c r="C253" s="632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'280'!$J$14</f>
        <v>235.09625</v>
      </c>
      <c r="P253" s="42"/>
      <c r="Q253" s="48">
        <v>-1</v>
      </c>
      <c r="R253" s="55">
        <v>0.59</v>
      </c>
      <c r="S253" s="56">
        <v>1.2699999999999999E-2</v>
      </c>
    </row>
    <row r="254" spans="2:20" ht="20.100000000000001" customHeight="1">
      <c r="B254" s="60">
        <f>H249/100*(O246*0.2165)*Link!$C$7*0.79</f>
        <v>4.2066829175409524</v>
      </c>
      <c r="C254" s="48">
        <f>I249/100*(O246*0.2165)*Link!$C$7*0.79</f>
        <v>4.3471123657743842</v>
      </c>
      <c r="D254" s="43"/>
      <c r="E254" s="43"/>
      <c r="F254" s="43"/>
      <c r="G254" s="54" t="s">
        <v>24</v>
      </c>
      <c r="H254" s="48">
        <f>'inf 280'!G37</f>
        <v>3.2082991872394757</v>
      </c>
      <c r="I254" s="48">
        <f>'inf 280'!H37</f>
        <v>3.2751819667028919</v>
      </c>
      <c r="J254" s="43"/>
      <c r="K254" s="57" t="s">
        <v>28</v>
      </c>
      <c r="L254" s="58">
        <f>O247*Index!$D$4*$O$2</f>
        <v>4.6415280821282678</v>
      </c>
      <c r="M254" s="43"/>
      <c r="N254" s="43"/>
      <c r="O254" s="42"/>
      <c r="P254" s="42"/>
      <c r="Q254" s="48">
        <v>-10</v>
      </c>
      <c r="R254" s="55">
        <f t="shared" ref="R254:R259" si="15">R253-0.01</f>
        <v>0.57999999999999996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1.0151791900384171</v>
      </c>
      <c r="I255" s="48">
        <f>(1+(I257*S260))</f>
        <v>1.0163405764795324</v>
      </c>
      <c r="J255" s="43"/>
      <c r="K255" s="61" t="s">
        <v>30</v>
      </c>
      <c r="L255" s="62">
        <f>$O$5*Index!$D$4*O247*0.99*(1-(L251*0.016))</f>
        <v>4.439968009503751</v>
      </c>
      <c r="M255" s="42"/>
      <c r="N255" s="54" t="s">
        <v>31</v>
      </c>
      <c r="O255" s="48">
        <f>O253+L251</f>
        <v>237.2064374767784</v>
      </c>
      <c r="P255" s="42"/>
      <c r="Q255" s="48">
        <v>-20</v>
      </c>
      <c r="R255" s="55">
        <f t="shared" si="15"/>
        <v>0.56999999999999995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0.59777944862155385</v>
      </c>
      <c r="I256" s="48">
        <f>R260</f>
        <v>0.59710697527886514</v>
      </c>
      <c r="J256" s="43"/>
      <c r="K256" s="61" t="s">
        <v>32</v>
      </c>
      <c r="L256" s="62">
        <f>$O$5*Index!$D$4*O247*1.28*(1-(L251*0.016))</f>
        <v>5.7405646991563639</v>
      </c>
      <c r="M256" s="42"/>
      <c r="N256" s="43"/>
      <c r="O256" s="43"/>
      <c r="P256" s="53"/>
      <c r="Q256" s="48">
        <v>-30</v>
      </c>
      <c r="R256" s="55">
        <f t="shared" si="15"/>
        <v>0.55999999999999994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1.0817441474384191</v>
      </c>
      <c r="I257" s="54">
        <f>1*(O253-C249)*(O253-C250)/((C248-C249)*(C248-C250))+0.903*(O253-C248)*(O253-C250)/((C249-C248)*(C249-C250))+0.76*(O253-C248)*(O253-C249)/((C250-C248)*(C250-C249))</f>
        <v>1.0170654481414871</v>
      </c>
      <c r="J257" s="43"/>
      <c r="K257" s="61" t="s">
        <v>33</v>
      </c>
      <c r="L257" s="62">
        <f>(100+(L255*2.75/-4))/100</f>
        <v>0.96947521993466168</v>
      </c>
      <c r="M257" s="42"/>
      <c r="N257" s="57" t="s">
        <v>43</v>
      </c>
      <c r="O257" s="58"/>
      <c r="P257" s="53"/>
      <c r="Q257" s="48">
        <v>-40</v>
      </c>
      <c r="R257" s="55">
        <f t="shared" si="15"/>
        <v>0.54999999999999993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0.96326038592539931</v>
      </c>
      <c r="M258" s="42"/>
      <c r="N258" s="61">
        <f>MOD(H249,20/72)</f>
        <v>5.1030293774496305E-2</v>
      </c>
      <c r="O258" s="62">
        <f>MOD(I249,20/72)</f>
        <v>0.12255739812012545</v>
      </c>
      <c r="P258" s="53"/>
      <c r="Q258" s="48">
        <v>-50</v>
      </c>
      <c r="R258" s="55">
        <f t="shared" si="15"/>
        <v>0.53999999999999992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232.76646946727465</v>
      </c>
      <c r="M259" s="42"/>
      <c r="N259" s="61">
        <f>N258/(20/72)</f>
        <v>0.1837090575881867</v>
      </c>
      <c r="O259" s="62">
        <f>O258/(20/72)</f>
        <v>0.44120663323245157</v>
      </c>
      <c r="P259" s="53"/>
      <c r="Q259" s="48">
        <v>-60</v>
      </c>
      <c r="R259" s="55">
        <f t="shared" si="15"/>
        <v>0.52999999999999992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242.94700217593476</v>
      </c>
      <c r="M260" s="43"/>
      <c r="N260" s="61">
        <f>IF(N259&lt;0.288,ROUNDDOWN(N259,0),ROUNDUP(N259,0))</f>
        <v>0</v>
      </c>
      <c r="O260" s="62">
        <f>IF(O259&lt;0.288,ROUNDDOWN(O259,0),ROUNDUP(O259,0))</f>
        <v>1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0.59710697527886514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30</v>
      </c>
      <c r="O261" s="62">
        <f>IF(O258&lt;0.08,30,O262)</f>
        <v>29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29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26" t="s">
        <v>71</v>
      </c>
      <c r="C266" s="628"/>
      <c r="D266" s="628"/>
      <c r="E266" s="627"/>
      <c r="F266" s="43"/>
      <c r="G266" s="629" t="s">
        <v>71</v>
      </c>
      <c r="H266" s="630"/>
      <c r="I266" s="631"/>
      <c r="J266" s="43"/>
      <c r="K266" s="48" t="s">
        <v>7</v>
      </c>
      <c r="L266" s="53"/>
      <c r="M266" s="43"/>
      <c r="N266" s="48" t="s">
        <v>8</v>
      </c>
      <c r="O266" s="54">
        <f>O267/0.2165</f>
        <v>2.5653749182977017</v>
      </c>
      <c r="P266" s="43"/>
      <c r="Q266" s="48">
        <v>1</v>
      </c>
      <c r="R266" s="55">
        <v>0.61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16.877668802431327</v>
      </c>
      <c r="I267" s="48">
        <f>I268/0.2165</f>
        <v>17.209016756529618</v>
      </c>
      <c r="J267" s="43"/>
      <c r="K267" s="57" t="s">
        <v>11</v>
      </c>
      <c r="L267" s="58">
        <f>O267*$O$3*Index!$D$4</f>
        <v>2.1273194747347541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0.55540366981145239</v>
      </c>
      <c r="P267" s="43"/>
      <c r="Q267" s="48">
        <v>5</v>
      </c>
      <c r="R267" s="55">
        <f>R266+0.01</f>
        <v>0.62</v>
      </c>
      <c r="S267" s="56">
        <v>1.3100000000000001E-2</v>
      </c>
    </row>
    <row r="268" spans="2:19" ht="20.100000000000001" customHeight="1">
      <c r="B268" s="59">
        <v>100</v>
      </c>
      <c r="C268" s="71">
        <v>316.5</v>
      </c>
      <c r="D268" s="60">
        <v>269</v>
      </c>
      <c r="E268" s="54">
        <f>D268/45*0.2165</f>
        <v>1.2941888888888888</v>
      </c>
      <c r="F268" s="43"/>
      <c r="G268" s="48" t="s">
        <v>7</v>
      </c>
      <c r="H268" s="48">
        <f>L269+O272+B274</f>
        <v>3.6540152957263823</v>
      </c>
      <c r="I268" s="48">
        <f>L270+O272+C274</f>
        <v>3.7257521277886623</v>
      </c>
      <c r="J268" s="43"/>
      <c r="K268" s="61" t="s">
        <v>13</v>
      </c>
      <c r="L268" s="62">
        <f>IF(L271&gt;0,L267*O270,L267*O271)</f>
        <v>2.0769284649712412</v>
      </c>
      <c r="M268" s="43"/>
      <c r="N268" s="48" t="s">
        <v>14</v>
      </c>
      <c r="O268" s="48">
        <f>H276*POWER(H275,(C268-O273))</f>
        <v>1.4552658889202548</v>
      </c>
      <c r="P268" s="42"/>
      <c r="Q268" s="48">
        <v>10</v>
      </c>
      <c r="R268" s="55">
        <f>R267+0.01</f>
        <v>0.63</v>
      </c>
      <c r="S268" s="56">
        <v>1.3299999999999999E-2</v>
      </c>
    </row>
    <row r="269" spans="2:19" ht="20.100000000000001" customHeight="1">
      <c r="B269" s="59">
        <v>90</v>
      </c>
      <c r="C269" s="71">
        <v>280.7</v>
      </c>
      <c r="D269" s="60">
        <v>185</v>
      </c>
      <c r="E269" s="54">
        <f>D269/45*0.2165</f>
        <v>0.89005555555555549</v>
      </c>
      <c r="F269" s="43"/>
      <c r="G269" s="48" t="s">
        <v>5</v>
      </c>
      <c r="H269" s="48">
        <f>IF(L279&lt;=C269,80+(L279-C270)/((C269-C270)/10),90+(L279-C269)/((C268-C269)/10))</f>
        <v>78.137115534803129</v>
      </c>
      <c r="I269" s="48">
        <f>IF(L280&lt;=C269,80+(L280-C270)/((C269-C270)/10),90+(L280-C269)/((C268-C269)/10))</f>
        <v>79.180741827995305</v>
      </c>
      <c r="J269" s="43"/>
      <c r="K269" s="61" t="s">
        <v>15</v>
      </c>
      <c r="L269" s="62">
        <f>L268*L277</f>
        <v>2.0538140895864685</v>
      </c>
      <c r="M269" s="43"/>
      <c r="N269" s="48" t="s">
        <v>16</v>
      </c>
      <c r="O269" s="48">
        <f>I276*POWER(I275,(C268-O273))</f>
        <v>1.4715711454000358</v>
      </c>
      <c r="P269" s="42"/>
      <c r="Q269" s="48">
        <v>15</v>
      </c>
      <c r="R269" s="55">
        <f>R268+0.01</f>
        <v>0.64</v>
      </c>
      <c r="S269" s="56">
        <v>1.35E-2</v>
      </c>
    </row>
    <row r="270" spans="2:19" ht="20.100000000000001" customHeight="1">
      <c r="B270" s="59">
        <v>80</v>
      </c>
      <c r="C270" s="71">
        <v>245.8</v>
      </c>
      <c r="D270" s="60">
        <v>128</v>
      </c>
      <c r="E270" s="54">
        <f>D270/45*0.2165</f>
        <v>0.61582222222222227</v>
      </c>
      <c r="F270" s="43"/>
      <c r="G270" s="48" t="s">
        <v>17</v>
      </c>
      <c r="H270" s="48">
        <f>IF(N280=0,INDEX('R280'!F255:F363,(ROUNDDOWN(((H269-70)/(20/72)+1),0)),1),INDEX('R280'!F255:F363,(ROUNDUP(((H269-70)/(20/72))+1,0)),1))</f>
        <v>231.86666666666798</v>
      </c>
      <c r="I270" s="48">
        <f>IF(O280=0,INDEX('R280'!F255:F363,(ROUNDDOWN(((I269-70)/(20/72)+1),0)),1),INDEX('R280'!F255:F363,(ROUNDUP(((I269-70)/(20/72))+1,0)),1))</f>
        <v>234.33333333333465</v>
      </c>
      <c r="J270" s="43"/>
      <c r="K270" s="61" t="s">
        <v>18</v>
      </c>
      <c r="L270" s="62">
        <f>L268/L278</f>
        <v>2.1041780818440641</v>
      </c>
      <c r="M270" s="43"/>
      <c r="N270" s="48" t="s">
        <v>19</v>
      </c>
      <c r="O270" s="48">
        <f>IF((O273&gt;0),((100+(L271/-H274))/100))</f>
        <v>0.97631243902855913</v>
      </c>
      <c r="P270" s="42"/>
      <c r="Q270" s="48">
        <v>20</v>
      </c>
      <c r="R270" s="55">
        <f>R269+0.01</f>
        <v>0.65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29</v>
      </c>
      <c r="I271" s="48">
        <f>O281</f>
        <v>30</v>
      </c>
      <c r="J271" s="43"/>
      <c r="K271" s="63" t="s">
        <v>21</v>
      </c>
      <c r="L271" s="64">
        <f>IF(Index!$C$4&gt;0,Index!$C$4*O268,Index!$C$4*O269)</f>
        <v>5.8210635556810191</v>
      </c>
      <c r="M271" s="43"/>
      <c r="N271" s="48" t="s">
        <v>22</v>
      </c>
      <c r="O271" s="48">
        <f>IF((O273&gt;0),((100+(L271/-I274))/100))</f>
        <v>0.97631243902855913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0.61777944862155387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4.2194172006078317</v>
      </c>
      <c r="I272" s="48">
        <f>I267/4</f>
        <v>4.3022541891324044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32" t="s">
        <v>121</v>
      </c>
      <c r="C273" s="632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'280'!$J$14</f>
        <v>235.09625</v>
      </c>
      <c r="P273" s="42"/>
      <c r="Q273" s="48">
        <v>-1</v>
      </c>
      <c r="R273" s="55">
        <v>0.57999999999999996</v>
      </c>
      <c r="S273" s="56">
        <v>1.2699999999999999E-2</v>
      </c>
    </row>
    <row r="274" spans="2:19" ht="20.100000000000001" customHeight="1">
      <c r="B274" s="60">
        <f>H269/100*(O266*0.2165)*Link!$C$7*1.02</f>
        <v>1.6002012061399138</v>
      </c>
      <c r="C274" s="48">
        <f>I269/100*(O266*0.2165)*Link!$C$7*1.02</f>
        <v>1.621574045944598</v>
      </c>
      <c r="D274" s="43"/>
      <c r="E274" s="43"/>
      <c r="F274" s="43"/>
      <c r="G274" s="54" t="s">
        <v>24</v>
      </c>
      <c r="H274" s="48">
        <f>'inf 280'!K31</f>
        <v>2.4574347534975169</v>
      </c>
      <c r="I274" s="48">
        <f>'inf 280'!L31</f>
        <v>2.4574347534975169</v>
      </c>
      <c r="J274" s="43"/>
      <c r="K274" s="57" t="s">
        <v>28</v>
      </c>
      <c r="L274" s="58">
        <f>O267*Index!$D$4*$O$2</f>
        <v>1.7850329866461774</v>
      </c>
      <c r="M274" s="43"/>
      <c r="N274" s="43"/>
      <c r="O274" s="42"/>
      <c r="P274" s="42"/>
      <c r="Q274" s="48">
        <v>-10</v>
      </c>
      <c r="R274" s="55">
        <f t="shared" ref="R274:R279" si="16">R273-0.01</f>
        <v>0.56999999999999995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1.0105810534134454</v>
      </c>
      <c r="I275" s="48">
        <f>(1+(I277*S280))</f>
        <v>1.0113518671429518</v>
      </c>
      <c r="J275" s="43"/>
      <c r="K275" s="61" t="s">
        <v>30</v>
      </c>
      <c r="L275" s="62">
        <f>$O$5*Index!$D$4*O267*1*(1-(L271*0.016))</f>
        <v>1.618780339218105</v>
      </c>
      <c r="M275" s="42"/>
      <c r="N275" s="54" t="s">
        <v>31</v>
      </c>
      <c r="O275" s="48">
        <f>O273+L271</f>
        <v>240.91731355568101</v>
      </c>
      <c r="P275" s="42"/>
      <c r="Q275" s="48">
        <v>-20</v>
      </c>
      <c r="R275" s="55">
        <f t="shared" si="16"/>
        <v>0.55999999999999994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0.61777944862155387</v>
      </c>
      <c r="I276" s="48">
        <f>R280</f>
        <v>0.58710697527886591</v>
      </c>
      <c r="J276" s="43"/>
      <c r="K276" s="61" t="s">
        <v>32</v>
      </c>
      <c r="L276" s="62">
        <f>$O$5*Index!$D$4*O267*1.25*(1-(L271*0.016))</f>
        <v>2.0234754240226311</v>
      </c>
      <c r="M276" s="42"/>
      <c r="N276" s="43"/>
      <c r="O276" s="43"/>
      <c r="P276" s="53"/>
      <c r="Q276" s="48">
        <v>-30</v>
      </c>
      <c r="R276" s="55">
        <f t="shared" si="16"/>
        <v>0.54999999999999993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0.81191959821973714</v>
      </c>
      <c r="I277" s="54">
        <f>1*(O273-C269)*(O273-C270)/((C268-C269)*(C268-C270))+0.903*(O273-C268)*(O273-C270)/((C269-C268)*(C269-C270))+0.76*(O273-C268)*(O273-C269)/((C270-C268)*(C270-C269))</f>
        <v>0.70655964050291564</v>
      </c>
      <c r="J277" s="43"/>
      <c r="K277" s="61" t="s">
        <v>33</v>
      </c>
      <c r="L277" s="62">
        <f>(100+(L275*2.75/-4))/100</f>
        <v>0.98887088516787558</v>
      </c>
      <c r="M277" s="42"/>
      <c r="N277" s="57" t="s">
        <v>43</v>
      </c>
      <c r="O277" s="58"/>
      <c r="P277" s="53"/>
      <c r="Q277" s="48">
        <v>-40</v>
      </c>
      <c r="R277" s="55">
        <f t="shared" si="16"/>
        <v>0.53999999999999992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0.9870497572862551</v>
      </c>
      <c r="M278" s="42"/>
      <c r="N278" s="61">
        <f>MOD(H269,20/72)</f>
        <v>8.1559979247570413E-2</v>
      </c>
      <c r="O278" s="62">
        <f>MOD(I269,20/72)</f>
        <v>1.4075161328635288E-2</v>
      </c>
      <c r="P278" s="53"/>
      <c r="Q278" s="48">
        <v>-50</v>
      </c>
      <c r="R278" s="55">
        <f t="shared" si="16"/>
        <v>0.52999999999999992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239.29853321646291</v>
      </c>
      <c r="M279" s="42"/>
      <c r="N279" s="61">
        <f>N278/(20/72)</f>
        <v>0.29361592529125347</v>
      </c>
      <c r="O279" s="62">
        <f>O278/(20/72)</f>
        <v>5.0670580783087033E-2</v>
      </c>
      <c r="P279" s="53"/>
      <c r="Q279" s="48">
        <v>-60</v>
      </c>
      <c r="R279" s="55">
        <f t="shared" si="16"/>
        <v>0.51999999999999991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242.94078897970363</v>
      </c>
      <c r="M280" s="43"/>
      <c r="N280" s="61">
        <f>IF(N279&lt;0.288,ROUNDDOWN(N279,0),ROUNDUP(N279,0))</f>
        <v>1</v>
      </c>
      <c r="O280" s="62">
        <f>IF(O279&lt;0.288,ROUNDDOWN(O279,0),ROUNDUP(O279,0))</f>
        <v>0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0.58710697527886591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29</v>
      </c>
      <c r="O281" s="62">
        <f>IF(O278&lt;0.08,30,O282)</f>
        <v>30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29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26" t="s">
        <v>72</v>
      </c>
      <c r="C286" s="628"/>
      <c r="D286" s="628"/>
      <c r="E286" s="627"/>
      <c r="F286" s="43"/>
      <c r="G286" s="629" t="s">
        <v>72</v>
      </c>
      <c r="H286" s="630"/>
      <c r="I286" s="631"/>
      <c r="J286" s="43"/>
      <c r="K286" s="48" t="s">
        <v>7</v>
      </c>
      <c r="L286" s="53"/>
      <c r="M286" s="43"/>
      <c r="N286" s="48" t="s">
        <v>8</v>
      </c>
      <c r="O286" s="54">
        <f>O287/0.2165</f>
        <v>2.4615331200795709</v>
      </c>
      <c r="P286" s="43"/>
      <c r="Q286" s="48">
        <v>1</v>
      </c>
      <c r="R286" s="55">
        <v>0.6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16.003623176204012</v>
      </c>
      <c r="I287" s="48">
        <f>I288/0.2165</f>
        <v>16.307035643208302</v>
      </c>
      <c r="J287" s="43"/>
      <c r="K287" s="57" t="s">
        <v>11</v>
      </c>
      <c r="L287" s="58">
        <f>O287*$O$3*Index!$D$4</f>
        <v>2.0412093790659731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0.53292192049722709</v>
      </c>
      <c r="P287" s="43"/>
      <c r="Q287" s="48">
        <v>5</v>
      </c>
      <c r="R287" s="55">
        <f>R286+0.01</f>
        <v>0.61</v>
      </c>
      <c r="S287" s="56">
        <v>1.3100000000000001E-2</v>
      </c>
    </row>
    <row r="288" spans="2:19" ht="20.100000000000001" customHeight="1">
      <c r="B288" s="59">
        <v>100</v>
      </c>
      <c r="C288" s="71">
        <v>323.5</v>
      </c>
      <c r="D288" s="60">
        <v>269</v>
      </c>
      <c r="E288" s="54">
        <f>D288/45*0.2165</f>
        <v>1.2941888888888888</v>
      </c>
      <c r="F288" s="43"/>
      <c r="G288" s="48" t="s">
        <v>7</v>
      </c>
      <c r="H288" s="48">
        <f>L289+O292+B294</f>
        <v>3.4647844176481688</v>
      </c>
      <c r="I288" s="48">
        <f>L290+O292+C294</f>
        <v>3.5304732167545971</v>
      </c>
      <c r="J288" s="43"/>
      <c r="K288" s="61" t="s">
        <v>13</v>
      </c>
      <c r="L288" s="62">
        <f>IF(L291&gt;0,L287*O290,L287*O291)</f>
        <v>1.9893087475895681</v>
      </c>
      <c r="M288" s="43"/>
      <c r="N288" s="48" t="s">
        <v>14</v>
      </c>
      <c r="O288" s="48">
        <f>H296*POWER(H295,(C288-O293))</f>
        <v>1.5233534472313739</v>
      </c>
      <c r="P288" s="42"/>
      <c r="Q288" s="48">
        <v>10</v>
      </c>
      <c r="R288" s="55">
        <f>R287+0.01</f>
        <v>0.62</v>
      </c>
      <c r="S288" s="56">
        <v>1.3299999999999999E-2</v>
      </c>
    </row>
    <row r="289" spans="2:19" ht="20.100000000000001" customHeight="1">
      <c r="B289" s="59">
        <v>90</v>
      </c>
      <c r="C289" s="71">
        <v>287.8</v>
      </c>
      <c r="D289" s="60">
        <v>186</v>
      </c>
      <c r="E289" s="54">
        <f>D289/45*0.2165</f>
        <v>0.8948666666666667</v>
      </c>
      <c r="F289" s="43"/>
      <c r="G289" s="48" t="s">
        <v>5</v>
      </c>
      <c r="H289" s="48">
        <f>IF(L299&lt;=C289,80+(L299-C290)/((C289-C290)/10),90+(L299-C289)/((C288-C289)/10))</f>
        <v>76.16203229791283</v>
      </c>
      <c r="I289" s="48">
        <f>IF(L300&lt;=C289,80+(L300-C290)/((C289-C290)/10),90+(L300-C289)/((C288-C289)/10))</f>
        <v>77.161466387690083</v>
      </c>
      <c r="J289" s="43"/>
      <c r="K289" s="61" t="s">
        <v>15</v>
      </c>
      <c r="L289" s="62">
        <f>L288*L297</f>
        <v>1.968167735262863</v>
      </c>
      <c r="M289" s="43"/>
      <c r="N289" s="48" t="s">
        <v>16</v>
      </c>
      <c r="O289" s="48">
        <f>I296*POWER(I295,(C288-O293))</f>
        <v>1.9496973672945614</v>
      </c>
      <c r="P289" s="42"/>
      <c r="Q289" s="48">
        <v>15</v>
      </c>
      <c r="R289" s="55">
        <f>R288+0.01</f>
        <v>0.63</v>
      </c>
      <c r="S289" s="56">
        <v>1.35E-2</v>
      </c>
    </row>
    <row r="290" spans="2:19" ht="20.100000000000001" customHeight="1">
      <c r="B290" s="59">
        <v>80</v>
      </c>
      <c r="C290" s="71">
        <v>253</v>
      </c>
      <c r="D290" s="60">
        <v>130</v>
      </c>
      <c r="E290" s="54">
        <f>D290/45*0.2165</f>
        <v>0.62544444444444447</v>
      </c>
      <c r="F290" s="43"/>
      <c r="G290" s="48" t="s">
        <v>17</v>
      </c>
      <c r="H290" s="48">
        <f>IF(N300=0,INDEX('R280'!G255:G363,(ROUNDDOWN(((H289-70)/(20/72)+1),0)),1),INDEX('R280'!G255:G363,(ROUNDUP(((H289-70)/(20/72))+1,0)),1))</f>
        <v>232.89999999999884</v>
      </c>
      <c r="I290" s="48">
        <f>IF(O300=0,INDEX('R280'!G255:G363,(ROUNDDOWN(((I289-70)/(20/72)+1),0)),1),INDEX('R280'!G255:G363,(ROUNDUP(((I289-70)/(20/72))+1,0)),1))</f>
        <v>236.29999999999882</v>
      </c>
      <c r="J290" s="43"/>
      <c r="K290" s="61" t="s">
        <v>18</v>
      </c>
      <c r="L290" s="62">
        <f>L288/L298</f>
        <v>2.0142172247740007</v>
      </c>
      <c r="M290" s="43"/>
      <c r="N290" s="48" t="s">
        <v>19</v>
      </c>
      <c r="O290" s="48">
        <f>IF((O293&gt;0),((100+(L291/-H294))/100))</f>
        <v>0.9745735875953333</v>
      </c>
      <c r="P290" s="42"/>
      <c r="Q290" s="48">
        <v>20</v>
      </c>
      <c r="R290" s="55">
        <f>R289+0.01</f>
        <v>0.64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30</v>
      </c>
      <c r="I291" s="48">
        <f>O301</f>
        <v>30</v>
      </c>
      <c r="J291" s="43"/>
      <c r="K291" s="63" t="s">
        <v>21</v>
      </c>
      <c r="L291" s="64">
        <f>IF(Index!$C$4&gt;0,Index!$C$4*O288,Index!$C$4*O289)</f>
        <v>6.0934137889254956</v>
      </c>
      <c r="M291" s="43"/>
      <c r="N291" s="48" t="s">
        <v>22</v>
      </c>
      <c r="O291" s="48">
        <f>IF((O293&gt;0),((100+(L291/-I294))/100))</f>
        <v>0.9745735875953333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0.60777944862155375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4.0009057940510031</v>
      </c>
      <c r="I292" s="48">
        <f>I287/4</f>
        <v>4.0767589108020754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32" t="s">
        <v>121</v>
      </c>
      <c r="C293" s="632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'280'!$J$14</f>
        <v>235.09625</v>
      </c>
      <c r="P293" s="42"/>
      <c r="Q293" s="48">
        <v>-1</v>
      </c>
      <c r="R293" s="55">
        <v>0.56999999999999995</v>
      </c>
      <c r="S293" s="56">
        <v>1.2699999999999999E-2</v>
      </c>
    </row>
    <row r="294" spans="2:19" ht="20.100000000000001" customHeight="1">
      <c r="B294" s="60">
        <f>H289/100*(O286*0.2165)*Link!$C$7*1.02</f>
        <v>1.4966166823853058</v>
      </c>
      <c r="C294" s="48">
        <f>I289/100*(O286*0.2165)*Link!$C$7*1.02</f>
        <v>1.5162559919805962</v>
      </c>
      <c r="D294" s="43"/>
      <c r="E294" s="43"/>
      <c r="F294" s="43"/>
      <c r="G294" s="54" t="s">
        <v>24</v>
      </c>
      <c r="H294" s="48">
        <f>'inf 280'!K37</f>
        <v>2.3964897964948988</v>
      </c>
      <c r="I294" s="48">
        <f>'inf 280'!L37</f>
        <v>2.3964897964948988</v>
      </c>
      <c r="J294" s="43"/>
      <c r="K294" s="57" t="s">
        <v>28</v>
      </c>
      <c r="L294" s="58">
        <f>O287*Index!$D$4*$O$2</f>
        <v>1.7127780371298627</v>
      </c>
      <c r="M294" s="43"/>
      <c r="N294" s="43"/>
      <c r="O294" s="42"/>
      <c r="P294" s="42"/>
      <c r="Q294" s="48">
        <v>-10</v>
      </c>
      <c r="R294" s="55">
        <f>R293-0.01</f>
        <v>0.55999999999999994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1.0104480767211674</v>
      </c>
      <c r="I295" s="48">
        <f>(1+(I297*S300))</f>
        <v>1.0107291002350212</v>
      </c>
      <c r="J295" s="43"/>
      <c r="K295" s="61" t="s">
        <v>30</v>
      </c>
      <c r="L295" s="62">
        <f>$O$5*Index!$D$4*O287*1*(1-(L291*0.016))</f>
        <v>1.5457913921888093</v>
      </c>
      <c r="M295" s="42"/>
      <c r="N295" s="54" t="s">
        <v>31</v>
      </c>
      <c r="O295" s="48">
        <f>O293+L291</f>
        <v>241.18966378892549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0.60777944862155375</v>
      </c>
      <c r="I296" s="48">
        <f>R300</f>
        <v>0.75899021133556144</v>
      </c>
      <c r="J296" s="43"/>
      <c r="K296" s="61" t="s">
        <v>32</v>
      </c>
      <c r="L296" s="62">
        <f>$O$5*Index!$D$4*O287*1.25*(1-(L291*0.016))</f>
        <v>1.9322392402360113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0.80171585211354335</v>
      </c>
      <c r="I297" s="54">
        <f>1*(O293-C289)*(O293-C290)/((C288-C289)*(C288-C290))+0.903*(O293-C288)*(O293-C290)/((C289-C288)*(C289-C290))+0.76*(O293-C288)*(O293-C289)/((C290-C288)*(C290-C289))</f>
        <v>0.6677975622435981</v>
      </c>
      <c r="J297" s="43"/>
      <c r="K297" s="61" t="s">
        <v>33</v>
      </c>
      <c r="L297" s="62">
        <f>(100+(L295*2.75/-4))/100</f>
        <v>0.98937268417870206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0.98763366886248949</v>
      </c>
      <c r="M298" s="42"/>
      <c r="N298" s="61">
        <f>MOD(H289,20/72)</f>
        <v>5.0921186801715868E-2</v>
      </c>
      <c r="O298" s="62">
        <f>MOD(I289,20/72)</f>
        <v>0.21702194324563562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239.64387239673667</v>
      </c>
      <c r="M299" s="42"/>
      <c r="N299" s="61">
        <f>N298/(20/72)</f>
        <v>0.18331627248617713</v>
      </c>
      <c r="O299" s="62">
        <f>O298/(20/72)</f>
        <v>0.78127899568428816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243.1219030291615</v>
      </c>
      <c r="M300" s="43"/>
      <c r="N300" s="61">
        <f>IF(N299&lt;0.288,ROUNDDOWN(N299,0),ROUNDUP(N299,0))</f>
        <v>0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0.75899021133556144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30</v>
      </c>
      <c r="O301" s="62">
        <f>IF(O298&lt;0.08,30,O302)</f>
        <v>30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30</v>
      </c>
      <c r="P302" s="43"/>
      <c r="Q302" s="43"/>
      <c r="R302" s="43"/>
      <c r="S302" s="43"/>
    </row>
    <row r="306" spans="2:19" ht="20.100000000000001" customHeight="1">
      <c r="B306" s="626" t="s">
        <v>74</v>
      </c>
      <c r="C306" s="628"/>
      <c r="D306" s="628"/>
      <c r="E306" s="627"/>
      <c r="F306" s="43"/>
      <c r="G306" s="629" t="s">
        <v>74</v>
      </c>
      <c r="H306" s="630"/>
      <c r="I306" s="631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IF(N320=0,INDEX('R280'!E255:E363,(ROUNDDOWN(((H309-70)/(20/72)+1),0)),1),INDEX('R280'!E255:E363,(ROUNDUP(((H309-70)/(20/72))+1,0)),1))</f>
        <v>#DIV/0!</v>
      </c>
      <c r="I310" s="48" t="e">
        <f>IF(O320=0,INDEX('R280'!E255:E363,(ROUNDDOWN(((I309-70)/(20/72)+1),0)),1),INDEX('R280'!E255:E363,(ROUNDUP(((I309-70)/(20/72))+1,0)),1))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O307/4.05*Link!$L$11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'280'!$J$14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280'!O27</f>
        <v>#DIV/0!</v>
      </c>
      <c r="I314" s="48" t="e">
        <f>'inf 280'!P27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26" t="s">
        <v>73</v>
      </c>
      <c r="C326" s="628"/>
      <c r="D326" s="628"/>
      <c r="E326" s="627"/>
      <c r="F326" s="43"/>
      <c r="G326" s="629" t="s">
        <v>73</v>
      </c>
      <c r="H326" s="630"/>
      <c r="I326" s="631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IF(N340=0,INDEX('R280'!F255:F363,(ROUNDDOWN(((H329-70)/(20/72)+1),0)),1),INDEX('R280'!F255:F363,(ROUNDUP(((H329-70)/(20/72))+1,0)),1))</f>
        <v>#DIV/0!</v>
      </c>
      <c r="I330" s="48" t="e">
        <f>IF(O340=0,INDEX('R280'!F255:F363,(ROUNDDOWN(((I329-70)/(20/72)+1),0)),1),INDEX('R280'!F255:F363,(ROUNDUP(((I329-70)/(20/72))+1,0)),1))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O327/4.05*Link!$L$11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'280'!$J$14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280'!O15</f>
        <v>#DIV/0!</v>
      </c>
      <c r="I334" s="48" t="e">
        <f>'inf 280'!P15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26" t="s">
        <v>75</v>
      </c>
      <c r="C346" s="628"/>
      <c r="D346" s="628"/>
      <c r="E346" s="627"/>
      <c r="F346" s="43"/>
      <c r="G346" s="629" t="s">
        <v>75</v>
      </c>
      <c r="H346" s="630"/>
      <c r="I346" s="631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IF(N360=0,INDEX('R280'!G255:G363,(ROUNDDOWN(((H349-70)/(20/72)+1),0)),1),INDEX('R280'!G255:G363,(ROUNDUP(((H349-70)/(20/72))+1,0)),1))</f>
        <v>#DIV/0!</v>
      </c>
      <c r="I350" s="48" t="e">
        <f>IF(O360=0,INDEX('R280'!G255:G363,(ROUNDDOWN(((I349-70)/(20/72)+1),0)),1),INDEX('R280'!G255:G363,(ROUNDUP(((I349-70)/(20/72))+1,0)),1))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O347/4.05*Link!$L$11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'280'!$J$14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280'!O21</f>
        <v>#DIV/0!</v>
      </c>
      <c r="I354" s="48" t="e">
        <f>'inf 280'!P21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</sheetData>
  <sheetProtection sheet="1" objects="1" scenarios="1" selectLockedCells="1" selectUnlockedCells="1"/>
  <mergeCells count="51">
    <mergeCell ref="B233:C233"/>
    <mergeCell ref="B253:C253"/>
    <mergeCell ref="B273:C273"/>
    <mergeCell ref="B293:C293"/>
    <mergeCell ref="N157:O157"/>
    <mergeCell ref="B178:C178"/>
    <mergeCell ref="B193:C193"/>
    <mergeCell ref="B213:C213"/>
    <mergeCell ref="B186:E186"/>
    <mergeCell ref="G186:I186"/>
    <mergeCell ref="B206:E206"/>
    <mergeCell ref="G206:I206"/>
    <mergeCell ref="B226:E226"/>
    <mergeCell ref="G226:I226"/>
    <mergeCell ref="B246:E246"/>
    <mergeCell ref="G246:I246"/>
    <mergeCell ref="N29:O29"/>
    <mergeCell ref="B54:C54"/>
    <mergeCell ref="N72:O72"/>
    <mergeCell ref="N90:O90"/>
    <mergeCell ref="B115:C115"/>
    <mergeCell ref="B36:E36"/>
    <mergeCell ref="G36:I36"/>
    <mergeCell ref="B61:E61"/>
    <mergeCell ref="G61:I61"/>
    <mergeCell ref="B79:E79"/>
    <mergeCell ref="G79:I79"/>
    <mergeCell ref="B97:E97"/>
    <mergeCell ref="G97:I97"/>
    <mergeCell ref="G2:H2"/>
    <mergeCell ref="I2:J2"/>
    <mergeCell ref="K2:L2"/>
    <mergeCell ref="B18:E18"/>
    <mergeCell ref="G18:I18"/>
    <mergeCell ref="B122:E122"/>
    <mergeCell ref="G122:I122"/>
    <mergeCell ref="B147:E147"/>
    <mergeCell ref="G147:I147"/>
    <mergeCell ref="B165:E165"/>
    <mergeCell ref="G165:I165"/>
    <mergeCell ref="B140:C140"/>
    <mergeCell ref="B326:E326"/>
    <mergeCell ref="G326:I326"/>
    <mergeCell ref="B346:E346"/>
    <mergeCell ref="G346:I346"/>
    <mergeCell ref="B266:E266"/>
    <mergeCell ref="G266:I266"/>
    <mergeCell ref="B286:E286"/>
    <mergeCell ref="G286:I286"/>
    <mergeCell ref="B306:E306"/>
    <mergeCell ref="G306:I30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BP311"/>
  <sheetViews>
    <sheetView showGridLines="0" showRowColHeaders="0" topLeftCell="A4" zoomScaleNormal="100" workbookViewId="0"/>
  </sheetViews>
  <sheetFormatPr defaultColWidth="10.5703125" defaultRowHeight="20.100000000000001" customHeight="1"/>
  <cols>
    <col min="1" max="16384" width="10.5703125" style="31"/>
  </cols>
  <sheetData>
    <row r="1" spans="1:68" ht="20.100000000000001" customHeight="1"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</row>
    <row r="2" spans="1:68" ht="20.100000000000001" customHeight="1">
      <c r="B2" s="33" t="s">
        <v>38</v>
      </c>
      <c r="C2" s="34"/>
      <c r="D2" s="34"/>
      <c r="F2" s="33" t="s">
        <v>66</v>
      </c>
      <c r="G2" s="34"/>
      <c r="H2" s="34"/>
      <c r="J2" s="33" t="s">
        <v>67</v>
      </c>
      <c r="K2" s="34"/>
      <c r="L2" s="34"/>
      <c r="N2" s="34" t="s">
        <v>47</v>
      </c>
      <c r="O2" s="34"/>
      <c r="P2" s="34"/>
      <c r="R2" s="32"/>
      <c r="S2" s="32"/>
      <c r="T2" s="32"/>
      <c r="U2" s="32"/>
      <c r="V2" s="32"/>
      <c r="W2" s="35"/>
      <c r="X2" s="35"/>
      <c r="Y2" s="35"/>
      <c r="Z2" s="35"/>
      <c r="AA2" s="32"/>
      <c r="AB2" s="32"/>
      <c r="AC2" s="32"/>
      <c r="AD2" s="35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</row>
    <row r="3" spans="1:68" ht="20.100000000000001" customHeight="1">
      <c r="B3" s="33">
        <f>'280'!C38</f>
        <v>250.5</v>
      </c>
      <c r="C3" s="33">
        <v>3.8</v>
      </c>
      <c r="D3" s="33">
        <v>3.8</v>
      </c>
      <c r="F3" s="33">
        <f>'280'!C99</f>
        <v>233.8</v>
      </c>
      <c r="G3" s="33">
        <v>3.8</v>
      </c>
      <c r="H3" s="33">
        <v>3.8</v>
      </c>
      <c r="J3" s="33">
        <f>'280'!C124</f>
        <v>216.5</v>
      </c>
      <c r="K3" s="33">
        <v>3.8</v>
      </c>
      <c r="L3" s="33">
        <v>3.8</v>
      </c>
      <c r="N3" s="33">
        <f>'280'!C167</f>
        <v>263.5</v>
      </c>
      <c r="O3" s="36">
        <v>4</v>
      </c>
      <c r="P3" s="36">
        <v>4</v>
      </c>
      <c r="R3" s="32"/>
      <c r="S3" s="32"/>
      <c r="T3" s="32"/>
      <c r="U3" s="32"/>
      <c r="V3" s="32"/>
      <c r="W3" s="37"/>
      <c r="X3" s="35"/>
      <c r="Y3" s="35"/>
      <c r="Z3" s="35"/>
      <c r="AA3" s="32"/>
      <c r="AB3" s="32"/>
      <c r="AC3" s="32"/>
      <c r="AD3" s="3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ht="20.100000000000001" customHeight="1">
      <c r="B4" s="33">
        <f>'280'!C39</f>
        <v>216.6</v>
      </c>
      <c r="C4" s="33">
        <v>3.3</v>
      </c>
      <c r="D4" s="33">
        <v>3.3</v>
      </c>
      <c r="F4" s="33">
        <f>'280'!C100</f>
        <v>203.2</v>
      </c>
      <c r="G4" s="33">
        <v>3.3</v>
      </c>
      <c r="H4" s="33">
        <v>3.3</v>
      </c>
      <c r="J4" s="33">
        <f>'280'!C125</f>
        <v>188.5</v>
      </c>
      <c r="K4" s="33">
        <v>3.3</v>
      </c>
      <c r="L4" s="33">
        <v>3.3</v>
      </c>
      <c r="N4" s="33">
        <f>'280'!C168</f>
        <v>227.3</v>
      </c>
      <c r="O4" s="36">
        <v>3.5</v>
      </c>
      <c r="P4" s="36">
        <v>3.5</v>
      </c>
      <c r="R4" s="32"/>
      <c r="S4" s="32"/>
      <c r="T4" s="32"/>
      <c r="U4" s="32"/>
      <c r="V4" s="32"/>
      <c r="W4" s="37"/>
      <c r="X4" s="35"/>
      <c r="Y4" s="35"/>
      <c r="Z4" s="35"/>
      <c r="AA4" s="32"/>
      <c r="AB4" s="32"/>
      <c r="AC4" s="32"/>
      <c r="AD4" s="3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</row>
    <row r="5" spans="1:68" ht="20.100000000000001" customHeight="1">
      <c r="B5" s="33">
        <f>'280'!C40</f>
        <v>184.1</v>
      </c>
      <c r="C5" s="33">
        <v>2.9</v>
      </c>
      <c r="D5" s="33">
        <v>2.8</v>
      </c>
      <c r="F5" s="33">
        <f>'280'!C101</f>
        <v>174</v>
      </c>
      <c r="G5" s="33">
        <v>2.9</v>
      </c>
      <c r="H5" s="33">
        <v>2.8</v>
      </c>
      <c r="J5" s="33">
        <f>'280'!C126</f>
        <v>162.19999999999999</v>
      </c>
      <c r="K5" s="33">
        <v>2.9</v>
      </c>
      <c r="L5" s="33">
        <v>2.8</v>
      </c>
      <c r="N5" s="33">
        <f>'280'!C169</f>
        <v>192.3</v>
      </c>
      <c r="O5" s="36">
        <v>3.1</v>
      </c>
      <c r="P5" s="36">
        <v>3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</row>
    <row r="6" spans="1:68" ht="20.100000000000001" customHeight="1">
      <c r="B6" s="33">
        <f>'280'!C41</f>
        <v>154.5</v>
      </c>
      <c r="C6" s="34">
        <v>2.4</v>
      </c>
      <c r="D6" s="34">
        <v>2.2999999999999998</v>
      </c>
      <c r="F6" s="33">
        <f>'280'!C102</f>
        <v>147.4</v>
      </c>
      <c r="G6" s="34">
        <v>2.4</v>
      </c>
      <c r="H6" s="34">
        <v>2.2999999999999998</v>
      </c>
      <c r="J6" s="33">
        <f>'280'!C127</f>
        <v>138.19999999999999</v>
      </c>
      <c r="K6" s="34">
        <v>2.4</v>
      </c>
      <c r="L6" s="34">
        <v>2.2999999999999998</v>
      </c>
      <c r="N6" s="33">
        <f>'280'!C170</f>
        <v>160.4</v>
      </c>
      <c r="O6" s="36">
        <v>2.6</v>
      </c>
      <c r="P6" s="36">
        <v>2.5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</row>
    <row r="7" spans="1:68" ht="20.100000000000001" customHeight="1">
      <c r="B7" s="33">
        <f>'280'!C42</f>
        <v>128.1</v>
      </c>
      <c r="C7" s="34">
        <v>2</v>
      </c>
      <c r="D7" s="34">
        <v>1.8</v>
      </c>
      <c r="F7" s="33">
        <f>'280'!C103</f>
        <v>123.5</v>
      </c>
      <c r="G7" s="34">
        <v>2</v>
      </c>
      <c r="H7" s="34">
        <v>1.8</v>
      </c>
      <c r="J7" s="33">
        <f>'280'!C128</f>
        <v>116.5</v>
      </c>
      <c r="K7" s="34">
        <v>2</v>
      </c>
      <c r="L7" s="34">
        <v>1.8</v>
      </c>
      <c r="N7" s="33">
        <f>'280'!C171</f>
        <v>132.30000000000001</v>
      </c>
      <c r="O7" s="36">
        <v>2.2000000000000002</v>
      </c>
      <c r="P7" s="36">
        <v>2</v>
      </c>
      <c r="R7" s="32"/>
      <c r="S7" s="32"/>
      <c r="T7" s="32"/>
      <c r="U7" s="32"/>
      <c r="V7" s="32"/>
      <c r="W7" s="35"/>
      <c r="X7" s="35"/>
      <c r="Y7" s="35"/>
      <c r="Z7" s="35"/>
      <c r="AA7" s="32"/>
      <c r="AB7" s="32"/>
      <c r="AC7" s="32"/>
      <c r="AD7" s="32"/>
      <c r="AE7" s="32"/>
      <c r="AF7" s="35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</row>
    <row r="8" spans="1:68" ht="20.100000000000001" customHeight="1">
      <c r="B8" s="33">
        <f>'280'!C43</f>
        <v>104.7</v>
      </c>
      <c r="C8" s="34">
        <v>1.5</v>
      </c>
      <c r="D8" s="34">
        <v>1.3</v>
      </c>
      <c r="F8" s="33">
        <f>'280'!C104</f>
        <v>101.9</v>
      </c>
      <c r="G8" s="34">
        <v>1.5</v>
      </c>
      <c r="H8" s="34">
        <v>1.3</v>
      </c>
      <c r="J8" s="33">
        <f>'280'!C129</f>
        <v>96.6</v>
      </c>
      <c r="K8" s="34">
        <v>1.5</v>
      </c>
      <c r="L8" s="34">
        <v>1.3</v>
      </c>
      <c r="N8" s="33">
        <f>'280'!C172</f>
        <v>107.6</v>
      </c>
      <c r="O8" s="36">
        <v>1.7</v>
      </c>
      <c r="P8" s="36">
        <v>1.5</v>
      </c>
      <c r="R8" s="32"/>
      <c r="S8" s="32"/>
      <c r="T8" s="32"/>
      <c r="U8" s="32"/>
      <c r="V8" s="32"/>
      <c r="W8" s="37"/>
      <c r="X8" s="35"/>
      <c r="Y8" s="35"/>
      <c r="Z8" s="35"/>
      <c r="AA8" s="32"/>
      <c r="AB8" s="32"/>
      <c r="AC8" s="32"/>
      <c r="AD8" s="32"/>
      <c r="AE8" s="32"/>
      <c r="AF8" s="35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</row>
    <row r="9" spans="1:68" ht="20.100000000000001" customHeight="1">
      <c r="B9" s="33">
        <f>'280'!C44</f>
        <v>83.6</v>
      </c>
      <c r="C9" s="34">
        <v>1.1000000000000001</v>
      </c>
      <c r="D9" s="34">
        <v>0.8</v>
      </c>
      <c r="F9" s="33">
        <f>'280'!C105</f>
        <v>82.1</v>
      </c>
      <c r="G9" s="34">
        <v>1.1000000000000001</v>
      </c>
      <c r="H9" s="34">
        <v>0.8</v>
      </c>
      <c r="J9" s="33">
        <f>'280'!C130</f>
        <v>78.2</v>
      </c>
      <c r="K9" s="34">
        <v>1.1000000000000001</v>
      </c>
      <c r="L9" s="34">
        <v>0.8</v>
      </c>
      <c r="N9" s="33">
        <f>'280'!L181</f>
        <v>238.93545298949067</v>
      </c>
      <c r="O9" s="33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3.5059361086761474</v>
      </c>
      <c r="P9" s="33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3.5795874454926078</v>
      </c>
      <c r="R9" s="32"/>
      <c r="S9" s="32"/>
      <c r="T9" s="32"/>
      <c r="U9" s="32"/>
      <c r="V9" s="32"/>
      <c r="W9" s="37"/>
      <c r="X9" s="35"/>
      <c r="Y9" s="35"/>
      <c r="Z9" s="35"/>
      <c r="AA9" s="32"/>
      <c r="AB9" s="32"/>
      <c r="AC9" s="32"/>
      <c r="AD9" s="32"/>
      <c r="AE9" s="32"/>
      <c r="AF9" s="35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</row>
    <row r="10" spans="1:68" ht="20.100000000000001" customHeight="1">
      <c r="B10" s="33">
        <f>'280'!C45</f>
        <v>63.9</v>
      </c>
      <c r="C10" s="34">
        <v>0.6</v>
      </c>
      <c r="D10" s="34">
        <v>0.3</v>
      </c>
      <c r="F10" s="33">
        <f>'280'!C106</f>
        <v>63.2</v>
      </c>
      <c r="G10" s="34">
        <v>0.6</v>
      </c>
      <c r="H10" s="34">
        <v>0.3</v>
      </c>
      <c r="J10" s="33">
        <f>'280'!C131</f>
        <v>60.4</v>
      </c>
      <c r="K10" s="34">
        <v>0.6</v>
      </c>
      <c r="L10" s="34">
        <v>0.3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</row>
    <row r="11" spans="1:68" ht="20.100000000000001" customHeight="1">
      <c r="B11" s="33">
        <f>'280'!L52</f>
        <v>238.59434251655216</v>
      </c>
      <c r="C11" s="33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3.2224523321241967</v>
      </c>
      <c r="D11" s="33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3.6226423569429356</v>
      </c>
      <c r="F11" s="33">
        <f>'280'!L113</f>
        <v>237.679883557636</v>
      </c>
      <c r="G11" s="33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4.3314082410446417</v>
      </c>
      <c r="H11" s="33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3.86124791378244</v>
      </c>
      <c r="J11" s="33">
        <f>'280'!L138</f>
        <v>236.9585174521948</v>
      </c>
      <c r="K11" s="33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12.704240602940295</v>
      </c>
      <c r="L11" s="33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4.0107848146796972</v>
      </c>
      <c r="N11" s="34" t="s">
        <v>73</v>
      </c>
      <c r="O11" s="34"/>
      <c r="P11" s="34"/>
      <c r="R11" s="32"/>
      <c r="S11" s="32"/>
      <c r="T11" s="32"/>
      <c r="U11" s="32"/>
      <c r="V11" s="32"/>
      <c r="W11" s="32"/>
      <c r="X11" s="32"/>
      <c r="Y11" s="32"/>
      <c r="Z11" s="35"/>
      <c r="AA11" s="35"/>
      <c r="AB11" s="35"/>
      <c r="AC11" s="35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</row>
    <row r="12" spans="1:68" ht="20.100000000000001" customHeight="1">
      <c r="A12" s="38"/>
      <c r="N12" s="33">
        <f>'280'!C328</f>
        <v>0</v>
      </c>
      <c r="O12" s="33"/>
      <c r="P12" s="33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</row>
    <row r="13" spans="1:68" ht="20.100000000000001" customHeight="1">
      <c r="B13" s="34" t="s">
        <v>76</v>
      </c>
      <c r="C13" s="34"/>
      <c r="D13" s="34"/>
      <c r="F13" s="34" t="s">
        <v>77</v>
      </c>
      <c r="G13" s="34"/>
      <c r="H13" s="34"/>
      <c r="J13" s="34" t="s">
        <v>78</v>
      </c>
      <c r="K13" s="34"/>
      <c r="L13" s="34"/>
      <c r="N13" s="33">
        <f>'280'!C329</f>
        <v>0</v>
      </c>
      <c r="O13" s="33"/>
      <c r="P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</row>
    <row r="14" spans="1:68" ht="20.100000000000001" customHeight="1">
      <c r="B14" s="34">
        <f>'280'!C44</f>
        <v>83.6</v>
      </c>
      <c r="C14" s="34">
        <v>1.1000000000000001</v>
      </c>
      <c r="D14" s="34">
        <v>0.8</v>
      </c>
      <c r="F14" s="34">
        <f>'280'!C105</f>
        <v>82.1</v>
      </c>
      <c r="G14" s="34">
        <v>1.1000000000000001</v>
      </c>
      <c r="H14" s="34">
        <v>0.8</v>
      </c>
      <c r="J14" s="34">
        <f>'280'!C130</f>
        <v>78.2</v>
      </c>
      <c r="K14" s="34">
        <v>1.1000000000000001</v>
      </c>
      <c r="L14" s="34">
        <v>0.8</v>
      </c>
      <c r="N14" s="33">
        <f>'280'!C330</f>
        <v>0</v>
      </c>
      <c r="O14" s="33"/>
      <c r="P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</row>
    <row r="15" spans="1:68" ht="20.100000000000001" customHeight="1">
      <c r="B15" s="34">
        <f>'280'!C45</f>
        <v>63.9</v>
      </c>
      <c r="C15" s="34">
        <v>0.9</v>
      </c>
      <c r="D15" s="34">
        <v>0.6</v>
      </c>
      <c r="F15" s="34">
        <f>'280'!C106</f>
        <v>63.2</v>
      </c>
      <c r="G15" s="34">
        <v>0.9</v>
      </c>
      <c r="H15" s="34">
        <v>0.6</v>
      </c>
      <c r="J15" s="34">
        <f>'280'!C131</f>
        <v>60.4</v>
      </c>
      <c r="K15" s="34">
        <v>0.9</v>
      </c>
      <c r="L15" s="34">
        <v>0.6</v>
      </c>
      <c r="N15" s="33" t="e">
        <f>'280'!O335</f>
        <v>#DIV/0!</v>
      </c>
      <c r="O15" s="33" t="e">
        <f>O12*(N15-N13)*(N15-N14)/((N12-N13)*(N12-N14))+O13*(N15-N12)*(N15-N14)/((N13-N12)*(N13-N14))+O14*(N15-N12)*(N15-N13)/((N14-N12)*(N14-N13))</f>
        <v>#DIV/0!</v>
      </c>
      <c r="P15" s="33" t="e">
        <f>P12*(N15-N13)*(N15-N14)/((N12-N13)*(N12-N14))+P13*(N15-N12)*(N15-N14)/((N13-N12)*(N13-N14))+P14*(N15-N12)*(N15-N13)/((N14-N12)*(N14-N13))</f>
        <v>#DIV/0!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</row>
    <row r="16" spans="1:68" ht="20.100000000000001" customHeight="1">
      <c r="B16" s="34">
        <f>'280'!C46</f>
        <v>44.6</v>
      </c>
      <c r="C16" s="34">
        <v>0.7</v>
      </c>
      <c r="D16" s="34">
        <v>0.4</v>
      </c>
      <c r="F16" s="34">
        <f>'280'!C107</f>
        <v>44.4</v>
      </c>
      <c r="G16" s="34">
        <v>0.7</v>
      </c>
      <c r="H16" s="34">
        <v>0.4</v>
      </c>
      <c r="J16" s="34">
        <f>'280'!C132</f>
        <v>42.4</v>
      </c>
      <c r="K16" s="34">
        <v>0.7</v>
      </c>
      <c r="L16" s="34">
        <v>0.4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</row>
    <row r="17" spans="2:68" ht="20.100000000000001" customHeight="1">
      <c r="B17" s="34">
        <f>'280'!C47</f>
        <v>24.2</v>
      </c>
      <c r="C17" s="34">
        <v>0.5</v>
      </c>
      <c r="D17" s="34">
        <v>0.2</v>
      </c>
      <c r="F17" s="34">
        <f>'280'!C108</f>
        <v>24.2</v>
      </c>
      <c r="G17" s="34">
        <v>0.5</v>
      </c>
      <c r="H17" s="34">
        <v>0.2</v>
      </c>
      <c r="J17" s="34">
        <f>'280'!C133</f>
        <v>23.1</v>
      </c>
      <c r="K17" s="34">
        <v>0.5</v>
      </c>
      <c r="L17" s="34">
        <v>0.2</v>
      </c>
      <c r="N17" s="34" t="s">
        <v>75</v>
      </c>
      <c r="O17" s="34"/>
      <c r="P17" s="3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</row>
    <row r="18" spans="2:68" ht="20.100000000000001" customHeight="1">
      <c r="B18" s="34">
        <f>'280'!C48</f>
        <v>0</v>
      </c>
      <c r="C18" s="34">
        <v>0.3</v>
      </c>
      <c r="D18" s="34">
        <v>0</v>
      </c>
      <c r="F18" s="34">
        <f>'280'!C109</f>
        <v>0</v>
      </c>
      <c r="G18" s="34">
        <v>0.3</v>
      </c>
      <c r="H18" s="34">
        <v>0</v>
      </c>
      <c r="J18" s="34">
        <f>'280'!C134</f>
        <v>0</v>
      </c>
      <c r="K18" s="34">
        <v>0.3</v>
      </c>
      <c r="L18" s="34">
        <v>0</v>
      </c>
      <c r="N18" s="33">
        <f>'280'!C348</f>
        <v>0</v>
      </c>
      <c r="O18" s="33"/>
      <c r="P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</row>
    <row r="19" spans="2:68" ht="20.100000000000001" customHeight="1">
      <c r="B19" s="34">
        <f>'280'!L52</f>
        <v>238.59434251655216</v>
      </c>
      <c r="C19" s="3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0.69972976591974145</v>
      </c>
      <c r="D19" s="3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0.39972976591957377</v>
      </c>
      <c r="F19" s="34">
        <f>'280'!L113</f>
        <v>237.679883557636</v>
      </c>
      <c r="G19" s="3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-7.3454189952222748E-2</v>
      </c>
      <c r="H19" s="3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-0.37345418995224122</v>
      </c>
      <c r="J19" s="34">
        <f>'280'!L138</f>
        <v>236.9585174521948</v>
      </c>
      <c r="K19" s="3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1.8267245062690307</v>
      </c>
      <c r="L19" s="3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1.5267245062690336</v>
      </c>
      <c r="N19" s="33">
        <f>'280'!C349</f>
        <v>0</v>
      </c>
      <c r="O19" s="33"/>
      <c r="P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</row>
    <row r="20" spans="2:68" ht="20.100000000000001" customHeight="1">
      <c r="N20" s="33">
        <f>'280'!C350</f>
        <v>0</v>
      </c>
      <c r="O20" s="33"/>
      <c r="P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</row>
    <row r="21" spans="2:68" ht="20.100000000000001" customHeight="1">
      <c r="B21" s="34" t="s">
        <v>6</v>
      </c>
      <c r="C21" s="34"/>
      <c r="D21" s="34"/>
      <c r="F21" s="34" t="s">
        <v>64</v>
      </c>
      <c r="G21" s="34"/>
      <c r="H21" s="34"/>
      <c r="J21" s="34" t="s">
        <v>65</v>
      </c>
      <c r="K21" s="34"/>
      <c r="L21" s="34"/>
      <c r="N21" s="33" t="e">
        <f>'280'!O355</f>
        <v>#DIV/0!</v>
      </c>
      <c r="O21" s="33" t="e">
        <f>O18*(N21-N19)*(N21-N20)/((N18-N19)*(N18-N20))+O19*(N21-N18)*(N21-N20)/((N19-N18)*(N19-N20))+O20*(N21-N18)*(N21-N19)/((N20-N18)*(N20-N19))</f>
        <v>#DIV/0!</v>
      </c>
      <c r="P21" s="33" t="e">
        <f>P18*(N21-N19)*(N21-N20)/((N18-N19)*(N18-N20))+P19*(N21-N18)*(N21-N20)/((N19-N18)*(N19-N20))+P20*(N21-N18)*(N21-N19)/((N20-N18)*(N20-N19))</f>
        <v>#DIV/0!</v>
      </c>
      <c r="R21" s="32"/>
      <c r="S21" s="32"/>
      <c r="T21" s="32"/>
      <c r="U21" s="32"/>
      <c r="V21" s="32"/>
      <c r="W21" s="35"/>
      <c r="X21" s="35"/>
      <c r="Y21" s="35"/>
      <c r="Z21" s="35"/>
      <c r="AA21" s="32"/>
      <c r="AB21" s="32"/>
      <c r="AC21" s="32"/>
      <c r="AD21" s="32"/>
      <c r="AE21" s="32"/>
      <c r="AF21" s="35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</row>
    <row r="22" spans="2:68" ht="20.100000000000001" customHeight="1">
      <c r="B22" s="33">
        <f>'280'!C20</f>
        <v>300.60000000000002</v>
      </c>
      <c r="C22" s="39">
        <v>3.3</v>
      </c>
      <c r="D22" s="39">
        <v>3.3</v>
      </c>
      <c r="F22" s="33">
        <f>'280'!C63</f>
        <v>284.8</v>
      </c>
      <c r="G22" s="39">
        <v>3.2</v>
      </c>
      <c r="H22" s="39">
        <v>3.2</v>
      </c>
      <c r="J22" s="33">
        <f>'280'!C81</f>
        <v>268.2</v>
      </c>
      <c r="K22" s="39">
        <v>3</v>
      </c>
      <c r="L22" s="39">
        <v>3</v>
      </c>
      <c r="R22" s="32"/>
      <c r="S22" s="32"/>
      <c r="T22" s="32"/>
      <c r="U22" s="32"/>
      <c r="V22" s="32"/>
      <c r="W22" s="37"/>
      <c r="X22" s="35"/>
      <c r="Y22" s="35"/>
      <c r="Z22" s="35"/>
      <c r="AA22" s="32"/>
      <c r="AB22" s="32"/>
      <c r="AC22" s="32"/>
      <c r="AD22" s="32"/>
      <c r="AE22" s="32"/>
      <c r="AF22" s="35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</row>
    <row r="23" spans="2:68" ht="20.100000000000001" customHeight="1">
      <c r="B23" s="33">
        <f>'280'!C21</f>
        <v>267.3</v>
      </c>
      <c r="C23" s="39">
        <v>3</v>
      </c>
      <c r="D23" s="39">
        <v>2.8</v>
      </c>
      <c r="F23" s="33">
        <f>'280'!C64</f>
        <v>254.7</v>
      </c>
      <c r="G23" s="39">
        <v>2.8</v>
      </c>
      <c r="H23" s="39">
        <v>2.7</v>
      </c>
      <c r="J23" s="33">
        <f>'280'!C82</f>
        <v>240.7</v>
      </c>
      <c r="K23" s="39">
        <v>2.6</v>
      </c>
      <c r="L23" s="39">
        <v>2.5</v>
      </c>
      <c r="N23" s="34" t="s">
        <v>74</v>
      </c>
      <c r="O23" s="34"/>
      <c r="P23" s="34"/>
      <c r="R23" s="32"/>
      <c r="S23" s="32"/>
      <c r="T23" s="32"/>
      <c r="U23" s="32"/>
      <c r="V23" s="32"/>
      <c r="W23" s="37"/>
      <c r="X23" s="35"/>
      <c r="Y23" s="35"/>
      <c r="Z23" s="35"/>
      <c r="AA23" s="32"/>
      <c r="AB23" s="32"/>
      <c r="AC23" s="32"/>
      <c r="AD23" s="32"/>
      <c r="AE23" s="32"/>
      <c r="AF23" s="35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</row>
    <row r="24" spans="2:68" ht="20.100000000000001" customHeight="1">
      <c r="B24" s="33">
        <f>'280'!C22</f>
        <v>235.2</v>
      </c>
      <c r="C24" s="39">
        <v>2.6</v>
      </c>
      <c r="D24" s="39">
        <v>2.2999999999999998</v>
      </c>
      <c r="F24" s="33">
        <f>'280'!C65</f>
        <v>225.7</v>
      </c>
      <c r="G24" s="39">
        <v>2.4</v>
      </c>
      <c r="H24" s="39">
        <v>2.1</v>
      </c>
      <c r="J24" s="33">
        <f>'280'!C83</f>
        <v>214.3</v>
      </c>
      <c r="K24" s="39">
        <v>2.2000000000000002</v>
      </c>
      <c r="L24" s="39">
        <v>1.9</v>
      </c>
      <c r="N24" s="33">
        <f>'280'!C308</f>
        <v>0</v>
      </c>
      <c r="O24" s="33"/>
      <c r="P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</row>
    <row r="25" spans="2:68" ht="20.100000000000001" customHeight="1">
      <c r="B25" s="33">
        <f>'280'!O27</f>
        <v>240.41883108035779</v>
      </c>
      <c r="C25" s="33">
        <f>C22*(B25-B23)*(B25-B24)/((B22-B23)*(B22-B24))+C23*(B25-B22)*(B25-B24)/((B23-B22)*(B23-B24))+C24*(B25-B22)*(B25-B23)/((B24-B22)*(B24-B23))</f>
        <v>2.672437089322282</v>
      </c>
      <c r="D25" s="33">
        <f>D22*(B25-B23)*(B25-B24)/((B22-B23)*(B22-B24))+D23*(B25-B22)*(B25-B24)/((B23-B22)*(B23-B24))+D24*(B25-B22)*(B25-B23)/((B24-B22)*(B24-B23))</f>
        <v>2.3824942568052192</v>
      </c>
      <c r="F25" s="33">
        <f>'280'!O70</f>
        <v>239.04371865665163</v>
      </c>
      <c r="G25" s="33">
        <f>G22*(F25-F23)*(F25-F24)/((F22-F23)*(F22-F24))+G23*(F25-F22)*(F25-F24)/((F23-F22)*(F23-F24))+G24*(F25-F22)*(F25-F23)/((F24-F22)*(F24-F23))</f>
        <v>2.5858331215244728</v>
      </c>
      <c r="H25" s="33">
        <f>H22*(F25-F23)*(F25-F24)/((F22-F23)*(F22-F24))+H23*(F25-F22)*(F25-F24)/((F23-F22)*(F23-F24))+H24*(F25-F22)*(F25-F23)/((F24-F22)*(F24-F23))</f>
        <v>2.3904935599114916</v>
      </c>
      <c r="J25" s="33">
        <f>'280'!O88</f>
        <v>238.2846493810772</v>
      </c>
      <c r="K25" s="33">
        <f>K22*(J25-J23)*(J25-J24)/((J22-J23)*(J22-J24))+K23*(J25-J22)*(J25-J24)/((J23-J22)*(J23-J24))+K24*(J25-J22)*(J25-J23)/((J24-J22)*(J24-J23))</f>
        <v>2.5640551681422257</v>
      </c>
      <c r="L25" s="33">
        <f>L22*(J25-J23)*(J25-J24)/((J22-J23)*(J22-J24))+L23*(J25-J22)*(J25-J24)/((J23-J22)*(J23-J24))+L24*(J25-J22)*(J25-J23)/((J24-J22)*(J24-J23))</f>
        <v>2.449991090059668</v>
      </c>
      <c r="N25" s="33">
        <f>'280'!C309</f>
        <v>0</v>
      </c>
      <c r="O25" s="33"/>
      <c r="P25" s="33"/>
      <c r="R25" s="32"/>
      <c r="S25" s="32"/>
      <c r="T25" s="32"/>
      <c r="U25" s="32"/>
      <c r="V25" s="32"/>
      <c r="W25" s="32"/>
      <c r="X25" s="32"/>
      <c r="Y25" s="32"/>
      <c r="Z25" s="35"/>
      <c r="AA25" s="35"/>
      <c r="AB25" s="35"/>
      <c r="AC25" s="35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</row>
    <row r="26" spans="2:68" ht="20.100000000000001" customHeight="1">
      <c r="N26" s="33">
        <f>'280'!C310</f>
        <v>0</v>
      </c>
      <c r="O26" s="33"/>
      <c r="P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</row>
    <row r="27" spans="2:68" ht="20.100000000000001" customHeight="1">
      <c r="B27" s="34" t="s">
        <v>49</v>
      </c>
      <c r="C27" s="34"/>
      <c r="D27" s="34"/>
      <c r="F27" s="34" t="s">
        <v>69</v>
      </c>
      <c r="G27" s="34"/>
      <c r="H27" s="34"/>
      <c r="J27" s="34" t="s">
        <v>71</v>
      </c>
      <c r="K27" s="34"/>
      <c r="L27" s="34"/>
      <c r="N27" s="33" t="e">
        <f>'280'!O315</f>
        <v>#DIV/0!</v>
      </c>
      <c r="O27" s="33" t="e">
        <f>O24*(N27-N25)*(N27-N26)/((N24-N25)*(N24-N26))+O25*(N27-N24)*(N27-N26)/((N25-N24)*(N25-N26))+O26*(N27-N24)*(N27-N25)/((N26-N24)*(N26-N25))</f>
        <v>#DIV/0!</v>
      </c>
      <c r="P27" s="33" t="e">
        <f>P24*(N27-N25)*(N27-N26)/((N24-N25)*(N24-N26))+P25*(N27-N24)*(N27-N26)/((N25-N24)*(N25-N26))+P26*(N27-N24)*(N27-N25)/((N26-N24)*(N26-N25))</f>
        <v>#DIV/0!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</row>
    <row r="28" spans="2:68" ht="20.100000000000001" customHeight="1">
      <c r="B28" s="33">
        <f>'280'!C188</f>
        <v>276.2</v>
      </c>
      <c r="C28" s="39">
        <v>3.8</v>
      </c>
      <c r="D28" s="39">
        <v>3.8</v>
      </c>
      <c r="F28" s="33">
        <f>'280'!C228</f>
        <v>245.5</v>
      </c>
      <c r="G28" s="39">
        <v>3.1</v>
      </c>
      <c r="H28" s="39">
        <v>3.1</v>
      </c>
      <c r="J28" s="33">
        <f>'280'!C268</f>
        <v>316.5</v>
      </c>
      <c r="K28" s="39">
        <v>3.1</v>
      </c>
      <c r="L28" s="39">
        <v>3.1</v>
      </c>
      <c r="R28" s="32"/>
      <c r="S28" s="32"/>
      <c r="T28" s="37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</row>
    <row r="29" spans="2:68" ht="20.100000000000001" customHeight="1">
      <c r="B29" s="33">
        <f>'280'!C189</f>
        <v>239.9</v>
      </c>
      <c r="C29" s="39">
        <v>3.7</v>
      </c>
      <c r="D29" s="39">
        <v>3.6</v>
      </c>
      <c r="F29" s="33">
        <f>'280'!C229</f>
        <v>212.6</v>
      </c>
      <c r="G29" s="39">
        <v>2.7</v>
      </c>
      <c r="H29" s="39">
        <v>2.5</v>
      </c>
      <c r="J29" s="33">
        <f>'280'!C269</f>
        <v>280.7</v>
      </c>
      <c r="K29" s="39">
        <v>2.8</v>
      </c>
      <c r="L29" s="39">
        <v>2.8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</row>
    <row r="30" spans="2:68" ht="20.100000000000001" customHeight="1">
      <c r="B30" s="33">
        <f>'280'!C190</f>
        <v>204.6</v>
      </c>
      <c r="C30" s="39">
        <v>3.6</v>
      </c>
      <c r="D30" s="39">
        <v>3.3</v>
      </c>
      <c r="F30" s="33">
        <f>'280'!C230</f>
        <v>181.3</v>
      </c>
      <c r="G30" s="39">
        <v>2.2000000000000002</v>
      </c>
      <c r="H30" s="39">
        <v>1.8</v>
      </c>
      <c r="J30" s="33">
        <f>'280'!C270</f>
        <v>245.8</v>
      </c>
      <c r="K30" s="39">
        <v>2.5</v>
      </c>
      <c r="L30" s="39">
        <v>2.5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</row>
    <row r="31" spans="2:68" ht="20.100000000000001" customHeight="1">
      <c r="B31" s="33">
        <f>'280'!O195</f>
        <v>239.5399294038655</v>
      </c>
      <c r="C31" s="33">
        <f>C28*(B31-B29)*(B31-B30)/((B28-B29)*(B28-B30))+C29*(B31-B28)*(B31-B30)/((B29-B28)*(B29-B30))+C30*(B31-B28)*(B31-B29)/((B30-B28)*(B30-B29))</f>
        <v>3.6989936824411838</v>
      </c>
      <c r="D31" s="33">
        <f>D28*(B31-B29)*(B31-B30)/((B28-B29)*(B28-B30))+D29*(B31-B28)*(B31-B30)/((B29-B28)*(B29-B30))+D30*(B31-B28)*(B31-B29)/((B30-B28)*(B30-B29))</f>
        <v>3.597465097110756</v>
      </c>
      <c r="F31" s="33">
        <f>'280'!O235</f>
        <v>237.98265058551166</v>
      </c>
      <c r="G31" s="33">
        <f>G28*(F31-F29)*(F31-F30)/((F28-F29)*(F28-F30))+G29*(F31-F28)*(F31-F30)/((F29-F28)*(F29-F30))+G30*(F31-F28)*(F31-F29)/((F30-F28)*(F30-F29))</f>
        <v>3.0199464211263605</v>
      </c>
      <c r="H31" s="33">
        <f>H28*(F31-F29)*(F31-F30)/((F28-F29)*(F28-F30))+H29*(F31-F28)*(F31-F30)/((F29-F28)*(F29-F30))+H30*(F31-F28)*(F31-F29)/((F30-F28)*(F30-F29))</f>
        <v>2.9751718324420526</v>
      </c>
      <c r="J31" s="33">
        <f>'280'!O275</f>
        <v>240.91731355568101</v>
      </c>
      <c r="K31" s="33">
        <f>K28*(J31-J29)*(J31-J30)/((J28-J29)*(J28-J30))+K29*(J31-J28)*(J31-J30)/((J29-J28)*(J29-J30))+K30*(J31-J28)*(J31-J29)/((J30-J28)*(J30-J29))</f>
        <v>2.4574347534975169</v>
      </c>
      <c r="L31" s="33">
        <f>L28*(J31-J29)*(J31-J30)/((J28-J29)*(J28-J30))+L29*(J31-J28)*(J31-J30)/((J29-J28)*(J29-J30))+L30*(J31-J28)*(J31-J29)/((J30-J28)*(J30-J29))</f>
        <v>2.4574347534975169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</row>
    <row r="32" spans="2:68" ht="20.100000000000001" customHeight="1"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</row>
    <row r="33" spans="2:68" ht="20.100000000000001" customHeight="1">
      <c r="B33" s="34" t="s">
        <v>68</v>
      </c>
      <c r="C33" s="34"/>
      <c r="D33" s="34"/>
      <c r="F33" s="34" t="s">
        <v>70</v>
      </c>
      <c r="G33" s="34"/>
      <c r="H33" s="34"/>
      <c r="J33" s="34" t="s">
        <v>72</v>
      </c>
      <c r="K33" s="34"/>
      <c r="L33" s="3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</row>
    <row r="34" spans="2:68" ht="20.100000000000001" customHeight="1">
      <c r="B34" s="33">
        <f>'280'!C208</f>
        <v>282.89999999999998</v>
      </c>
      <c r="C34" s="39">
        <v>3.8</v>
      </c>
      <c r="D34" s="39">
        <v>3.8</v>
      </c>
      <c r="F34" s="33">
        <f>'280'!C248</f>
        <v>226.8</v>
      </c>
      <c r="G34" s="39">
        <v>3.1</v>
      </c>
      <c r="H34" s="39">
        <v>3.1</v>
      </c>
      <c r="J34" s="33">
        <f>'280'!C288</f>
        <v>323.5</v>
      </c>
      <c r="K34" s="39">
        <v>3.1</v>
      </c>
      <c r="L34" s="39">
        <v>3.1</v>
      </c>
      <c r="R34" s="32"/>
      <c r="S34" s="35"/>
      <c r="T34" s="35"/>
      <c r="U34" s="35"/>
      <c r="V34" s="35"/>
      <c r="W34" s="35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</row>
    <row r="35" spans="2:68" ht="20.100000000000001" customHeight="1">
      <c r="B35" s="33">
        <f>'280'!C209</f>
        <v>246.7</v>
      </c>
      <c r="C35" s="39">
        <v>3.7</v>
      </c>
      <c r="D35" s="39">
        <v>3.6</v>
      </c>
      <c r="F35" s="33">
        <f>'280'!C249</f>
        <v>196.9</v>
      </c>
      <c r="G35" s="39">
        <v>2.7</v>
      </c>
      <c r="H35" s="39">
        <v>2.5</v>
      </c>
      <c r="J35" s="33">
        <f>'280'!C289</f>
        <v>287.8</v>
      </c>
      <c r="K35" s="39">
        <v>2.8</v>
      </c>
      <c r="L35" s="39">
        <v>2.8</v>
      </c>
      <c r="R35" s="32"/>
      <c r="S35" s="37"/>
      <c r="T35" s="35"/>
      <c r="U35" s="35"/>
      <c r="V35" s="35"/>
      <c r="W35" s="35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</row>
    <row r="36" spans="2:68" ht="20.100000000000001" customHeight="1">
      <c r="B36" s="33">
        <f>'280'!C210</f>
        <v>211.5</v>
      </c>
      <c r="C36" s="39">
        <v>3.6</v>
      </c>
      <c r="D36" s="39">
        <v>3.3</v>
      </c>
      <c r="F36" s="33">
        <f>'280'!C250</f>
        <v>168.6</v>
      </c>
      <c r="G36" s="39">
        <v>2.2000000000000002</v>
      </c>
      <c r="H36" s="39">
        <v>1.8</v>
      </c>
      <c r="J36" s="33">
        <f>'280'!C290</f>
        <v>253</v>
      </c>
      <c r="K36" s="39">
        <v>2.5</v>
      </c>
      <c r="L36" s="39">
        <v>2.5</v>
      </c>
      <c r="R36" s="32"/>
      <c r="S36" s="32"/>
      <c r="T36" s="32"/>
      <c r="U36" s="32"/>
      <c r="V36" s="32"/>
      <c r="W36" s="32"/>
      <c r="X36" s="32"/>
      <c r="Y36" s="32"/>
      <c r="Z36" s="35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</row>
    <row r="37" spans="2:68" ht="20.100000000000001" customHeight="1">
      <c r="B37" s="33">
        <f>'280'!O215</f>
        <v>239.91662058435745</v>
      </c>
      <c r="C37" s="33">
        <f>C34*(B37-B35)*(B37-B36)/((B34-B35)*(B34-B36))+C35*(B37-B34)*(B37-B36)/((B35-B34)*(B35-B36))+C36*(B37-B34)*(B37-B35)/((B36-B34)*(B36-B35))</f>
        <v>3.6809409055683084</v>
      </c>
      <c r="D37" s="33">
        <f>D34*(B37-B35)*(B37-B36)/((B34-B35)*(B34-B36))+D35*(B37-B34)*(B37-B36)/((B35-B34)*(B35-B36))+D36*(B37-B34)*(B37-B35)/((B36-B34)*(B36-B35))</f>
        <v>3.5502805342735995</v>
      </c>
      <c r="F37" s="33">
        <f>'280'!O255</f>
        <v>237.2064374767784</v>
      </c>
      <c r="G37" s="33">
        <f>G34*(F37-F35)*(F37-F36)/((F34-F35)*(F34-F36))+G35*(F37-F34)*(F37-F36)/((F35-F34)*(F35-F36))+G36*(F37-F34)*(F37-F35)/((F36-F34)*(F36-F35))</f>
        <v>3.2082991872394757</v>
      </c>
      <c r="H37" s="33">
        <f>H34*(F37-F35)*(F37-F36)/((F34-F35)*(F34-F36))+H35*(F37-F34)*(F37-F36)/((F35-F34)*(F35-F36))+H36*(F37-F34)*(F37-F35)/((F36-F34)*(F36-F35))</f>
        <v>3.2751819667028919</v>
      </c>
      <c r="J37" s="33">
        <f>'280'!O295</f>
        <v>241.18966378892549</v>
      </c>
      <c r="K37" s="33">
        <f>K34*(J37-J35)*(J37-J36)/((J34-J35)*(J34-J36))+K35*(J37-J34)*(J37-J36)/((J35-J34)*(J35-J36))+K36*(J37-J34)*(J37-J35)/((J36-J34)*(J36-J35))</f>
        <v>2.3964897964948988</v>
      </c>
      <c r="L37" s="33">
        <f>L34*(J37-J35)*(J37-J36)/((J34-J35)*(J34-J36))+L35*(J37-J34)*(J37-J36)/((J35-J34)*(J35-J36))+L36*(J37-J34)*(J37-J35)/((J36-J34)*(J36-J35))</f>
        <v>2.3964897964948988</v>
      </c>
      <c r="R37" s="32"/>
      <c r="S37" s="32"/>
      <c r="T37" s="32"/>
      <c r="U37" s="32"/>
      <c r="V37" s="32"/>
      <c r="W37" s="32"/>
      <c r="X37" s="32"/>
      <c r="Y37" s="32"/>
      <c r="Z37" s="37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</row>
    <row r="38" spans="2:68" ht="20.100000000000001" customHeight="1">
      <c r="R38" s="32"/>
      <c r="S38" s="32"/>
      <c r="T38" s="32"/>
      <c r="U38" s="32"/>
      <c r="V38" s="32"/>
      <c r="W38" s="32"/>
      <c r="X38" s="32"/>
      <c r="Y38" s="32"/>
      <c r="Z38" s="37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</row>
    <row r="39" spans="2:68" ht="20.100000000000001" customHeight="1"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</row>
    <row r="40" spans="2:68" ht="20.100000000000001" customHeight="1">
      <c r="R40" s="32"/>
      <c r="S40" s="32"/>
      <c r="T40" s="32"/>
      <c r="U40" s="32"/>
      <c r="V40" s="32"/>
      <c r="W40" s="32"/>
      <c r="X40" s="32"/>
      <c r="Y40" s="32"/>
      <c r="Z40" s="35"/>
      <c r="AA40" s="35"/>
      <c r="AB40" s="35"/>
      <c r="AC40" s="35"/>
      <c r="AD40" s="35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</row>
    <row r="41" spans="2:68" ht="20.100000000000001" customHeight="1">
      <c r="R41" s="32"/>
      <c r="S41" s="32"/>
      <c r="T41" s="32"/>
      <c r="U41" s="32"/>
      <c r="V41" s="32"/>
      <c r="W41" s="32"/>
      <c r="X41" s="32"/>
      <c r="Y41" s="32"/>
      <c r="Z41" s="37"/>
      <c r="AA41" s="35"/>
      <c r="AB41" s="35"/>
      <c r="AC41" s="35"/>
      <c r="AD41" s="35"/>
      <c r="AE41" s="32"/>
      <c r="AF41" s="32"/>
      <c r="AG41" s="32"/>
      <c r="AH41" s="32"/>
      <c r="AI41" s="32"/>
      <c r="AJ41" s="32"/>
      <c r="AK41" s="35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</row>
    <row r="42" spans="2:68" ht="20.100000000000001" customHeight="1">
      <c r="R42" s="32"/>
      <c r="S42" s="32"/>
      <c r="T42" s="32"/>
      <c r="U42" s="32"/>
      <c r="V42" s="32"/>
      <c r="W42" s="32"/>
      <c r="X42" s="32"/>
      <c r="Y42" s="32"/>
      <c r="Z42" s="37"/>
      <c r="AA42" s="35"/>
      <c r="AB42" s="35"/>
      <c r="AC42" s="35"/>
      <c r="AD42" s="35"/>
      <c r="AE42" s="32"/>
      <c r="AF42" s="32"/>
      <c r="AG42" s="32"/>
      <c r="AH42" s="32"/>
      <c r="AI42" s="32"/>
      <c r="AJ42" s="32"/>
      <c r="AK42" s="37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</row>
    <row r="43" spans="2:68" ht="20.100000000000001" customHeight="1"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7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</row>
    <row r="44" spans="2:68" ht="20.100000000000001" customHeight="1">
      <c r="R44" s="32"/>
      <c r="S44" s="32"/>
      <c r="T44" s="32"/>
      <c r="U44" s="32"/>
      <c r="V44" s="32"/>
      <c r="W44" s="32"/>
      <c r="X44" s="32"/>
      <c r="Y44" s="32"/>
      <c r="Z44" s="35"/>
      <c r="AA44" s="35"/>
      <c r="AB44" s="35"/>
      <c r="AC44" s="35"/>
      <c r="AD44" s="35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5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</row>
    <row r="45" spans="2:68" ht="20.100000000000001" customHeight="1">
      <c r="R45" s="32"/>
      <c r="S45" s="32"/>
      <c r="T45" s="32"/>
      <c r="U45" s="32"/>
      <c r="V45" s="32"/>
      <c r="W45" s="32"/>
      <c r="X45" s="32"/>
      <c r="Y45" s="32"/>
      <c r="Z45" s="37"/>
      <c r="AA45" s="35"/>
      <c r="AB45" s="35"/>
      <c r="AC45" s="35"/>
      <c r="AD45" s="35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</row>
    <row r="46" spans="2:68" ht="20.100000000000001" customHeight="1">
      <c r="R46" s="32"/>
      <c r="S46" s="32"/>
      <c r="T46" s="32"/>
      <c r="U46" s="32"/>
      <c r="V46" s="32"/>
      <c r="W46" s="32"/>
      <c r="X46" s="32"/>
      <c r="Y46" s="32"/>
      <c r="Z46" s="37"/>
      <c r="AA46" s="35"/>
      <c r="AB46" s="35"/>
      <c r="AC46" s="35"/>
      <c r="AD46" s="35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</row>
    <row r="47" spans="2:68" ht="20.100000000000001" customHeight="1"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</row>
    <row r="48" spans="2:68" ht="20.100000000000001" customHeight="1"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</row>
    <row r="49" spans="18:68" ht="20.100000000000001" customHeight="1"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5"/>
      <c r="AL49" s="35"/>
      <c r="AM49" s="35"/>
      <c r="AN49" s="35"/>
      <c r="AO49" s="35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</row>
    <row r="50" spans="18:68" ht="20.100000000000001" customHeight="1"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7"/>
      <c r="AL50" s="35"/>
      <c r="AM50" s="35"/>
      <c r="AN50" s="35"/>
      <c r="AO50" s="35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</row>
    <row r="51" spans="18:68" ht="20.100000000000001" customHeight="1"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7"/>
      <c r="AL51" s="35"/>
      <c r="AM51" s="35"/>
      <c r="AN51" s="35"/>
      <c r="AO51" s="35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</row>
    <row r="52" spans="18:68" ht="20.100000000000001" customHeight="1"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</row>
    <row r="53" spans="18:68" ht="20.100000000000001" customHeight="1"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</row>
    <row r="54" spans="18:68" ht="20.100000000000001" customHeight="1"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</row>
    <row r="55" spans="18:68" ht="20.100000000000001" customHeight="1"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</row>
    <row r="56" spans="18:68" ht="20.100000000000001" customHeight="1"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</row>
    <row r="57" spans="18:68" ht="20.100000000000001" customHeight="1"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</row>
    <row r="58" spans="18:68" ht="20.100000000000001" customHeight="1"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</row>
    <row r="59" spans="18:68" ht="20.100000000000001" customHeight="1">
      <c r="R59" s="32"/>
      <c r="S59" s="32"/>
      <c r="T59" s="32"/>
      <c r="U59" s="32"/>
      <c r="V59" s="32"/>
      <c r="W59" s="32"/>
      <c r="X59" s="32"/>
      <c r="Y59" s="32"/>
      <c r="Z59" s="35"/>
      <c r="AA59" s="35"/>
      <c r="AB59" s="35"/>
      <c r="AC59" s="35"/>
      <c r="AD59" s="32"/>
      <c r="AE59" s="35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</row>
    <row r="60" spans="18:68" ht="20.100000000000001" customHeight="1"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5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</row>
    <row r="61" spans="18:68" ht="20.100000000000001" customHeight="1"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5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</row>
    <row r="62" spans="18:68" ht="20.100000000000001" customHeight="1"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</row>
    <row r="63" spans="18:68" ht="20.100000000000001" customHeight="1"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</row>
    <row r="64" spans="18:68" ht="20.100000000000001" customHeight="1"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</row>
    <row r="65" spans="18:68" ht="20.100000000000001" customHeight="1"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</row>
    <row r="66" spans="18:68" ht="20.100000000000001" customHeight="1"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</row>
    <row r="67" spans="18:68" ht="20.100000000000001" customHeight="1"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</row>
    <row r="68" spans="18:68" ht="20.100000000000001" customHeight="1"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</row>
    <row r="69" spans="18:68" ht="20.100000000000001" customHeight="1">
      <c r="R69" s="32"/>
      <c r="S69" s="32"/>
      <c r="T69" s="32"/>
      <c r="U69" s="32"/>
      <c r="V69" s="32"/>
      <c r="W69" s="32"/>
      <c r="X69" s="32"/>
      <c r="Y69" s="32"/>
      <c r="Z69" s="37"/>
      <c r="AA69" s="35"/>
      <c r="AB69" s="35"/>
      <c r="AC69" s="35"/>
      <c r="AD69" s="35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</row>
    <row r="70" spans="18:68" ht="20.100000000000001" customHeight="1"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</row>
    <row r="71" spans="18:68" ht="20.100000000000001" customHeight="1">
      <c r="R71" s="32"/>
      <c r="S71" s="32"/>
      <c r="T71" s="32"/>
      <c r="U71" s="32"/>
      <c r="V71" s="32"/>
      <c r="W71" s="32"/>
      <c r="X71" s="32"/>
      <c r="Y71" s="32"/>
      <c r="Z71" s="35"/>
      <c r="AA71" s="35"/>
      <c r="AB71" s="35"/>
      <c r="AC71" s="35"/>
      <c r="AD71" s="35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</row>
    <row r="72" spans="18:68" ht="20.100000000000001" customHeight="1">
      <c r="R72" s="32"/>
      <c r="S72" s="32"/>
      <c r="T72" s="32"/>
      <c r="U72" s="32"/>
      <c r="V72" s="32"/>
      <c r="W72" s="32"/>
      <c r="X72" s="32"/>
      <c r="Y72" s="32"/>
      <c r="Z72" s="37"/>
      <c r="AA72" s="35"/>
      <c r="AB72" s="35"/>
      <c r="AC72" s="35"/>
      <c r="AD72" s="35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</row>
    <row r="73" spans="18:68" ht="20.100000000000001" customHeight="1">
      <c r="R73" s="32"/>
      <c r="S73" s="32"/>
      <c r="T73" s="32"/>
      <c r="U73" s="32"/>
      <c r="V73" s="32"/>
      <c r="W73" s="32"/>
      <c r="X73" s="32"/>
      <c r="Y73" s="32"/>
      <c r="Z73" s="37"/>
      <c r="AA73" s="35"/>
      <c r="AB73" s="35"/>
      <c r="AC73" s="35"/>
      <c r="AD73" s="35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</row>
    <row r="74" spans="18:68" ht="20.100000000000001" customHeight="1"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</row>
    <row r="75" spans="18:68" ht="20.100000000000001" customHeight="1">
      <c r="R75" s="32"/>
      <c r="S75" s="32"/>
      <c r="T75" s="32"/>
      <c r="U75" s="32"/>
      <c r="V75" s="32"/>
      <c r="W75" s="32"/>
      <c r="X75" s="32"/>
      <c r="Y75" s="32"/>
      <c r="Z75" s="35"/>
      <c r="AA75" s="35"/>
      <c r="AB75" s="35"/>
      <c r="AC75" s="35"/>
      <c r="AD75" s="35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</row>
    <row r="76" spans="18:68" ht="20.100000000000001" customHeight="1">
      <c r="R76" s="32"/>
      <c r="S76" s="32"/>
      <c r="T76" s="32"/>
      <c r="U76" s="32"/>
      <c r="V76" s="32"/>
      <c r="W76" s="32"/>
      <c r="X76" s="32"/>
      <c r="Y76" s="32"/>
      <c r="Z76" s="37"/>
      <c r="AA76" s="35"/>
      <c r="AB76" s="35"/>
      <c r="AC76" s="35"/>
      <c r="AD76" s="35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</row>
    <row r="77" spans="18:68" ht="20.100000000000001" customHeight="1">
      <c r="R77" s="32"/>
      <c r="S77" s="32"/>
      <c r="T77" s="32"/>
      <c r="U77" s="32"/>
      <c r="V77" s="32"/>
      <c r="W77" s="32"/>
      <c r="X77" s="32"/>
      <c r="Y77" s="32"/>
      <c r="Z77" s="37"/>
      <c r="AA77" s="35"/>
      <c r="AB77" s="35"/>
      <c r="AC77" s="35"/>
      <c r="AD77" s="35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</row>
    <row r="78" spans="18:68" ht="20.100000000000001" customHeight="1"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</row>
    <row r="79" spans="18:68" ht="20.100000000000001" customHeight="1"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</row>
    <row r="80" spans="18:68" ht="20.100000000000001" customHeight="1"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</row>
    <row r="81" spans="18:68" ht="20.100000000000001" customHeight="1"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</row>
    <row r="82" spans="18:68" ht="20.100000000000001" customHeight="1"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</row>
    <row r="83" spans="18:68" ht="20.100000000000001" customHeight="1"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</row>
    <row r="84" spans="18:68" ht="20.100000000000001" customHeight="1"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</row>
    <row r="85" spans="18:68" ht="20.100000000000001" customHeight="1"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</row>
    <row r="86" spans="18:68" ht="20.100000000000001" customHeight="1"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</row>
    <row r="87" spans="18:68" ht="20.100000000000001" customHeight="1"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</row>
    <row r="88" spans="18:68" ht="20.100000000000001" customHeight="1"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</row>
    <row r="89" spans="18:68" ht="20.100000000000001" customHeight="1"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</row>
    <row r="90" spans="18:68" ht="20.100000000000001" customHeight="1"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</row>
    <row r="91" spans="18:68" ht="20.100000000000001" customHeight="1"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</row>
    <row r="92" spans="18:68" ht="20.100000000000001" customHeight="1"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</row>
    <row r="93" spans="18:68" ht="20.100000000000001" customHeight="1"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</row>
    <row r="94" spans="18:68" ht="20.100000000000001" customHeight="1"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</row>
    <row r="95" spans="18:68" ht="20.100000000000001" customHeight="1"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</row>
    <row r="96" spans="18:68" ht="20.100000000000001" customHeight="1"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</row>
    <row r="97" spans="18:68" ht="20.100000000000001" customHeight="1"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</row>
    <row r="98" spans="18:68" ht="20.100000000000001" customHeight="1"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</row>
    <row r="99" spans="18:68" ht="20.100000000000001" customHeight="1"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</row>
    <row r="100" spans="18:68" ht="20.100000000000001" customHeight="1"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</row>
    <row r="101" spans="18:68" ht="20.100000000000001" customHeight="1"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</row>
    <row r="102" spans="18:68" ht="20.100000000000001" customHeight="1"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8:68" ht="20.100000000000001" customHeight="1"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8:68" ht="20.100000000000001" customHeight="1"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5" spans="18:68" ht="20.100000000000001" customHeight="1"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</row>
    <row r="106" spans="18:68" ht="20.100000000000001" customHeight="1"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8:68" ht="20.100000000000001" customHeight="1"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8:68" ht="20.100000000000001" customHeight="1"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109" spans="18:68" ht="20.100000000000001" customHeight="1"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</row>
    <row r="110" spans="18:68" ht="20.100000000000001" customHeight="1"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</row>
    <row r="111" spans="18:68" ht="20.100000000000001" customHeight="1"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</row>
    <row r="112" spans="18:68" ht="20.100000000000001" customHeight="1"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</row>
    <row r="113" spans="18:68" ht="20.100000000000001" customHeight="1"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</row>
    <row r="114" spans="18:68" ht="20.100000000000001" customHeight="1"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</row>
    <row r="115" spans="18:68" ht="20.100000000000001" customHeight="1"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</row>
    <row r="116" spans="18:68" ht="20.100000000000001" customHeight="1"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</row>
    <row r="117" spans="18:68" ht="20.100000000000001" customHeight="1"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</row>
    <row r="118" spans="18:68" ht="20.100000000000001" customHeight="1"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</row>
    <row r="119" spans="18:68" ht="20.100000000000001" customHeight="1"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</row>
    <row r="120" spans="18:68" ht="20.100000000000001" customHeight="1"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</row>
    <row r="121" spans="18:68" ht="20.100000000000001" customHeight="1"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</row>
    <row r="122" spans="18:68" ht="20.100000000000001" customHeight="1"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</row>
    <row r="123" spans="18:68" ht="20.100000000000001" customHeight="1"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</row>
    <row r="124" spans="18:68" ht="20.100000000000001" customHeight="1"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</row>
    <row r="125" spans="18:68" ht="20.100000000000001" customHeight="1"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</row>
    <row r="126" spans="18:68" ht="20.100000000000001" customHeight="1"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</row>
    <row r="127" spans="18:68" ht="20.100000000000001" customHeight="1"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</row>
    <row r="128" spans="18:68" ht="20.100000000000001" customHeight="1"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</row>
    <row r="129" spans="18:68" ht="20.100000000000001" customHeight="1"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</row>
    <row r="130" spans="18:68" ht="20.100000000000001" customHeight="1"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</row>
    <row r="131" spans="18:68" ht="20.100000000000001" customHeight="1"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</row>
    <row r="132" spans="18:68" ht="20.100000000000001" customHeight="1"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</row>
    <row r="133" spans="18:68" ht="20.100000000000001" customHeight="1"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</row>
    <row r="134" spans="18:68" ht="20.100000000000001" customHeight="1"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</row>
    <row r="135" spans="18:68" ht="20.100000000000001" customHeight="1"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</row>
    <row r="136" spans="18:68" ht="20.100000000000001" customHeight="1"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</row>
    <row r="137" spans="18:68" ht="20.100000000000001" customHeight="1"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</row>
    <row r="138" spans="18:68" ht="20.100000000000001" customHeight="1"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</row>
    <row r="139" spans="18:68" ht="20.100000000000001" customHeight="1"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</row>
    <row r="140" spans="18:68" ht="20.100000000000001" customHeight="1"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</row>
    <row r="141" spans="18:68" ht="20.100000000000001" customHeight="1"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</row>
    <row r="142" spans="18:68" ht="20.100000000000001" customHeight="1"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</row>
    <row r="143" spans="18:68" ht="20.100000000000001" customHeight="1"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</row>
    <row r="144" spans="18:68" ht="20.100000000000001" customHeight="1"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</row>
    <row r="145" spans="18:68" ht="20.100000000000001" customHeight="1"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</row>
    <row r="146" spans="18:68" ht="20.100000000000001" customHeight="1"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</row>
    <row r="147" spans="18:68" ht="20.100000000000001" customHeight="1"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</row>
    <row r="148" spans="18:68" ht="20.100000000000001" customHeight="1"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</row>
    <row r="149" spans="18:68" ht="20.100000000000001" customHeight="1"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</row>
    <row r="150" spans="18:68" ht="20.100000000000001" customHeight="1"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</row>
    <row r="151" spans="18:68" ht="20.100000000000001" customHeight="1"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</row>
    <row r="152" spans="18:68" ht="20.100000000000001" customHeight="1"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</row>
    <row r="153" spans="18:68" ht="20.100000000000001" customHeight="1"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</row>
    <row r="154" spans="18:68" ht="20.100000000000001" customHeight="1"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</row>
    <row r="155" spans="18:68" ht="20.100000000000001" customHeight="1"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</row>
    <row r="156" spans="18:68" ht="20.100000000000001" customHeight="1"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</row>
    <row r="157" spans="18:68" ht="20.100000000000001" customHeight="1"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</row>
    <row r="158" spans="18:68" ht="20.100000000000001" customHeight="1"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</row>
    <row r="159" spans="18:68" ht="20.100000000000001" customHeight="1"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</row>
    <row r="160" spans="18:68" ht="20.100000000000001" customHeight="1"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</row>
    <row r="161" spans="18:68" ht="20.100000000000001" customHeight="1"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</row>
    <row r="162" spans="18:68" ht="20.100000000000001" customHeight="1"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</row>
    <row r="163" spans="18:68" ht="20.100000000000001" customHeight="1"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</row>
    <row r="164" spans="18:68" ht="20.100000000000001" customHeight="1"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</row>
    <row r="165" spans="18:68" ht="20.100000000000001" customHeight="1"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</row>
    <row r="166" spans="18:68" ht="20.100000000000001" customHeight="1"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</row>
    <row r="167" spans="18:68" ht="20.100000000000001" customHeight="1"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</row>
    <row r="168" spans="18:68" ht="20.100000000000001" customHeight="1"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</row>
    <row r="169" spans="18:68" ht="20.100000000000001" customHeight="1"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</row>
    <row r="170" spans="18:68" ht="20.100000000000001" customHeight="1"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</row>
    <row r="171" spans="18:68" ht="20.100000000000001" customHeight="1"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</row>
    <row r="172" spans="18:68" ht="20.100000000000001" customHeight="1"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</row>
    <row r="173" spans="18:68" ht="20.100000000000001" customHeight="1"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</row>
    <row r="174" spans="18:68" ht="20.100000000000001" customHeight="1"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</row>
    <row r="175" spans="18:68" ht="20.100000000000001" customHeight="1"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</row>
    <row r="176" spans="18:68" ht="20.100000000000001" customHeight="1"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</row>
    <row r="177" spans="18:68" ht="20.100000000000001" customHeight="1"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</row>
    <row r="178" spans="18:68" ht="20.100000000000001" customHeight="1"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</row>
    <row r="179" spans="18:68" ht="20.100000000000001" customHeight="1"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</row>
    <row r="180" spans="18:68" ht="20.100000000000001" customHeight="1"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</row>
    <row r="181" spans="18:68" ht="20.100000000000001" customHeight="1"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</row>
    <row r="182" spans="18:68" ht="20.100000000000001" customHeight="1"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</row>
    <row r="183" spans="18:68" ht="20.100000000000001" customHeight="1"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</row>
    <row r="184" spans="18:68" ht="20.100000000000001" customHeight="1"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</row>
    <row r="185" spans="18:68" ht="20.100000000000001" customHeight="1"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</row>
    <row r="186" spans="18:68" ht="20.100000000000001" customHeight="1"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</row>
    <row r="187" spans="18:68" ht="20.100000000000001" customHeight="1"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</row>
    <row r="188" spans="18:68" ht="20.100000000000001" customHeight="1"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</row>
    <row r="189" spans="18:68" ht="20.100000000000001" customHeight="1"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</row>
    <row r="190" spans="18:68" ht="20.100000000000001" customHeight="1"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</row>
    <row r="191" spans="18:68" ht="20.100000000000001" customHeight="1"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</row>
    <row r="192" spans="18:68" ht="20.100000000000001" customHeight="1"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</row>
    <row r="193" spans="18:68" ht="20.100000000000001" customHeight="1"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</row>
    <row r="194" spans="18:68" ht="20.100000000000001" customHeight="1"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</row>
    <row r="195" spans="18:68" ht="20.100000000000001" customHeight="1"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</row>
    <row r="196" spans="18:68" ht="20.100000000000001" customHeight="1"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</row>
    <row r="197" spans="18:68" ht="20.100000000000001" customHeight="1"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</row>
    <row r="198" spans="18:68" ht="20.100000000000001" customHeight="1"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</row>
    <row r="199" spans="18:68" ht="20.100000000000001" customHeight="1"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</row>
    <row r="200" spans="18:68" ht="20.100000000000001" customHeight="1"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</row>
    <row r="201" spans="18:68" ht="20.100000000000001" customHeight="1"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</row>
    <row r="202" spans="18:68" ht="20.100000000000001" customHeight="1"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</row>
    <row r="203" spans="18:68" ht="20.100000000000001" customHeight="1"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</row>
    <row r="204" spans="18:68" ht="20.100000000000001" customHeight="1"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</row>
    <row r="205" spans="18:68" ht="20.100000000000001" customHeight="1"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</row>
    <row r="206" spans="18:68" ht="20.100000000000001" customHeight="1"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</row>
    <row r="207" spans="18:68" ht="20.100000000000001" customHeight="1"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</row>
    <row r="208" spans="18:68" ht="20.100000000000001" customHeight="1"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</row>
    <row r="209" spans="18:68" ht="20.100000000000001" customHeight="1"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</row>
    <row r="210" spans="18:68" ht="20.100000000000001" customHeight="1"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</row>
    <row r="211" spans="18:68" ht="20.100000000000001" customHeight="1"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</row>
    <row r="212" spans="18:68" ht="20.100000000000001" customHeight="1"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</row>
    <row r="213" spans="18:68" ht="20.100000000000001" customHeight="1"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</row>
    <row r="214" spans="18:68" ht="20.100000000000001" customHeight="1"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</row>
    <row r="215" spans="18:68" ht="20.100000000000001" customHeight="1"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</row>
    <row r="216" spans="18:68" ht="20.100000000000001" customHeight="1"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</row>
    <row r="217" spans="18:68" ht="20.100000000000001" customHeight="1"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</row>
    <row r="218" spans="18:68" ht="20.100000000000001" customHeight="1"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</row>
    <row r="219" spans="18:68" ht="20.100000000000001" customHeight="1"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</row>
    <row r="220" spans="18:68" ht="20.100000000000001" customHeight="1"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</row>
    <row r="221" spans="18:68" ht="20.100000000000001" customHeight="1"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</row>
    <row r="222" spans="18:68" ht="20.100000000000001" customHeight="1"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</row>
    <row r="223" spans="18:68" ht="20.100000000000001" customHeight="1"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</row>
    <row r="224" spans="18:68" ht="20.100000000000001" customHeight="1"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</row>
    <row r="225" spans="18:68" ht="20.100000000000001" customHeight="1"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</row>
    <row r="226" spans="18:68" ht="20.100000000000001" customHeight="1"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</row>
    <row r="227" spans="18:68" ht="20.100000000000001" customHeight="1"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</row>
    <row r="228" spans="18:68" ht="20.100000000000001" customHeight="1"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</row>
    <row r="229" spans="18:68" ht="20.100000000000001" customHeight="1"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</row>
    <row r="230" spans="18:68" ht="20.100000000000001" customHeight="1"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</row>
    <row r="231" spans="18:68" ht="20.100000000000001" customHeight="1"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</row>
    <row r="232" spans="18:68" ht="20.100000000000001" customHeight="1"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</row>
    <row r="233" spans="18:68" ht="20.100000000000001" customHeight="1"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</row>
    <row r="234" spans="18:68" ht="20.100000000000001" customHeight="1"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</row>
    <row r="235" spans="18:68" ht="20.100000000000001" customHeight="1"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</row>
    <row r="236" spans="18:68" ht="20.100000000000001" customHeight="1"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</row>
    <row r="237" spans="18:68" ht="20.100000000000001" customHeight="1"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</row>
    <row r="238" spans="18:68" ht="20.100000000000001" customHeight="1"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</row>
    <row r="239" spans="18:68" ht="20.100000000000001" customHeight="1"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</row>
    <row r="240" spans="18:68" ht="20.100000000000001" customHeight="1"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</row>
    <row r="241" spans="18:68" ht="20.100000000000001" customHeight="1"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</row>
    <row r="242" spans="18:68" ht="20.100000000000001" customHeight="1"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</row>
    <row r="243" spans="18:68" ht="20.100000000000001" customHeight="1"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</row>
    <row r="244" spans="18:68" ht="20.100000000000001" customHeight="1"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</row>
    <row r="245" spans="18:68" ht="20.100000000000001" customHeight="1"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</row>
    <row r="246" spans="18:68" ht="20.100000000000001" customHeight="1"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</row>
    <row r="247" spans="18:68" ht="20.100000000000001" customHeight="1"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</row>
    <row r="248" spans="18:68" ht="20.100000000000001" customHeight="1"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</row>
    <row r="249" spans="18:68" ht="20.100000000000001" customHeight="1"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</row>
    <row r="250" spans="18:68" ht="20.100000000000001" customHeight="1"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</row>
    <row r="251" spans="18:68" ht="20.100000000000001" customHeight="1"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</row>
    <row r="252" spans="18:68" ht="20.100000000000001" customHeight="1"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</row>
    <row r="253" spans="18:68" ht="20.100000000000001" customHeight="1"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</row>
    <row r="254" spans="18:68" ht="20.100000000000001" customHeight="1"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</row>
    <row r="255" spans="18:68" ht="20.100000000000001" customHeight="1"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</row>
    <row r="256" spans="18:68" ht="20.100000000000001" customHeight="1"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</row>
    <row r="257" spans="18:68" ht="20.100000000000001" customHeight="1"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</row>
    <row r="258" spans="18:68" ht="20.100000000000001" customHeight="1"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</row>
    <row r="259" spans="18:68" ht="20.100000000000001" customHeight="1"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</row>
    <row r="260" spans="18:68" ht="20.100000000000001" customHeight="1"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</row>
    <row r="261" spans="18:68" ht="20.100000000000001" customHeight="1"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</row>
    <row r="262" spans="18:68" ht="20.100000000000001" customHeight="1"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</row>
    <row r="263" spans="18:68" ht="20.100000000000001" customHeight="1"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</row>
    <row r="264" spans="18:68" ht="20.100000000000001" customHeight="1"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</row>
    <row r="265" spans="18:68" ht="20.100000000000001" customHeight="1"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</row>
    <row r="266" spans="18:68" ht="20.100000000000001" customHeight="1"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</row>
    <row r="267" spans="18:68" ht="20.100000000000001" customHeight="1"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</row>
    <row r="268" spans="18:68" ht="20.100000000000001" customHeight="1"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</row>
    <row r="269" spans="18:68" ht="20.100000000000001" customHeight="1"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</row>
    <row r="270" spans="18:68" ht="20.100000000000001" customHeight="1"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</row>
    <row r="271" spans="18:68" ht="20.100000000000001" customHeight="1"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</row>
    <row r="272" spans="18:68" ht="20.100000000000001" customHeight="1"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</row>
    <row r="273" spans="18:68" ht="20.100000000000001" customHeight="1"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</row>
    <row r="274" spans="18:68" ht="20.100000000000001" customHeight="1"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</row>
    <row r="275" spans="18:68" ht="20.100000000000001" customHeight="1"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</row>
    <row r="276" spans="18:68" ht="20.100000000000001" customHeight="1"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</row>
    <row r="277" spans="18:68" ht="20.100000000000001" customHeight="1"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</row>
    <row r="278" spans="18:68" ht="20.100000000000001" customHeight="1"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</row>
    <row r="279" spans="18:68" ht="20.100000000000001" customHeight="1"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</row>
    <row r="280" spans="18:68" ht="20.100000000000001" customHeight="1"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</row>
    <row r="281" spans="18:68" ht="20.100000000000001" customHeight="1"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</row>
    <row r="282" spans="18:68" ht="20.100000000000001" customHeight="1"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</row>
    <row r="283" spans="18:68" ht="20.100000000000001" customHeight="1"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</row>
    <row r="284" spans="18:68" ht="20.100000000000001" customHeight="1"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</row>
    <row r="285" spans="18:68" ht="20.100000000000001" customHeight="1"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</row>
    <row r="286" spans="18:68" ht="20.100000000000001" customHeight="1"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</row>
    <row r="287" spans="18:68" ht="20.100000000000001" customHeight="1"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</row>
    <row r="288" spans="18:68" ht="20.100000000000001" customHeight="1"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</row>
    <row r="289" spans="18:68" ht="20.100000000000001" customHeight="1"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</row>
    <row r="290" spans="18:68" ht="20.100000000000001" customHeight="1"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</row>
    <row r="291" spans="18:68" ht="20.100000000000001" customHeight="1"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</row>
    <row r="292" spans="18:68" ht="20.100000000000001" customHeight="1"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</row>
    <row r="293" spans="18:68" ht="20.100000000000001" customHeight="1"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</row>
    <row r="294" spans="18:68" ht="20.100000000000001" customHeight="1"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</row>
    <row r="295" spans="18:68" ht="20.100000000000001" customHeight="1"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</row>
    <row r="296" spans="18:68" ht="20.100000000000001" customHeight="1"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</row>
    <row r="297" spans="18:68" ht="20.100000000000001" customHeight="1"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</row>
    <row r="298" spans="18:68" ht="20.100000000000001" customHeight="1"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</row>
    <row r="299" spans="18:68" ht="20.100000000000001" customHeight="1"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</row>
    <row r="300" spans="18:68" ht="20.100000000000001" customHeight="1"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</row>
    <row r="301" spans="18:68" ht="20.100000000000001" customHeight="1"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</row>
    <row r="302" spans="18:68" ht="20.100000000000001" customHeight="1"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</row>
    <row r="303" spans="18:68" ht="20.100000000000001" customHeight="1"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</row>
    <row r="304" spans="18:68" ht="20.100000000000001" customHeight="1"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</row>
    <row r="305" spans="18:68" ht="20.100000000000001" customHeight="1"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</row>
    <row r="306" spans="18:68" ht="20.100000000000001" customHeight="1"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</row>
    <row r="307" spans="18:68" ht="20.100000000000001" customHeight="1"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</row>
    <row r="308" spans="18:68" ht="20.100000000000001" customHeight="1"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</row>
    <row r="309" spans="18:68" ht="20.100000000000001" customHeight="1"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</row>
    <row r="310" spans="18:68" ht="20.100000000000001" customHeight="1"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</row>
    <row r="311" spans="18:68" ht="20.100000000000001" customHeight="1"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</row>
  </sheetData>
  <sheetProtection sheet="1" objects="1" scenarios="1" selectLockedCells="1" selectUnlockedCell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B1E3-5D35-473C-88F4-D08BC732F214}">
  <dimension ref="A1:Z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26" ht="20.100000000000001" customHeight="1">
      <c r="A1" s="158" t="s">
        <v>79</v>
      </c>
      <c r="B1" s="148">
        <f>Index!B4</f>
        <v>236</v>
      </c>
      <c r="C1" s="112"/>
      <c r="D1" s="112"/>
      <c r="E1" s="112"/>
      <c r="F1" s="112"/>
      <c r="G1" s="137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20.100000000000001" customHeight="1">
      <c r="A2" s="158" t="s">
        <v>196</v>
      </c>
      <c r="B2" s="148">
        <f>Index!C4</f>
        <v>4</v>
      </c>
      <c r="C2" s="112"/>
      <c r="D2" s="112"/>
      <c r="E2" s="112"/>
      <c r="F2" s="112"/>
      <c r="G2" s="137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6" ht="20.100000000000001" customHeight="1">
      <c r="A3" s="174" t="s">
        <v>80</v>
      </c>
      <c r="B3" s="174">
        <f>Index!D4</f>
        <v>5</v>
      </c>
      <c r="C3" s="112"/>
      <c r="D3" s="112"/>
      <c r="E3" s="112"/>
      <c r="F3" s="112"/>
      <c r="G3" s="137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26" ht="20.100000000000001" customHeight="1">
      <c r="A4" s="158" t="s">
        <v>197</v>
      </c>
      <c r="B4" s="148">
        <f>Index!E4</f>
        <v>50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26" ht="20.100000000000001" customHeight="1">
      <c r="A5" s="158" t="s">
        <v>253</v>
      </c>
      <c r="B5" s="148">
        <f>IF(Index!G4&lt;&gt;0,Index!G4/4,Index!F4)</f>
        <v>3.6149999999999998</v>
      </c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26" ht="20.100000000000001" customHeight="1">
      <c r="A6" s="173" t="s">
        <v>198</v>
      </c>
      <c r="B6" s="173">
        <f>Index!H4</f>
        <v>1</v>
      </c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26" s="162" customFormat="1" ht="20.100000000000001" customHeight="1">
      <c r="A7" s="163" t="s">
        <v>252</v>
      </c>
    </row>
    <row r="8" spans="1:26" ht="20.100000000000001" customHeight="1">
      <c r="A8" s="112"/>
      <c r="B8" s="112"/>
      <c r="C8" s="112"/>
      <c r="D8" s="112"/>
      <c r="E8" s="158" t="s">
        <v>246</v>
      </c>
      <c r="F8" s="158" t="s">
        <v>245</v>
      </c>
      <c r="G8" s="158" t="s">
        <v>8</v>
      </c>
      <c r="H8" s="158" t="s">
        <v>244</v>
      </c>
      <c r="I8" s="158" t="s">
        <v>243</v>
      </c>
      <c r="J8" s="158" t="s">
        <v>242</v>
      </c>
      <c r="K8" s="112"/>
      <c r="L8" s="112"/>
      <c r="M8" s="121" t="s">
        <v>39</v>
      </c>
      <c r="N8" s="121" t="s">
        <v>258</v>
      </c>
      <c r="O8" s="112"/>
      <c r="P8" s="121" t="s">
        <v>257</v>
      </c>
      <c r="Q8" s="112"/>
      <c r="R8" s="112"/>
      <c r="S8" s="121" t="s">
        <v>249</v>
      </c>
      <c r="U8" s="111" t="s">
        <v>5</v>
      </c>
      <c r="V8" s="111" t="s">
        <v>241</v>
      </c>
      <c r="W8" s="111" t="s">
        <v>240</v>
      </c>
      <c r="X8" s="111" t="s">
        <v>239</v>
      </c>
      <c r="Y8" s="112"/>
      <c r="Z8" s="112"/>
    </row>
    <row r="9" spans="1:26" ht="20.100000000000001" customHeight="1">
      <c r="A9" s="109" t="s">
        <v>238</v>
      </c>
      <c r="B9" s="159" t="e">
        <f>ABS(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9)</f>
        <v>#DIV/0!</v>
      </c>
      <c r="C9" s="161" t="e">
        <f>ABS(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9)</f>
        <v>#DIV/0!</v>
      </c>
      <c r="D9" s="150">
        <f>Index!$C$13</f>
        <v>1</v>
      </c>
      <c r="E9" s="279">
        <v>1</v>
      </c>
      <c r="F9" s="278">
        <f>Z15</f>
        <v>0</v>
      </c>
      <c r="G9" s="277">
        <f>Z33</f>
        <v>47.407407407407412</v>
      </c>
      <c r="H9" s="277">
        <f>Z21</f>
        <v>0</v>
      </c>
      <c r="I9" s="277">
        <f>Z27</f>
        <v>0</v>
      </c>
      <c r="J9" s="276">
        <f>0*($B$6-0.9)*($B$6-0.8)/((1-0.9)*(1-0.8))+0.5*($B$6-1)*($B$6-0.8)/((0.9-1)*(0.9-0.8))+0.8*($B$6-1)*($B$6-0.9)/((0.8-1)*(0.8-0.9))+$B$1-(ABS($B$5/0.2/20))</f>
        <v>235.09625</v>
      </c>
      <c r="K9" s="112"/>
      <c r="L9" s="112"/>
      <c r="M9" s="275">
        <v>100</v>
      </c>
      <c r="N9" s="275">
        <v>324.93</v>
      </c>
      <c r="O9" s="273">
        <f>P9*((M9-(100/360))-M10)*((M9-(100/360))-M11)/((M9-M10)*(M9-M11))+P10*((M9-(100/360))-M9)*((M9-(100/360))-M11)/((M10-M9)*(M10-M11))+P11*((M9-(100/360))-M9)*((M9-(100/360))-M10)/((M11-M9)*(M11-M10))</f>
        <v>325.55496913580254</v>
      </c>
      <c r="P9" s="112">
        <v>326.29000000000002</v>
      </c>
      <c r="Q9" s="274" t="e">
        <f>O9*($J10-P10)*($J10-P11)/((P9-P10)*(P9-P11))+O10*($J10-P9)*($J10-P11)/((P10-P9)*(P10-P11))+O11*($J10-P9)*($J10-P10)/((P11-P9)*(P11-P10))</f>
        <v>#DIV/0!</v>
      </c>
      <c r="R9" s="273" t="e">
        <f>N9*($J10-P10)*($J10-P11)/((P9-P10)*(P9-P11))+N10*($J10-P9)*($J10-P11)/((P10-P9)*(P10-P11))+N11*($J10-P9)*($J10-P10)/((P11-P9)*(P11-P10))</f>
        <v>#DIV/0!</v>
      </c>
      <c r="S9" s="272" t="e">
        <f>MOD(($B10/100)*-360,1)*-(($J10-Q9)/($J10-R9))+30</f>
        <v>#DIV/0!</v>
      </c>
      <c r="U9" s="111">
        <v>100</v>
      </c>
      <c r="V9" s="111">
        <f>L9</f>
        <v>0</v>
      </c>
      <c r="W9" s="111">
        <v>324.93</v>
      </c>
      <c r="X9" s="111"/>
      <c r="Y9" s="112"/>
      <c r="Z9" s="112"/>
    </row>
    <row r="10" spans="1:26" ht="20.100000000000001" customHeight="1">
      <c r="A10" s="109" t="s">
        <v>5</v>
      </c>
      <c r="B10" s="159" t="e">
        <f>100*(J10-F10)*(J10-F11)/((F9-F10)*(F9-F11))+90*(J10-F9)*(J10-F11)/((F10-F9)*(F10-F11))+80*(J10-F9)*(J10-F10)/((F11-F9)*(F11-F10))</f>
        <v>#DIV/0!</v>
      </c>
      <c r="C10" s="158" t="e">
        <f>100*(J11-F10)*(J11-F11)/((F9-F10)*(F9-F11))+90*(J11-F9)*(J11-F11)/((F10-F9)*(F10-F11))+80*(J11-F9)*(J11-F10)/((F11-F9)*(F11-F10))</f>
        <v>#DIV/0!</v>
      </c>
      <c r="D10" s="112"/>
      <c r="E10" s="266">
        <v>0.9</v>
      </c>
      <c r="F10" s="271">
        <f>Z16</f>
        <v>0</v>
      </c>
      <c r="G10" s="270">
        <f>Z34</f>
        <v>47.407407407407412</v>
      </c>
      <c r="H10" s="270">
        <f>Z22</f>
        <v>0</v>
      </c>
      <c r="I10" s="270">
        <f>Z28</f>
        <v>0</v>
      </c>
      <c r="J10" s="269" t="e">
        <f>J9-((COS(RADIANS($B$4)))*$B$3*(ABS((F9-H9)*(J9-H10)*(J9-H11)/((H9-H10)*(H9-H11))+(F10-H10)*(J9-H9)*(J9-H11)/((H10-H9)*(H10-H11))+(F11-H11)*(J9-H9)*(J9-H10)/((H11-H9)*(H11-H10)))/9))</f>
        <v>#DIV/0!</v>
      </c>
      <c r="K10" s="112"/>
      <c r="L10" s="112"/>
      <c r="M10" s="268">
        <v>90</v>
      </c>
      <c r="N10" s="268">
        <v>298</v>
      </c>
      <c r="O10" s="112">
        <f>P9*((M10-(100/360))-M10)*((M10-(100/360))-M11)/((M9-M10)*(M9-M11))+P10*((M10-(100/360))-M9)*((M10-(100/360))-M11)/((M10-M9)*(M10-M11))+P11*((M10-(100/360))-M9)*((M10-(100/360))-M10)/((M11-M9)*(M11-M10))</f>
        <v>298.68274691358027</v>
      </c>
      <c r="P10" s="112">
        <v>299.44</v>
      </c>
      <c r="Q10" s="117" t="e">
        <f>O9*($J11-P10)*($J11-P11)/((P9-P10)*(P9-P11))+O10*($J11-P9)*($J11-P11)/((P10-P9)*(P10-P11))+O11*($J11-P9)*($J11-P10)/((P11-P9)*(P11-P10))</f>
        <v>#DIV/0!</v>
      </c>
      <c r="R10" s="115" t="e">
        <f>N9*($J11-P10)*($J11-P11)/((P9-P10)*(P9-P11))+N10*($J11-P9)*($J11-P11)/((P10-P9)*(P10-P11))+N11*($J11-P9)*($J11-P10)/((P11-P9)*(P11-P10))</f>
        <v>#DIV/0!</v>
      </c>
      <c r="S10" s="267" t="e">
        <f>MOD((C10/100)*-360,1)*-(($J11-Q10)/($J11-R10))+30</f>
        <v>#DIV/0!</v>
      </c>
      <c r="U10" s="111">
        <v>90</v>
      </c>
      <c r="V10" s="111">
        <f>L10</f>
        <v>0</v>
      </c>
      <c r="W10" s="111">
        <v>298</v>
      </c>
      <c r="X10" s="111"/>
      <c r="Y10" s="112"/>
      <c r="Z10" s="112"/>
    </row>
    <row r="11" spans="1:26" ht="20.100000000000001" customHeight="1">
      <c r="A11" s="109" t="s">
        <v>237</v>
      </c>
      <c r="B11" s="157" t="e">
        <f>(360-ROUNDDOWN((1-(B10/100))*360,0))*B15/360</f>
        <v>#DIV/0!</v>
      </c>
      <c r="C11" s="156" t="e">
        <f>(360-ROUNDDOWN((1-(C10/100))*360,0))*C16/360</f>
        <v>#DIV/0!</v>
      </c>
      <c r="D11" s="112"/>
      <c r="E11" s="266">
        <v>0.8</v>
      </c>
      <c r="F11" s="265">
        <f>Z17</f>
        <v>0</v>
      </c>
      <c r="G11" s="264">
        <f>Z35</f>
        <v>47.407407407407412</v>
      </c>
      <c r="H11" s="264">
        <f>Z23</f>
        <v>0</v>
      </c>
      <c r="I11" s="264">
        <f>Z29</f>
        <v>0</v>
      </c>
      <c r="J11" s="263" t="e">
        <f>J9+((COS(RADIANS($B$4)))*$B$3*(ABS((F9-I9)*(J9-I10)*(J9-I11)/((I9-I10)*(I9-I11))+(F10-I10)*(J9-I9)*(J9-I11)/((I10-I9)*(I10-I11))+(F11-I11)*(J9-I9)*(J9-I10)/((I11-I9)*(I11-I10)))/9))</f>
        <v>#DIV/0!</v>
      </c>
      <c r="K11" s="112"/>
      <c r="L11" s="112"/>
      <c r="M11" s="262">
        <v>80</v>
      </c>
      <c r="N11" s="261">
        <v>270.51</v>
      </c>
      <c r="O11" s="115">
        <f>P9*((M11-(100/360))-M10)*((M11-(100/360))-M11)/((M9-M10)*(M9-M11))+P10*((M11-(100/360))-M9)*((M11-(100/360))-M11)/((M10-M9)*(M10-M11))+P11*((M11-(100/360))-M9)*((M11-(100/360))-M10)/((M11-M9)*(M11-M10))</f>
        <v>271.01052469135806</v>
      </c>
      <c r="P11" s="260">
        <v>271.79000000000002</v>
      </c>
      <c r="Q11" s="112"/>
      <c r="R11" s="112"/>
      <c r="S11" s="121" t="s">
        <v>248</v>
      </c>
      <c r="U11" s="111">
        <v>80</v>
      </c>
      <c r="V11" s="111">
        <f>L11</f>
        <v>0</v>
      </c>
      <c r="W11" s="111">
        <v>270.51</v>
      </c>
      <c r="X11" s="111"/>
      <c r="Y11" s="112"/>
      <c r="Z11" s="112"/>
    </row>
    <row r="12" spans="1:26" ht="20.100000000000001" customHeight="1">
      <c r="A12" s="109" t="s">
        <v>39</v>
      </c>
      <c r="B12" s="149" t="e">
        <f>S9</f>
        <v>#DIV/0!</v>
      </c>
      <c r="C12" s="148" t="e">
        <f>S10</f>
        <v>#DIV/0!</v>
      </c>
      <c r="D12" s="112"/>
      <c r="W12" s="112"/>
      <c r="X12" s="112"/>
      <c r="Y12" s="112"/>
      <c r="Z12" s="112"/>
    </row>
    <row r="13" spans="1:26" ht="20.100000000000001" customHeight="1">
      <c r="A13" s="109" t="s">
        <v>195</v>
      </c>
      <c r="B13" s="149" t="e">
        <f>B9/4</f>
        <v>#DIV/0!</v>
      </c>
      <c r="C13" s="148" t="e">
        <f>C9/4</f>
        <v>#DIV/0!</v>
      </c>
      <c r="D13" s="112"/>
      <c r="E13" s="648" t="s">
        <v>236</v>
      </c>
      <c r="F13" s="648"/>
      <c r="G13" s="648"/>
      <c r="H13" s="648"/>
      <c r="I13" s="648"/>
      <c r="J13" s="648"/>
      <c r="K13" s="648"/>
      <c r="L13" s="648"/>
      <c r="M13" s="648"/>
      <c r="N13" s="648"/>
      <c r="O13" s="648"/>
      <c r="P13" s="648"/>
      <c r="Q13" s="648"/>
      <c r="R13" s="648"/>
      <c r="S13" s="648"/>
      <c r="T13" s="648"/>
      <c r="U13" s="648"/>
      <c r="V13" s="648"/>
      <c r="W13" s="112"/>
    </row>
    <row r="14" spans="1:26" ht="20.100000000000001" customHeight="1">
      <c r="A14" s="112"/>
      <c r="B14" s="112"/>
      <c r="C14" s="112"/>
      <c r="D14" s="112"/>
      <c r="E14" s="120"/>
      <c r="F14" s="120"/>
      <c r="G14" s="120">
        <v>20</v>
      </c>
      <c r="H14" s="120">
        <v>17.5</v>
      </c>
      <c r="I14" s="120">
        <v>15</v>
      </c>
      <c r="J14" s="122">
        <v>10</v>
      </c>
      <c r="K14" s="122">
        <v>5</v>
      </c>
      <c r="L14" s="122">
        <v>1</v>
      </c>
      <c r="M14" s="122">
        <v>0</v>
      </c>
      <c r="N14" s="122">
        <v>-1</v>
      </c>
      <c r="O14" s="122">
        <v>-5</v>
      </c>
      <c r="P14" s="122">
        <v>-10</v>
      </c>
      <c r="Q14" s="122">
        <v>-20</v>
      </c>
      <c r="R14" s="120">
        <v>-30</v>
      </c>
      <c r="S14" s="120">
        <v>-40</v>
      </c>
      <c r="T14" s="120">
        <v>-50</v>
      </c>
      <c r="U14" s="120">
        <v>-60</v>
      </c>
      <c r="V14" s="120">
        <v>-70</v>
      </c>
      <c r="W14" s="109">
        <v>-80</v>
      </c>
      <c r="X14" s="120" t="s">
        <v>14</v>
      </c>
      <c r="Y14" s="120" t="s">
        <v>231</v>
      </c>
      <c r="Z14" s="109"/>
    </row>
    <row r="15" spans="1:26" ht="20.100000000000001" customHeight="1">
      <c r="A15" s="112"/>
      <c r="B15" s="644">
        <v>296</v>
      </c>
      <c r="C15" s="644"/>
      <c r="D15" s="112"/>
      <c r="E15" s="138"/>
      <c r="F15" s="112"/>
      <c r="G15" s="112"/>
      <c r="H15" s="112"/>
      <c r="I15" s="112"/>
      <c r="M15" s="137">
        <v>326.29000000000002</v>
      </c>
      <c r="N15" s="137">
        <v>327.69</v>
      </c>
      <c r="O15" s="137">
        <v>333.12</v>
      </c>
      <c r="P15" s="137">
        <v>338.99</v>
      </c>
      <c r="Q15" s="137">
        <v>349.3</v>
      </c>
      <c r="R15" s="130">
        <v>357.93</v>
      </c>
      <c r="S15" s="130">
        <v>365</v>
      </c>
      <c r="T15" s="130">
        <v>371.13</v>
      </c>
      <c r="U15" s="130">
        <v>376.47</v>
      </c>
      <c r="V15" s="136">
        <v>381.29</v>
      </c>
      <c r="W15" s="109">
        <v>385.45</v>
      </c>
      <c r="X15" s="111"/>
      <c r="Y15" s="110">
        <f xml:space="preserve"> -3.62654432959492E-10*B2^6 - 8.56628027817719E-08*B2^5 - 7.97551575837385E-06*B2^4 - 0.000423279949963273*B2^3 - 0.0206610366422808*B2^2 - 1.44643269243079*B2 + 326.289431703066</f>
        <v>320.14390349409194</v>
      </c>
      <c r="Z15" s="109">
        <f>IF($B$2&gt;0,X15,Y15)</f>
        <v>0</v>
      </c>
    </row>
    <row r="16" spans="1:26" ht="20.100000000000001" customHeight="1">
      <c r="A16" s="112"/>
      <c r="B16" s="109">
        <v>100</v>
      </c>
      <c r="C16" s="109">
        <f>$B$15*B16/100</f>
        <v>296</v>
      </c>
      <c r="D16" s="112"/>
      <c r="E16" s="138"/>
      <c r="F16" s="112"/>
      <c r="G16" s="112"/>
      <c r="H16" s="112"/>
      <c r="I16" s="112"/>
      <c r="M16" s="137">
        <v>299.44</v>
      </c>
      <c r="N16" s="137">
        <v>300.89</v>
      </c>
      <c r="O16" s="137">
        <v>306.97000000000003</v>
      </c>
      <c r="P16" s="137">
        <v>313.58999999999997</v>
      </c>
      <c r="Q16" s="137">
        <v>324.83999999999997</v>
      </c>
      <c r="R16" s="130">
        <v>333.81</v>
      </c>
      <c r="S16" s="130">
        <v>341.84</v>
      </c>
      <c r="T16" s="130">
        <v>348.44</v>
      </c>
      <c r="U16" s="130">
        <v>354.14</v>
      </c>
      <c r="V16" s="136">
        <v>359.13</v>
      </c>
      <c r="W16" s="109">
        <v>363.65</v>
      </c>
      <c r="X16" s="111"/>
      <c r="Y16" s="110">
        <f xml:space="preserve"> -1.42190295995825E-12*B2^6 - 1.559358613068E-08*B2^5 - 3.66267869134074E-06*B2^4 - 0.000364678238419458*B2^3 - 0.0239936365843221*B2^2 - 1.63036050041683*B2 + 299.36819589619</f>
        <v>292.43856268251341</v>
      </c>
      <c r="Z16" s="109">
        <f>IF($B$2&gt;0,X16,Y16)</f>
        <v>0</v>
      </c>
    </row>
    <row r="17" spans="1:26" ht="20.100000000000001" customHeight="1">
      <c r="A17" s="112"/>
      <c r="B17" s="109">
        <v>90</v>
      </c>
      <c r="C17" s="109">
        <f>$B$15*B17/100</f>
        <v>266.39999999999998</v>
      </c>
      <c r="D17" s="112"/>
      <c r="E17" s="135"/>
      <c r="F17" s="116"/>
      <c r="G17" s="116"/>
      <c r="H17" s="116"/>
      <c r="I17" s="116"/>
      <c r="J17" s="134"/>
      <c r="K17" s="134"/>
      <c r="L17" s="134"/>
      <c r="M17" s="133">
        <v>271.79000000000002</v>
      </c>
      <c r="N17" s="133">
        <v>273.27999999999997</v>
      </c>
      <c r="O17" s="133">
        <v>279.8</v>
      </c>
      <c r="P17" s="133">
        <v>286.86</v>
      </c>
      <c r="Q17" s="133">
        <v>298.97000000000003</v>
      </c>
      <c r="R17" s="132">
        <v>308.77999999999997</v>
      </c>
      <c r="S17" s="132">
        <v>317.01</v>
      </c>
      <c r="T17" s="132">
        <v>323.94</v>
      </c>
      <c r="U17" s="132">
        <v>330.04</v>
      </c>
      <c r="V17" s="131">
        <v>335.4</v>
      </c>
      <c r="W17" s="109">
        <v>339.97</v>
      </c>
      <c r="X17" s="111"/>
      <c r="Y17" s="110">
        <f xml:space="preserve"> -9.92095776190804E-11*B2^6 - 2.38012858450043E-08*B2^5 - 2.80289530529831E-06*B2^4 - 0.000258304444052726*B2^3 - 0.0215461756338584*B2^2 - 1.70907268878454*B2 + 271.70967547327</f>
        <v>264.51137210349344</v>
      </c>
      <c r="Z17" s="109">
        <f>IF($B$2&gt;0,X17,Y17)</f>
        <v>0</v>
      </c>
    </row>
    <row r="18" spans="1:26" ht="20.100000000000001" customHeight="1">
      <c r="A18" s="112"/>
      <c r="B18" s="109">
        <v>80</v>
      </c>
      <c r="C18" s="109">
        <f>$B$15*B18/100</f>
        <v>236.8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</row>
    <row r="19" spans="1:26" ht="20.100000000000001" customHeight="1">
      <c r="A19" s="112"/>
      <c r="D19" s="112"/>
      <c r="E19" s="649" t="s">
        <v>235</v>
      </c>
      <c r="F19" s="650"/>
      <c r="G19" s="650"/>
      <c r="H19" s="650"/>
      <c r="I19" s="650"/>
      <c r="J19" s="650"/>
      <c r="K19" s="650"/>
      <c r="L19" s="650"/>
      <c r="M19" s="650"/>
      <c r="N19" s="650"/>
      <c r="O19" s="650"/>
      <c r="P19" s="650"/>
      <c r="Q19" s="650"/>
      <c r="R19" s="650"/>
      <c r="S19" s="650"/>
      <c r="T19" s="650"/>
      <c r="U19" s="650"/>
      <c r="V19" s="652"/>
      <c r="W19" s="112"/>
    </row>
    <row r="20" spans="1:26" ht="20.100000000000001" customHeight="1">
      <c r="A20" s="112"/>
      <c r="D20" s="112"/>
      <c r="E20" s="121"/>
      <c r="F20" s="121"/>
      <c r="G20" s="121">
        <v>20</v>
      </c>
      <c r="H20" s="121">
        <v>17.5</v>
      </c>
      <c r="I20" s="121">
        <v>15</v>
      </c>
      <c r="J20" s="121">
        <v>10</v>
      </c>
      <c r="K20" s="121">
        <v>5</v>
      </c>
      <c r="L20" s="121">
        <v>2.5</v>
      </c>
      <c r="M20" s="121">
        <v>0</v>
      </c>
      <c r="N20" s="121">
        <v>-1</v>
      </c>
      <c r="O20" s="121">
        <v>-5</v>
      </c>
      <c r="P20" s="121">
        <v>-10</v>
      </c>
      <c r="Q20" s="121">
        <v>-20</v>
      </c>
      <c r="R20" s="121">
        <v>-30</v>
      </c>
      <c r="S20" s="121">
        <v>-40</v>
      </c>
      <c r="T20" s="121">
        <v>-50</v>
      </c>
      <c r="U20" s="121">
        <v>-60</v>
      </c>
      <c r="V20" s="121">
        <v>-70</v>
      </c>
      <c r="W20" s="109">
        <v>-80</v>
      </c>
      <c r="X20" s="120" t="s">
        <v>14</v>
      </c>
      <c r="Y20" s="120" t="s">
        <v>231</v>
      </c>
      <c r="Z20" s="109"/>
    </row>
    <row r="21" spans="1:26" ht="20.100000000000001" customHeight="1">
      <c r="A21" s="112"/>
      <c r="D21" s="112"/>
      <c r="E21" s="119"/>
      <c r="F21" s="112"/>
      <c r="G21" s="112"/>
      <c r="H21" s="112"/>
      <c r="I21" s="112"/>
      <c r="J21" s="112"/>
      <c r="K21" s="112"/>
      <c r="L21" s="112"/>
      <c r="M21" s="130">
        <v>339.02</v>
      </c>
      <c r="N21" s="130">
        <v>340.64</v>
      </c>
      <c r="O21" s="130">
        <v>346.05</v>
      </c>
      <c r="P21" s="130">
        <v>352.48</v>
      </c>
      <c r="Q21" s="130">
        <v>363.06</v>
      </c>
      <c r="R21" s="130">
        <v>371.91</v>
      </c>
      <c r="S21" s="130">
        <v>379.41</v>
      </c>
      <c r="T21" s="130">
        <v>385.71</v>
      </c>
      <c r="U21" s="130">
        <v>391.3</v>
      </c>
      <c r="V21" s="129">
        <v>396.28</v>
      </c>
      <c r="W21" s="109">
        <v>400.7</v>
      </c>
      <c r="X21" s="111"/>
      <c r="Y21" s="110">
        <f xml:space="preserve"> -2.10506664617E-10*B2^6 - 5.38839822622483E-08*B2^5 - 5.68758083463461E-06*B2^4 - 0.000364940543882142*B2^3 - 0.0210488138866083*B2^2 - 1.51349819101506*B2 + 339.062456636842</f>
        <v>332.64681459566077</v>
      </c>
      <c r="Z21" s="109">
        <f>IF($B$2&gt;0,X21,Y21)</f>
        <v>0</v>
      </c>
    </row>
    <row r="22" spans="1:26" ht="20.100000000000001" customHeight="1">
      <c r="A22" s="112"/>
      <c r="D22" s="112"/>
      <c r="E22" s="119"/>
      <c r="F22" s="112"/>
      <c r="G22" s="112"/>
      <c r="H22" s="112"/>
      <c r="I22" s="112"/>
      <c r="J22" s="112"/>
      <c r="K22" s="112"/>
      <c r="L22" s="112"/>
      <c r="M22" s="130">
        <v>312.41000000000003</v>
      </c>
      <c r="N22" s="130">
        <v>314.16000000000003</v>
      </c>
      <c r="O22" s="130">
        <v>320.14999999999998</v>
      </c>
      <c r="P22" s="130">
        <v>327.25</v>
      </c>
      <c r="Q22" s="130">
        <v>338.97</v>
      </c>
      <c r="R22" s="130">
        <v>348.47</v>
      </c>
      <c r="S22" s="130">
        <v>356.57</v>
      </c>
      <c r="T22" s="130">
        <v>363.41</v>
      </c>
      <c r="U22" s="130">
        <v>369.47</v>
      </c>
      <c r="V22" s="129">
        <v>374.77</v>
      </c>
      <c r="W22" s="109">
        <v>379.4</v>
      </c>
      <c r="X22" s="111"/>
      <c r="Y22" s="110">
        <f xml:space="preserve"> 1.1986408827297E-10*B2^6 + 2.6393545099479E-08*B2^5 + 1.44030086768332E-06*B2^4 - 0.0000953919278430249*B2^3 - 0.0183753579338486*B2^2 - 1.64729040768179*B2 + 312.449694707655</f>
        <v>305.56081850157994</v>
      </c>
      <c r="Z22" s="109">
        <f>IF($B$2&gt;0,X22,Y22)</f>
        <v>0</v>
      </c>
    </row>
    <row r="23" spans="1:26" ht="20.100000000000001" customHeight="1">
      <c r="A23" s="112"/>
      <c r="B23" s="112"/>
      <c r="C23" s="112"/>
      <c r="D23" s="112"/>
      <c r="E23" s="117"/>
      <c r="F23" s="115"/>
      <c r="G23" s="115"/>
      <c r="H23" s="115"/>
      <c r="I23" s="115"/>
      <c r="J23" s="115"/>
      <c r="K23" s="115"/>
      <c r="L23" s="115"/>
      <c r="M23" s="128">
        <v>284.66000000000003</v>
      </c>
      <c r="N23" s="128">
        <v>286.39999999999998</v>
      </c>
      <c r="O23" s="128">
        <v>292.87</v>
      </c>
      <c r="P23" s="128">
        <v>300.41000000000003</v>
      </c>
      <c r="Q23" s="128">
        <v>313.01</v>
      </c>
      <c r="R23" s="128">
        <v>323.32</v>
      </c>
      <c r="S23" s="128">
        <v>331.78</v>
      </c>
      <c r="T23" s="128">
        <v>339.23</v>
      </c>
      <c r="U23" s="128">
        <v>345.61</v>
      </c>
      <c r="V23" s="127">
        <v>351.16</v>
      </c>
      <c r="W23" s="109">
        <v>356.09</v>
      </c>
      <c r="X23" s="111"/>
      <c r="Y23" s="110">
        <f xml:space="preserve"> 3.75418870036254E-10*B2^6 + 8.80988654111681E-08*B2^5 + 7.07381765863158E-06*B2^4 + 0.000141573456353683*B2^3 - 0.0146063501711353*B2^2 - 1.72392003627556*B2 + 284.668455260056</f>
        <v>277.55003686169675</v>
      </c>
      <c r="Z23" s="109">
        <f>IF($B$2&gt;0,X23,Y23)</f>
        <v>0</v>
      </c>
    </row>
    <row r="24" spans="1:26" ht="20.100000000000001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</row>
    <row r="25" spans="1:26" ht="20.100000000000001" customHeight="1">
      <c r="A25" s="112"/>
      <c r="B25" s="112"/>
      <c r="C25" s="112"/>
      <c r="D25" s="112"/>
      <c r="E25" s="649" t="s">
        <v>233</v>
      </c>
      <c r="F25" s="650"/>
      <c r="G25" s="650"/>
      <c r="H25" s="650"/>
      <c r="I25" s="650"/>
      <c r="J25" s="650"/>
      <c r="K25" s="650"/>
      <c r="L25" s="650"/>
      <c r="M25" s="650"/>
      <c r="N25" s="650"/>
      <c r="O25" s="650"/>
      <c r="P25" s="650"/>
      <c r="Q25" s="650"/>
      <c r="R25" s="650"/>
      <c r="S25" s="650"/>
      <c r="T25" s="650"/>
      <c r="U25" s="650"/>
      <c r="V25" s="652"/>
      <c r="W25" s="112"/>
    </row>
    <row r="26" spans="1:26" ht="20.100000000000001" customHeight="1">
      <c r="A26" s="112"/>
      <c r="B26" s="112"/>
      <c r="C26" s="112"/>
      <c r="D26" s="112"/>
      <c r="E26" s="121"/>
      <c r="F26" s="121"/>
      <c r="G26" s="121">
        <v>20</v>
      </c>
      <c r="H26" s="121">
        <v>17.5</v>
      </c>
      <c r="I26" s="121">
        <v>15</v>
      </c>
      <c r="J26" s="121">
        <v>10</v>
      </c>
      <c r="K26" s="121">
        <v>5</v>
      </c>
      <c r="L26" s="121">
        <v>2.5</v>
      </c>
      <c r="M26" s="121">
        <v>0</v>
      </c>
      <c r="N26" s="121">
        <v>-1</v>
      </c>
      <c r="O26" s="121">
        <v>-5</v>
      </c>
      <c r="P26" s="121">
        <v>-10</v>
      </c>
      <c r="Q26" s="121">
        <v>-20</v>
      </c>
      <c r="R26" s="121">
        <v>-30</v>
      </c>
      <c r="S26" s="121">
        <v>-40</v>
      </c>
      <c r="T26" s="121">
        <v>-50</v>
      </c>
      <c r="U26" s="121">
        <v>-60</v>
      </c>
      <c r="V26" s="121">
        <v>-70</v>
      </c>
      <c r="W26" s="109">
        <v>-80</v>
      </c>
      <c r="X26" s="120" t="s">
        <v>14</v>
      </c>
      <c r="Y26" s="120" t="s">
        <v>231</v>
      </c>
      <c r="Z26" s="109"/>
    </row>
    <row r="27" spans="1:26" ht="20.100000000000001" customHeight="1">
      <c r="A27" s="112"/>
      <c r="B27" s="112"/>
      <c r="C27" s="112"/>
      <c r="D27" s="112"/>
      <c r="E27" s="119"/>
      <c r="F27" s="112"/>
      <c r="G27" s="112"/>
      <c r="H27" s="112"/>
      <c r="I27" s="112"/>
      <c r="J27" s="112"/>
      <c r="K27" s="112"/>
      <c r="L27" s="112"/>
      <c r="M27" s="112">
        <v>312.66000000000003</v>
      </c>
      <c r="N27" s="112">
        <v>314.12</v>
      </c>
      <c r="O27" s="112">
        <v>319.25</v>
      </c>
      <c r="P27" s="112">
        <v>325.05</v>
      </c>
      <c r="Q27" s="112">
        <v>334.8</v>
      </c>
      <c r="R27" s="112">
        <v>343.06</v>
      </c>
      <c r="S27" s="112">
        <v>349.8</v>
      </c>
      <c r="T27" s="112">
        <v>355.7</v>
      </c>
      <c r="U27" s="112">
        <v>360.73</v>
      </c>
      <c r="V27" s="118">
        <v>365.25</v>
      </c>
      <c r="W27" s="109">
        <v>369.24</v>
      </c>
      <c r="X27" s="111"/>
      <c r="Y27" s="110">
        <f xml:space="preserve"> -2.81356597742199E-10*B2^6 - 7.22299270394799E-08*B2^5 - 7.44788542306196E-06*B2^4 - 0.000436498735382429*B2^3 - 0.0215334520466968*B2^2 - 1.4126811273527*B2 + 312.689569582653</f>
        <v>306.66439214688035</v>
      </c>
      <c r="Z27" s="109">
        <f>IF($B$2&gt;0,X27,Y27)</f>
        <v>0</v>
      </c>
    </row>
    <row r="28" spans="1:26" ht="20.100000000000001" customHeight="1">
      <c r="A28" s="112"/>
      <c r="B28" s="112"/>
      <c r="C28" s="112"/>
      <c r="D28" s="112"/>
      <c r="E28" s="119"/>
      <c r="F28" s="112"/>
      <c r="G28" s="112"/>
      <c r="H28" s="112"/>
      <c r="I28" s="112"/>
      <c r="J28" s="112"/>
      <c r="K28" s="112"/>
      <c r="L28" s="112"/>
      <c r="M28" s="112">
        <v>285.64</v>
      </c>
      <c r="N28" s="112">
        <v>287.23</v>
      </c>
      <c r="O28" s="112">
        <v>292.8</v>
      </c>
      <c r="P28" s="112">
        <v>299.42</v>
      </c>
      <c r="Q28" s="112">
        <v>310.18</v>
      </c>
      <c r="R28" s="112">
        <v>318.94</v>
      </c>
      <c r="S28" s="112">
        <v>326.33999999999997</v>
      </c>
      <c r="T28" s="112">
        <v>332.56</v>
      </c>
      <c r="U28" s="112">
        <v>338.09</v>
      </c>
      <c r="V28" s="118">
        <v>342.88</v>
      </c>
      <c r="W28" s="109">
        <v>347.04</v>
      </c>
      <c r="X28" s="111"/>
      <c r="Y28" s="110">
        <f xml:space="preserve"> 1.02385201879163E-10*B2^6 + 2.23785972808255E-08*B2^5 + 1.11402267033434E-06*B2^4 - 0.000102735309198465*B2^3 - 0.0176607552123755*B2^2 - 1.53338697674371*B2 + 285.658352817598</f>
        <v>279.23596629229343</v>
      </c>
      <c r="Z28" s="109">
        <f>IF($B$2&gt;0,X28,Y28)</f>
        <v>0</v>
      </c>
    </row>
    <row r="29" spans="1:26" ht="20.100000000000001" customHeight="1">
      <c r="A29" s="112"/>
      <c r="B29" s="112"/>
      <c r="C29" s="112"/>
      <c r="D29" s="112"/>
      <c r="E29" s="117"/>
      <c r="F29" s="115"/>
      <c r="G29" s="115"/>
      <c r="H29" s="115"/>
      <c r="I29" s="115"/>
      <c r="J29" s="115"/>
      <c r="K29" s="115"/>
      <c r="L29" s="115"/>
      <c r="M29" s="115">
        <v>258.10000000000002</v>
      </c>
      <c r="N29" s="115">
        <v>259.81</v>
      </c>
      <c r="O29" s="115">
        <v>265.74</v>
      </c>
      <c r="P29" s="115">
        <v>272.61</v>
      </c>
      <c r="Q29" s="115">
        <v>284.14</v>
      </c>
      <c r="R29" s="115">
        <v>293.45</v>
      </c>
      <c r="S29" s="115">
        <v>301.26</v>
      </c>
      <c r="T29" s="115">
        <v>307.97000000000003</v>
      </c>
      <c r="U29" s="115">
        <v>313.72000000000003</v>
      </c>
      <c r="V29" s="125">
        <v>318.7</v>
      </c>
      <c r="W29" s="109">
        <v>323.11</v>
      </c>
      <c r="X29" s="111"/>
      <c r="Y29" s="110">
        <f xml:space="preserve"> 2.05963044362656E-10*B2^6 + 4.40749550467689E-08*B2^5 + 2.77528771541746E-06*B2^4 - 0.0000467480980574919*B2^3 - 0.0173721818422905*B2^2 - 1.61212575090576*B2 + 258.144934182201</f>
        <v>251.41624084085936</v>
      </c>
      <c r="Z29" s="109">
        <f>IF($B$2&gt;0,X29,Y29)</f>
        <v>0</v>
      </c>
    </row>
    <row r="30" spans="1:26" ht="20.100000000000001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</row>
    <row r="31" spans="1:26" ht="20.100000000000001" customHeight="1">
      <c r="A31" s="112"/>
      <c r="B31" s="112"/>
      <c r="C31" s="112"/>
      <c r="D31" s="112"/>
      <c r="E31" s="649" t="s">
        <v>232</v>
      </c>
      <c r="F31" s="650"/>
      <c r="G31" s="650"/>
      <c r="H31" s="650"/>
      <c r="I31" s="650"/>
      <c r="J31" s="650"/>
      <c r="K31" s="650"/>
      <c r="L31" s="650"/>
      <c r="M31" s="650"/>
      <c r="N31" s="650"/>
      <c r="O31" s="650"/>
      <c r="P31" s="650"/>
      <c r="Q31" s="650"/>
      <c r="R31" s="650"/>
      <c r="S31" s="650"/>
      <c r="T31" s="650"/>
      <c r="U31" s="650"/>
      <c r="V31" s="652"/>
      <c r="W31" s="112"/>
    </row>
    <row r="32" spans="1:26" ht="20.100000000000001" customHeight="1">
      <c r="A32" s="112"/>
      <c r="B32" s="112"/>
      <c r="C32" s="112"/>
      <c r="D32" s="112"/>
      <c r="E32" s="121"/>
      <c r="F32" s="121"/>
      <c r="G32" s="121">
        <v>20</v>
      </c>
      <c r="H32" s="121">
        <v>17.5</v>
      </c>
      <c r="I32" s="121">
        <v>15</v>
      </c>
      <c r="J32" s="121">
        <v>10</v>
      </c>
      <c r="K32" s="121">
        <v>5</v>
      </c>
      <c r="L32" s="121">
        <v>2.5</v>
      </c>
      <c r="M32" s="121">
        <v>0</v>
      </c>
      <c r="N32" s="121">
        <v>-1</v>
      </c>
      <c r="O32" s="121">
        <v>-5</v>
      </c>
      <c r="P32" s="121">
        <v>-10</v>
      </c>
      <c r="Q32" s="121">
        <v>-20</v>
      </c>
      <c r="R32" s="121">
        <v>-30</v>
      </c>
      <c r="S32" s="121">
        <v>-40</v>
      </c>
      <c r="T32" s="121">
        <v>-50</v>
      </c>
      <c r="U32" s="121">
        <v>-60</v>
      </c>
      <c r="V32" s="121">
        <v>-70</v>
      </c>
      <c r="W32" s="109">
        <v>-80</v>
      </c>
      <c r="X32" s="120" t="s">
        <v>14</v>
      </c>
      <c r="Y32" s="120" t="s">
        <v>231</v>
      </c>
      <c r="Z32" s="109" t="s">
        <v>230</v>
      </c>
    </row>
    <row r="33" spans="1:26" ht="20.100000000000001" customHeight="1">
      <c r="A33" s="112"/>
      <c r="B33" s="112"/>
      <c r="C33" s="112"/>
      <c r="D33" s="112"/>
      <c r="E33" s="119"/>
      <c r="F33" s="112"/>
      <c r="G33" s="112"/>
      <c r="H33" s="112"/>
      <c r="I33" s="112"/>
      <c r="J33" s="112"/>
      <c r="K33" s="112"/>
      <c r="L33" s="112"/>
      <c r="M33" s="112">
        <v>674</v>
      </c>
      <c r="N33" s="112">
        <v>673</v>
      </c>
      <c r="O33" s="112">
        <v>669</v>
      </c>
      <c r="P33" s="112">
        <v>665</v>
      </c>
      <c r="Q33" s="112">
        <v>658</v>
      </c>
      <c r="R33" s="112">
        <v>654</v>
      </c>
      <c r="S33" s="112">
        <v>649</v>
      </c>
      <c r="T33" s="112">
        <v>644</v>
      </c>
      <c r="U33" s="112">
        <v>640</v>
      </c>
      <c r="V33" s="118">
        <v>637</v>
      </c>
      <c r="W33" s="109">
        <v>634</v>
      </c>
      <c r="X33" s="111"/>
      <c r="Y33" s="110">
        <f xml:space="preserve"> -2.28399000233581E-09*B2^6 - 4.99811326826194E-07*B2^5 - 0.0000379783647397325*B2^4 - 0.00106880082270777*B2^3 + 0.00160047621500325*B2^2 + 1.01172578967453*B2 + 674.001006804465</f>
        <v>677.99487070655471</v>
      </c>
      <c r="Z33" s="109">
        <f>ABS(((IF($B$2&gt;0,X33,Y33))-1600/2)/1.875/36)*4</f>
        <v>47.407407407407412</v>
      </c>
    </row>
    <row r="34" spans="1:26" ht="20.100000000000001" customHeight="1">
      <c r="E34" s="119"/>
      <c r="F34" s="112"/>
      <c r="G34" s="112"/>
      <c r="H34" s="112"/>
      <c r="I34" s="112"/>
      <c r="J34" s="112"/>
      <c r="K34" s="112"/>
      <c r="L34" s="112"/>
      <c r="M34" s="112">
        <v>682</v>
      </c>
      <c r="N34" s="112">
        <v>681</v>
      </c>
      <c r="O34" s="112">
        <v>678</v>
      </c>
      <c r="P34" s="112">
        <v>673</v>
      </c>
      <c r="Q34" s="112">
        <v>666</v>
      </c>
      <c r="R34" s="112">
        <v>660</v>
      </c>
      <c r="S34" s="112">
        <v>655</v>
      </c>
      <c r="T34" s="112">
        <v>650</v>
      </c>
      <c r="U34" s="112">
        <v>646</v>
      </c>
      <c r="V34" s="118">
        <v>642</v>
      </c>
      <c r="W34" s="109">
        <v>638</v>
      </c>
      <c r="X34" s="111"/>
      <c r="Y34" s="110">
        <f xml:space="preserve"> -1.19194445025866E-09*B2^6 - 2.83473820722469E-07*B2^5 - 0.0000249948109789511*B2^4 - 0.000954221790678389*B2^3 - 0.00894838556695277*B2^2 + 0.849213944815347*B2 + 681.993487360756</f>
        <v>685.17940494533525</v>
      </c>
      <c r="Z34" s="109">
        <f>ABS(((IF($B$2&gt;0,X34,Y34))-1600/2)/1.875/36)*4</f>
        <v>47.407407407407412</v>
      </c>
    </row>
    <row r="35" spans="1:26" ht="20.100000000000001" customHeight="1">
      <c r="E35" s="117"/>
      <c r="F35" s="115"/>
      <c r="G35" s="115"/>
      <c r="H35" s="115"/>
      <c r="I35" s="115"/>
      <c r="J35" s="116"/>
      <c r="K35" s="116"/>
      <c r="L35" s="115"/>
      <c r="M35" s="115">
        <v>690</v>
      </c>
      <c r="N35" s="115">
        <v>689</v>
      </c>
      <c r="O35" s="115">
        <v>685</v>
      </c>
      <c r="P35" s="115">
        <v>681</v>
      </c>
      <c r="Q35" s="115">
        <v>673</v>
      </c>
      <c r="R35" s="115">
        <v>666</v>
      </c>
      <c r="S35" s="114">
        <v>660</v>
      </c>
      <c r="T35" s="114">
        <v>655</v>
      </c>
      <c r="U35" s="114">
        <v>651</v>
      </c>
      <c r="V35" s="113">
        <v>647</v>
      </c>
      <c r="W35" s="109">
        <v>643</v>
      </c>
      <c r="X35" s="111"/>
      <c r="Y35" s="110">
        <f xml:space="preserve"> 8.82359932515009E-10*B2^6 + 2.19984452959343E-07*B2^5 + 0.000020138818149773*B2^4 + 0.000844675591864075*B2^3 + 0.0210647389760084*B2^2 + 1.05856072842107*B2 + 689.997693647791</f>
        <v>694.62841603864319</v>
      </c>
      <c r="Z35" s="109">
        <f>ABS(((IF($B$2&gt;0,X35,Y35))-1600/2)/1.875/36)*4</f>
        <v>47.407407407407412</v>
      </c>
    </row>
    <row r="36" spans="1:26" ht="20.100000000000001" customHeight="1">
      <c r="Q36" s="112"/>
    </row>
    <row r="37" spans="1:26" ht="20.100000000000001" customHeight="1">
      <c r="Q37" s="112"/>
    </row>
    <row r="38" spans="1:26" s="162" customFormat="1" ht="20.100000000000001" customHeight="1">
      <c r="A38" s="163" t="s">
        <v>247</v>
      </c>
    </row>
    <row r="39" spans="1:26" ht="20.100000000000001" customHeight="1">
      <c r="A39" s="112"/>
      <c r="B39" s="112"/>
      <c r="C39" s="112"/>
      <c r="D39" s="112"/>
      <c r="E39" s="158" t="s">
        <v>246</v>
      </c>
      <c r="F39" s="158" t="s">
        <v>245</v>
      </c>
      <c r="G39" s="158" t="s">
        <v>8</v>
      </c>
      <c r="H39" s="158" t="s">
        <v>244</v>
      </c>
      <c r="I39" s="158" t="s">
        <v>243</v>
      </c>
      <c r="J39" s="158" t="s">
        <v>242</v>
      </c>
      <c r="K39" s="112"/>
      <c r="L39" s="112"/>
      <c r="M39" s="121" t="s">
        <v>39</v>
      </c>
      <c r="N39" s="121" t="s">
        <v>258</v>
      </c>
      <c r="O39" s="112"/>
      <c r="P39" s="121" t="s">
        <v>257</v>
      </c>
      <c r="Q39" s="112"/>
      <c r="R39" s="112"/>
      <c r="S39" s="121" t="s">
        <v>249</v>
      </c>
      <c r="U39" s="111" t="s">
        <v>5</v>
      </c>
      <c r="V39" s="111" t="s">
        <v>241</v>
      </c>
      <c r="W39" s="111" t="s">
        <v>240</v>
      </c>
      <c r="X39" s="111" t="s">
        <v>239</v>
      </c>
      <c r="Y39" s="112"/>
      <c r="Z39" s="112"/>
    </row>
    <row r="40" spans="1:26" ht="20.100000000000001" customHeight="1">
      <c r="A40" s="109" t="s">
        <v>238</v>
      </c>
      <c r="B40" s="148" t="e">
        <f>ABS(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40)</f>
        <v>#DIV/0!</v>
      </c>
      <c r="C40" s="148" t="e">
        <f>ABS(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40)</f>
        <v>#DIV/0!</v>
      </c>
      <c r="D40" s="150">
        <f>Index!$C$13</f>
        <v>1</v>
      </c>
      <c r="E40" s="266">
        <v>1</v>
      </c>
      <c r="F40" s="278">
        <f>Z46</f>
        <v>0</v>
      </c>
      <c r="G40" s="277">
        <f>Z64</f>
        <v>47.407407407407412</v>
      </c>
      <c r="H40" s="277">
        <f>Z52</f>
        <v>0</v>
      </c>
      <c r="I40" s="277">
        <f>Z58</f>
        <v>0</v>
      </c>
      <c r="J40" s="276">
        <f>0*($B$6-0.9)*($B$6-0.8)/((1-0.9)*(1-0.8))+0.3*($B$6-1)*($B$6-0.8)/((0.9-1)*(0.9-0.8))+4*($B$6-1)*($B$6-0.9)/((0.8-1)*(0.8-0.9))+$B$1-(ABS($B$5/0.2/20))</f>
        <v>235.09625</v>
      </c>
      <c r="K40" s="112"/>
      <c r="L40" s="112"/>
      <c r="M40" s="275">
        <v>100</v>
      </c>
      <c r="N40" s="275">
        <v>330.19</v>
      </c>
      <c r="O40" s="273">
        <f>P40*((M40-(100/360))-M41)*((M40-(100/360))-M42)/((M40-M41)*(M40-M42))+P41*((M40-(100/360))-M40)*((M40-(100/360))-M42)/((M41-M40)*(M41-M42))+P42*((M40-(100/360))-M40)*((M40-(100/360))-M41)/((M42-M40)*(M42-M41))</f>
        <v>330.99129243827161</v>
      </c>
      <c r="P40" s="112">
        <v>331.46</v>
      </c>
      <c r="Q40" s="274" t="e">
        <f>O40*($J41-P41)*($J41-P42)/((P40-P41)*(P40-P42))+O41*($J41-P40)*($J41-P42)/((P41-P40)*(P41-P42))+O42*($J41-P40)*($J41-P41)/((P42-P40)*(P42-P41))</f>
        <v>#DIV/0!</v>
      </c>
      <c r="R40" s="273" t="e">
        <f>N40*($J41-P41)*($J41-P42)/((P40-P41)*(P40-P42))+N41*($J41-P40)*($J41-P42)/((P41-P40)*(P41-P42))+N42*($J41-P40)*($J41-P41)/((P42-P40)*(P42-P41))</f>
        <v>#DIV/0!</v>
      </c>
      <c r="S40" s="272" t="e">
        <f>MOD(($B41/100)*-360,1)*-(($J41-Q40)/($J41-R40))+30</f>
        <v>#DIV/0!</v>
      </c>
      <c r="U40" s="111">
        <v>100</v>
      </c>
      <c r="V40" s="111">
        <v>331.46</v>
      </c>
      <c r="W40" s="111">
        <v>330.19</v>
      </c>
      <c r="X40" s="111"/>
      <c r="Y40" s="112"/>
      <c r="Z40" s="112"/>
    </row>
    <row r="41" spans="1:26" ht="20.100000000000001" customHeight="1">
      <c r="A41" s="109" t="s">
        <v>5</v>
      </c>
      <c r="B41" s="148" t="e">
        <f>100*(J41-F41)*(J41-F42)/((F40-F41)*(F40-F42))+90*(J41-F40)*(J41-F42)/((F41-F40)*(F41-F42))+80*(J41-F40)*(J41-F41)/((F42-F40)*(F42-F41))</f>
        <v>#DIV/0!</v>
      </c>
      <c r="C41" s="148" t="e">
        <f>100*(J42-F41)*(J42-F42)/((F40-F41)*(F40-F42))+90*(J42-F40)*(J42-F42)/((F41-F40)*(F41-F42))+80*(J42-F40)*(J42-F41)/((F42-F40)*(F42-F41))</f>
        <v>#DIV/0!</v>
      </c>
      <c r="D41" s="112"/>
      <c r="E41" s="266">
        <v>0.9</v>
      </c>
      <c r="F41" s="271">
        <f>Z47</f>
        <v>0</v>
      </c>
      <c r="G41" s="270">
        <f>Z65</f>
        <v>47.407407407407412</v>
      </c>
      <c r="H41" s="270">
        <f>Z53</f>
        <v>0</v>
      </c>
      <c r="I41" s="270">
        <f>Z59</f>
        <v>0</v>
      </c>
      <c r="J41" s="269" t="e">
        <f>J40-((COS(RADIANS($B$4)))*$B$3*(ABS((F40-H40)*(J40-H41)*(J40-H42)/((H40-H41)*(H40-H42))+(F41-H41)*(J40-H40)*(J40-H42)/((H41-H40)*(H41-H42))+(F42-H42)*(J40-H40)*(J40-H41)/((H42-H40)*(H42-H41)))/9))</f>
        <v>#DIV/0!</v>
      </c>
      <c r="K41" s="112"/>
      <c r="L41" s="112"/>
      <c r="M41" s="268">
        <v>90</v>
      </c>
      <c r="N41" s="268">
        <v>309.54000000000002</v>
      </c>
      <c r="O41" s="112">
        <f>P40*((M41-(100/360))-M41)*((M41-(100/360))-M42)/((M40-M41)*(M40-M42))+P41*((M41-(100/360))-M40)*((M41-(100/360))-M42)/((M41-M40)*(M41-M42))+P42*((M41-(100/360))-M40)*((M41-(100/360))-M41)/((M42-M40)*(M42-M41))</f>
        <v>310.10434799382722</v>
      </c>
      <c r="P41" s="112">
        <v>310.79000000000002</v>
      </c>
      <c r="Q41" s="117" t="e">
        <f>O40*($J42-P41)*($J42-P42)/((P40-P41)*(P40-P42))+O41*($J42-P40)*($J42-P42)/((P41-P40)*(P41-P42))+O42*($J42-P40)*($J42-P41)/((P42-P40)*(P42-P41))</f>
        <v>#DIV/0!</v>
      </c>
      <c r="R41" s="115" t="e">
        <f>N40*($J42-P41)*($J42-P42)/((P40-P41)*(P40-P42))+N41*($J42-P40)*($J42-P42)/((P41-P40)*(P41-P42))+N42*($J42-P40)*($J42-P41)/((P42-P40)*(P42-P41))</f>
        <v>#DIV/0!</v>
      </c>
      <c r="S41" s="267" t="e">
        <f>MOD((C41/100)*-360,1)*-(($J42-Q41)/($J42-R41))+30</f>
        <v>#DIV/0!</v>
      </c>
      <c r="U41" s="111">
        <v>90</v>
      </c>
      <c r="V41" s="111">
        <v>310.79000000000002</v>
      </c>
      <c r="W41" s="111">
        <v>309.54000000000002</v>
      </c>
      <c r="X41" s="111"/>
      <c r="Y41" s="112"/>
      <c r="Z41" s="112"/>
    </row>
    <row r="42" spans="1:26" ht="20.100000000000001" customHeight="1">
      <c r="A42" s="109" t="s">
        <v>237</v>
      </c>
      <c r="B42" s="156" t="e">
        <f>(360-ROUNDDOWN((1-(B41/100))*360,0))*B46/360</f>
        <v>#DIV/0!</v>
      </c>
      <c r="C42" s="156" t="e">
        <f>(360-ROUNDDOWN((1-(C41/100))*360,0))*C47/360</f>
        <v>#DIV/0!</v>
      </c>
      <c r="D42" s="112"/>
      <c r="E42" s="266">
        <v>0.8</v>
      </c>
      <c r="F42" s="265">
        <f>Z48</f>
        <v>0</v>
      </c>
      <c r="G42" s="264">
        <f>Z66</f>
        <v>47.407407407407412</v>
      </c>
      <c r="H42" s="264">
        <f>Z54</f>
        <v>0</v>
      </c>
      <c r="I42" s="264">
        <f>Z60</f>
        <v>0</v>
      </c>
      <c r="J42" s="263" t="e">
        <f>J40+((COS(RADIANS($B$4)))*$B$3*(ABS((F40-I40)*(J40-I41)*(J40-I42)/((I40-I41)*(I40-I42))+(F41-I41)*(J40-I40)*(J40-I42)/((I41-I40)*(I41-I42))+(F42-I42)*(J40-I40)*(J40-I41)/((I42-I40)*(I42-I41)))/9))</f>
        <v>#DIV/0!</v>
      </c>
      <c r="K42" s="112"/>
      <c r="L42" s="112"/>
      <c r="M42" s="262">
        <v>80</v>
      </c>
      <c r="N42" s="261">
        <v>281.27</v>
      </c>
      <c r="O42" s="115">
        <f>P40*((M42-(100/360))-M41)*((M42-(100/360))-M42)/((M40-M41)*(M40-M42))+P41*((M42-(100/360))-M40)*((M42-(100/360))-M42)/((M41-M40)*(M41-M42))+P42*((M42-(100/360))-M40)*((M42-(100/360))-M41)/((M42-M40)*(M42-M41))</f>
        <v>281.40740354938276</v>
      </c>
      <c r="P42" s="260">
        <v>282.31</v>
      </c>
      <c r="Q42" s="112"/>
      <c r="R42" s="112"/>
      <c r="S42" s="121" t="s">
        <v>248</v>
      </c>
      <c r="U42" s="111">
        <v>80</v>
      </c>
      <c r="V42" s="111">
        <v>282.31</v>
      </c>
      <c r="W42" s="111">
        <v>281.27</v>
      </c>
      <c r="X42" s="111"/>
      <c r="Y42" s="112"/>
      <c r="Z42" s="112"/>
    </row>
    <row r="43" spans="1:26" ht="20.100000000000001" customHeight="1">
      <c r="A43" s="109" t="s">
        <v>39</v>
      </c>
      <c r="B43" s="148" t="e">
        <f>S40</f>
        <v>#DIV/0!</v>
      </c>
      <c r="C43" s="148" t="e">
        <f>S41</f>
        <v>#DIV/0!</v>
      </c>
      <c r="D43" s="112"/>
      <c r="W43" s="112"/>
      <c r="X43" s="112"/>
      <c r="Y43" s="112"/>
      <c r="Z43" s="112"/>
    </row>
    <row r="44" spans="1:26" ht="20.100000000000001" customHeight="1">
      <c r="A44" s="109" t="s">
        <v>195</v>
      </c>
      <c r="B44" s="148" t="e">
        <f>B40/4</f>
        <v>#DIV/0!</v>
      </c>
      <c r="C44" s="148" t="e">
        <f>C40/4</f>
        <v>#DIV/0!</v>
      </c>
      <c r="D44" s="112"/>
      <c r="E44" s="653" t="s">
        <v>236</v>
      </c>
      <c r="F44" s="654"/>
      <c r="G44" s="654"/>
      <c r="H44" s="654"/>
      <c r="I44" s="654"/>
      <c r="J44" s="654"/>
      <c r="K44" s="646"/>
      <c r="L44" s="654"/>
      <c r="M44" s="654"/>
      <c r="N44" s="654"/>
      <c r="O44" s="654"/>
      <c r="P44" s="654"/>
      <c r="Q44" s="654"/>
      <c r="R44" s="654"/>
      <c r="S44" s="654"/>
      <c r="T44" s="654"/>
      <c r="U44" s="654"/>
      <c r="V44" s="655"/>
      <c r="W44" s="112"/>
    </row>
    <row r="45" spans="1:26" ht="20.100000000000001" customHeight="1">
      <c r="A45" s="112"/>
      <c r="B45" s="112"/>
      <c r="C45" s="112"/>
      <c r="D45" s="112"/>
      <c r="E45" s="170"/>
      <c r="F45" s="121"/>
      <c r="G45" s="121">
        <v>20</v>
      </c>
      <c r="H45" s="121">
        <v>17.5</v>
      </c>
      <c r="I45" s="121">
        <v>15</v>
      </c>
      <c r="J45" s="122">
        <v>10</v>
      </c>
      <c r="K45" s="122">
        <v>5</v>
      </c>
      <c r="L45" s="122">
        <v>1</v>
      </c>
      <c r="M45" s="122">
        <v>0</v>
      </c>
      <c r="N45" s="122">
        <v>-1</v>
      </c>
      <c r="O45" s="122">
        <v>-5</v>
      </c>
      <c r="P45" s="122">
        <v>-10</v>
      </c>
      <c r="Q45" s="122">
        <v>-20</v>
      </c>
      <c r="R45" s="121">
        <v>-30</v>
      </c>
      <c r="S45" s="121">
        <v>-40</v>
      </c>
      <c r="T45" s="121">
        <v>-50</v>
      </c>
      <c r="U45" s="121">
        <v>-60</v>
      </c>
      <c r="V45" s="169">
        <v>-70</v>
      </c>
      <c r="W45" s="259">
        <v>-80</v>
      </c>
      <c r="X45" s="120" t="s">
        <v>14</v>
      </c>
      <c r="Y45" s="120" t="s">
        <v>231</v>
      </c>
      <c r="Z45" s="109"/>
    </row>
    <row r="46" spans="1:26" ht="20.100000000000001" customHeight="1">
      <c r="A46" s="112"/>
      <c r="B46" s="644">
        <v>306</v>
      </c>
      <c r="C46" s="644"/>
      <c r="D46" s="112"/>
      <c r="E46" s="138"/>
      <c r="F46" s="112"/>
      <c r="G46" s="112"/>
      <c r="H46" s="112"/>
      <c r="I46" s="112"/>
      <c r="J46" s="142"/>
      <c r="L46" s="142"/>
      <c r="M46" s="141">
        <v>331.46</v>
      </c>
      <c r="N46" s="141">
        <v>332.79</v>
      </c>
      <c r="O46" s="141">
        <v>337.78</v>
      </c>
      <c r="P46" s="141">
        <v>343.44</v>
      </c>
      <c r="Q46" s="141">
        <v>353.21</v>
      </c>
      <c r="R46" s="130">
        <v>361.27</v>
      </c>
      <c r="S46" s="130">
        <v>368.07</v>
      </c>
      <c r="T46" s="130">
        <v>373.96</v>
      </c>
      <c r="U46" s="130">
        <v>379.17</v>
      </c>
      <c r="V46" s="136">
        <v>383.68</v>
      </c>
      <c r="W46" s="259">
        <v>387.7</v>
      </c>
      <c r="X46" s="111"/>
      <c r="Y46" s="110">
        <f xml:space="preserve"> 1.13871013746741E-10*B2^6 + 2.56569561013498E-08*B2^5 + 1.68087147034424E-06*B2^4 - 0.00003773230547921*B2^3 - 0.013062663663078*B2^2 - 1.32354529672102*B2 + 331.470883540467</f>
        <v>325.96574190965816</v>
      </c>
      <c r="Z46" s="109">
        <f>IF($B$2&gt;0,X46,Y46)</f>
        <v>0</v>
      </c>
    </row>
    <row r="47" spans="1:26" ht="20.100000000000001" customHeight="1">
      <c r="A47" s="112"/>
      <c r="B47" s="109">
        <v>100</v>
      </c>
      <c r="C47" s="109">
        <f>$B$46*B47/100</f>
        <v>306</v>
      </c>
      <c r="D47" s="112"/>
      <c r="E47" s="138"/>
      <c r="F47" s="112"/>
      <c r="G47" s="112"/>
      <c r="H47" s="112"/>
      <c r="I47" s="112"/>
      <c r="M47" s="137">
        <v>310.79000000000002</v>
      </c>
      <c r="N47" s="137">
        <v>312.23</v>
      </c>
      <c r="O47" s="137">
        <v>317.45999999999998</v>
      </c>
      <c r="P47" s="137">
        <v>323.35000000000002</v>
      </c>
      <c r="Q47" s="137">
        <v>333.4</v>
      </c>
      <c r="R47" s="130">
        <v>341.68</v>
      </c>
      <c r="S47" s="130">
        <v>348.56</v>
      </c>
      <c r="T47" s="130">
        <v>354.69</v>
      </c>
      <c r="U47" s="130">
        <v>359.94</v>
      </c>
      <c r="V47" s="136">
        <v>364.55</v>
      </c>
      <c r="W47" s="259">
        <v>368.69</v>
      </c>
      <c r="X47" s="111"/>
      <c r="Y47" s="110">
        <f xml:space="preserve"> 1.37895006177557E-10*B2^6 + 2.72746629170761E-08*B2^5 + 1.27542812267123E-06*B2^4 - 0.0000941742963220804*B2^3 - 0.0158801346309474*B2^2 - 1.40341957012788*B2 + 310.815536380702</f>
        <v>304.94210379480285</v>
      </c>
      <c r="Z47" s="109">
        <f>IF($B$2&gt;0,X47,Y47)</f>
        <v>0</v>
      </c>
    </row>
    <row r="48" spans="1:26" ht="20.100000000000001" customHeight="1">
      <c r="A48" s="112"/>
      <c r="B48" s="109">
        <v>90</v>
      </c>
      <c r="C48" s="109">
        <f>$B$46*B48/100</f>
        <v>275.39999999999998</v>
      </c>
      <c r="D48" s="112"/>
      <c r="E48" s="135"/>
      <c r="F48" s="116"/>
      <c r="G48" s="116"/>
      <c r="H48" s="116"/>
      <c r="I48" s="116"/>
      <c r="J48" s="134"/>
      <c r="K48" s="134"/>
      <c r="L48" s="134"/>
      <c r="M48" s="133">
        <v>282.31</v>
      </c>
      <c r="N48" s="133">
        <v>283.89999999999998</v>
      </c>
      <c r="O48" s="133">
        <v>289.58</v>
      </c>
      <c r="P48" s="133">
        <v>296.13</v>
      </c>
      <c r="Q48" s="133">
        <v>307.05</v>
      </c>
      <c r="R48" s="132">
        <v>316.02</v>
      </c>
      <c r="S48" s="132">
        <v>323.61</v>
      </c>
      <c r="T48" s="132">
        <v>329.94</v>
      </c>
      <c r="U48" s="132">
        <v>335.7</v>
      </c>
      <c r="V48" s="131">
        <v>340.62</v>
      </c>
      <c r="W48" s="259">
        <v>344.91</v>
      </c>
      <c r="X48" s="111"/>
      <c r="Y48" s="110">
        <f xml:space="preserve"> -5.31226104771854E-11*B2^6 - 1.41686690158238E-08*B2^5 - 2.05809429587589E-06*B2^4 - 0.000223962806614963*B2^3 - 0.0194203199421281*B2^2 - 1.54994357788382*B2 + 282.330809090141</f>
        <v>275.80543444146127</v>
      </c>
      <c r="Z48" s="109">
        <f>IF($B$2&gt;0,X48,Y48)</f>
        <v>0</v>
      </c>
    </row>
    <row r="49" spans="1:26" ht="20.100000000000001" customHeight="1">
      <c r="A49" s="112"/>
      <c r="B49" s="109">
        <v>80</v>
      </c>
      <c r="C49" s="109">
        <f>$B$46*B49/100</f>
        <v>244.8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</row>
    <row r="50" spans="1:26" ht="20.100000000000001" customHeight="1">
      <c r="A50" s="112"/>
      <c r="D50" s="112"/>
      <c r="E50" s="649" t="s">
        <v>235</v>
      </c>
      <c r="F50" s="650"/>
      <c r="G50" s="650"/>
      <c r="H50" s="650"/>
      <c r="I50" s="650"/>
      <c r="J50" s="650"/>
      <c r="K50" s="650"/>
      <c r="L50" s="650"/>
      <c r="M50" s="650"/>
      <c r="N50" s="650"/>
      <c r="O50" s="650"/>
      <c r="P50" s="650"/>
      <c r="Q50" s="650"/>
      <c r="R50" s="650"/>
      <c r="S50" s="650"/>
      <c r="T50" s="650"/>
      <c r="U50" s="650"/>
      <c r="V50" s="652"/>
      <c r="W50" s="112"/>
    </row>
    <row r="51" spans="1:26" ht="20.100000000000001" customHeight="1">
      <c r="A51" s="112"/>
      <c r="D51" s="112"/>
      <c r="E51" s="121"/>
      <c r="F51" s="121"/>
      <c r="G51" s="121">
        <v>20</v>
      </c>
      <c r="H51" s="121">
        <v>17.5</v>
      </c>
      <c r="I51" s="121">
        <v>15</v>
      </c>
      <c r="J51" s="121">
        <v>10</v>
      </c>
      <c r="K51" s="121">
        <v>5</v>
      </c>
      <c r="L51" s="121">
        <v>2.5</v>
      </c>
      <c r="M51" s="121">
        <v>0</v>
      </c>
      <c r="N51" s="121">
        <v>-1</v>
      </c>
      <c r="O51" s="121">
        <v>-5</v>
      </c>
      <c r="P51" s="121">
        <v>-10</v>
      </c>
      <c r="Q51" s="121">
        <v>-20</v>
      </c>
      <c r="R51" s="121">
        <v>-30</v>
      </c>
      <c r="S51" s="121">
        <v>-40</v>
      </c>
      <c r="T51" s="121">
        <v>-50</v>
      </c>
      <c r="U51" s="121">
        <v>-60</v>
      </c>
      <c r="V51" s="121">
        <v>-70</v>
      </c>
      <c r="W51" s="109">
        <v>-80</v>
      </c>
      <c r="X51" s="120" t="s">
        <v>14</v>
      </c>
      <c r="Y51" s="120" t="s">
        <v>231</v>
      </c>
      <c r="Z51" s="109"/>
    </row>
    <row r="52" spans="1:26" ht="20.100000000000001" customHeight="1">
      <c r="A52" s="112"/>
      <c r="D52" s="112"/>
      <c r="E52" s="119"/>
      <c r="F52" s="112"/>
      <c r="G52" s="112"/>
      <c r="H52" s="112"/>
      <c r="I52" s="112"/>
      <c r="J52" s="112"/>
      <c r="K52" s="112"/>
      <c r="L52" s="112"/>
      <c r="M52" s="130">
        <v>344.36</v>
      </c>
      <c r="N52" s="130">
        <v>345.71</v>
      </c>
      <c r="O52" s="130">
        <v>350.85</v>
      </c>
      <c r="P52" s="130">
        <v>356.73</v>
      </c>
      <c r="Q52" s="130">
        <v>366.95</v>
      </c>
      <c r="R52" s="130">
        <v>375.32</v>
      </c>
      <c r="S52" s="130">
        <v>382.44</v>
      </c>
      <c r="T52" s="130">
        <v>388.56</v>
      </c>
      <c r="U52" s="130">
        <v>394</v>
      </c>
      <c r="V52" s="129">
        <v>398.78</v>
      </c>
      <c r="W52" s="109">
        <v>402.92</v>
      </c>
      <c r="X52" s="111"/>
      <c r="Y52" s="110">
        <f xml:space="preserve"> 1.06732196865356E-10*B2^6 + 2.84102616709969E-08*B2^5 + 2.41310100324021E-06*B2^4 + 0.0000164155061526117*B2^3 - 0.0117421273737932*B2^2 - 1.35481988522406*B2 + 344.363665520475</f>
        <v>338.75820981713173</v>
      </c>
      <c r="Z52" s="109">
        <f>IF($B$2&gt;0,X52,Y52)</f>
        <v>0</v>
      </c>
    </row>
    <row r="53" spans="1:26" ht="20.100000000000001" customHeight="1">
      <c r="A53" s="112"/>
      <c r="D53" s="112"/>
      <c r="E53" s="119"/>
      <c r="F53" s="112"/>
      <c r="G53" s="112"/>
      <c r="H53" s="112"/>
      <c r="I53" s="112"/>
      <c r="J53" s="112"/>
      <c r="K53" s="112"/>
      <c r="L53" s="112"/>
      <c r="M53" s="130">
        <v>323.94</v>
      </c>
      <c r="N53" s="130">
        <v>325.33999999999997</v>
      </c>
      <c r="O53" s="130">
        <v>330.97</v>
      </c>
      <c r="P53" s="130">
        <v>336.91</v>
      </c>
      <c r="Q53" s="130">
        <v>347.56</v>
      </c>
      <c r="R53" s="130">
        <v>356.16</v>
      </c>
      <c r="S53" s="130">
        <v>363.34</v>
      </c>
      <c r="T53" s="130">
        <v>369.72</v>
      </c>
      <c r="U53" s="130">
        <v>375.23</v>
      </c>
      <c r="V53" s="129">
        <v>380.21</v>
      </c>
      <c r="W53" s="109">
        <v>384.53</v>
      </c>
      <c r="X53" s="111"/>
      <c r="Y53" s="110">
        <f xml:space="preserve"> -3.36730825514775E-11*B2^6 - 8.3412081408607E-09*B2^5 - 1.36991958288313E-06*B2^4 - 0.000181959178135571*B2^3 - 0.0175545453363952*B2^2 - 1.46734588706568*B2 + 323.934611013639</f>
        <v>317.77234997385801</v>
      </c>
      <c r="Z53" s="109">
        <f>IF($B$2&gt;0,X53,Y53)</f>
        <v>0</v>
      </c>
    </row>
    <row r="54" spans="1:26" ht="20.100000000000001" customHeight="1">
      <c r="A54" s="112"/>
      <c r="B54" s="112"/>
      <c r="C54" s="112"/>
      <c r="D54" s="112"/>
      <c r="E54" s="117"/>
      <c r="F54" s="115"/>
      <c r="G54" s="115"/>
      <c r="H54" s="115"/>
      <c r="I54" s="115"/>
      <c r="J54" s="115"/>
      <c r="K54" s="115"/>
      <c r="L54" s="115"/>
      <c r="M54" s="128">
        <v>295.31</v>
      </c>
      <c r="N54" s="128">
        <v>297.04000000000002</v>
      </c>
      <c r="O54" s="128">
        <v>303.10000000000002</v>
      </c>
      <c r="P54" s="128">
        <v>309.77</v>
      </c>
      <c r="Q54" s="128">
        <v>321.27</v>
      </c>
      <c r="R54" s="128">
        <v>330.56</v>
      </c>
      <c r="S54" s="128">
        <v>338.49</v>
      </c>
      <c r="T54" s="128">
        <v>345.28</v>
      </c>
      <c r="U54" s="128">
        <v>351.2</v>
      </c>
      <c r="V54" s="127">
        <v>356.36</v>
      </c>
      <c r="W54" s="109">
        <v>361.01</v>
      </c>
      <c r="X54" s="111"/>
      <c r="Y54" s="110">
        <f xml:space="preserve"> -4.31215579736743E-11*B2^6 - 1.98247099986171E-08*B2^5 - 3.46886367996735E-06*B2^4 - 0.000333699582988345*B2^3 - 0.0232398112432577*B2^2 - 1.64945387240095*B2 + 295.360460154472</f>
        <v>288.3685424054338</v>
      </c>
      <c r="Z54" s="109">
        <f>IF($B$2&gt;0,X54,Y54)</f>
        <v>0</v>
      </c>
    </row>
    <row r="55" spans="1:26" ht="20.100000000000001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</row>
    <row r="56" spans="1:26" ht="20.100000000000001" customHeight="1">
      <c r="A56" s="112"/>
      <c r="B56" s="112"/>
      <c r="C56" s="112"/>
      <c r="D56" s="112"/>
      <c r="E56" s="649" t="s">
        <v>233</v>
      </c>
      <c r="F56" s="650"/>
      <c r="G56" s="650"/>
      <c r="H56" s="650"/>
      <c r="I56" s="650"/>
      <c r="J56" s="650"/>
      <c r="K56" s="650"/>
      <c r="L56" s="650"/>
      <c r="M56" s="650"/>
      <c r="N56" s="650"/>
      <c r="O56" s="650"/>
      <c r="P56" s="650"/>
      <c r="Q56" s="650"/>
      <c r="R56" s="650"/>
      <c r="S56" s="650"/>
      <c r="T56" s="650"/>
      <c r="U56" s="650"/>
      <c r="V56" s="652"/>
      <c r="W56" s="112"/>
    </row>
    <row r="57" spans="1:26" ht="20.100000000000001" customHeight="1">
      <c r="A57" s="112"/>
      <c r="B57" s="112"/>
      <c r="C57" s="112"/>
      <c r="D57" s="112"/>
      <c r="E57" s="121"/>
      <c r="F57" s="121"/>
      <c r="G57" s="121">
        <v>20</v>
      </c>
      <c r="H57" s="121">
        <v>17.5</v>
      </c>
      <c r="I57" s="121">
        <v>15</v>
      </c>
      <c r="J57" s="121">
        <v>10</v>
      </c>
      <c r="K57" s="121">
        <v>5</v>
      </c>
      <c r="L57" s="121">
        <v>2.5</v>
      </c>
      <c r="M57" s="121">
        <v>0</v>
      </c>
      <c r="N57" s="121">
        <v>-1</v>
      </c>
      <c r="O57" s="121">
        <v>-5</v>
      </c>
      <c r="P57" s="121">
        <v>-10</v>
      </c>
      <c r="Q57" s="121">
        <v>-20</v>
      </c>
      <c r="R57" s="121">
        <v>-30</v>
      </c>
      <c r="S57" s="121">
        <v>-40</v>
      </c>
      <c r="T57" s="121">
        <v>-50</v>
      </c>
      <c r="U57" s="121">
        <v>-60</v>
      </c>
      <c r="V57" s="121">
        <v>-70</v>
      </c>
      <c r="W57" s="109">
        <v>-80</v>
      </c>
      <c r="X57" s="120" t="s">
        <v>14</v>
      </c>
      <c r="Y57" s="120" t="s">
        <v>231</v>
      </c>
      <c r="Z57" s="109"/>
    </row>
    <row r="58" spans="1:26" ht="20.100000000000001" customHeight="1">
      <c r="A58" s="112"/>
      <c r="B58" s="112"/>
      <c r="C58" s="112"/>
      <c r="D58" s="112"/>
      <c r="E58" s="119"/>
      <c r="F58" s="112"/>
      <c r="G58" s="112"/>
      <c r="H58" s="112"/>
      <c r="I58" s="112"/>
      <c r="J58" s="112"/>
      <c r="K58" s="112"/>
      <c r="L58" s="112"/>
      <c r="M58" s="112">
        <v>317.75</v>
      </c>
      <c r="N58" s="112">
        <v>318.95</v>
      </c>
      <c r="O58" s="112">
        <v>323.89999999999998</v>
      </c>
      <c r="P58" s="112">
        <v>329.34</v>
      </c>
      <c r="Q58" s="112">
        <v>338.71</v>
      </c>
      <c r="R58" s="112">
        <v>346.41</v>
      </c>
      <c r="S58" s="112">
        <v>352.79</v>
      </c>
      <c r="T58" s="112">
        <v>358.51</v>
      </c>
      <c r="U58" s="112">
        <v>363.33</v>
      </c>
      <c r="V58" s="118">
        <v>367.59</v>
      </c>
      <c r="W58" s="109">
        <v>371.49</v>
      </c>
      <c r="X58" s="111"/>
      <c r="Y58" s="110">
        <f xml:space="preserve"> 2.11175467303842E-10*B2^6 + 4.41997548145112E-08*B2^5 + 2.82681661067929E-06*B2^4 - 0.00001854885025665*B2^3 - 0.0133628469739904*B2^2 - 1.29355253569793*B2 + 317.720747324223</f>
        <v>312.33231429400701</v>
      </c>
      <c r="Z58" s="109">
        <f>IF($B$2&gt;0,X58,Y58)</f>
        <v>0</v>
      </c>
    </row>
    <row r="59" spans="1:26" ht="20.100000000000001" customHeight="1">
      <c r="A59" s="112"/>
      <c r="B59" s="112"/>
      <c r="C59" s="112"/>
      <c r="D59" s="112"/>
      <c r="E59" s="119"/>
      <c r="F59" s="112"/>
      <c r="G59" s="112"/>
      <c r="H59" s="112"/>
      <c r="I59" s="112"/>
      <c r="J59" s="112"/>
      <c r="K59" s="112"/>
      <c r="L59" s="112"/>
      <c r="M59" s="112">
        <v>296.76</v>
      </c>
      <c r="N59" s="112">
        <v>298.37</v>
      </c>
      <c r="O59" s="112">
        <v>303.45999999999998</v>
      </c>
      <c r="P59" s="112">
        <v>309.04000000000002</v>
      </c>
      <c r="Q59" s="112">
        <v>318.64</v>
      </c>
      <c r="R59" s="112">
        <v>326.57</v>
      </c>
      <c r="S59" s="112">
        <v>333.21</v>
      </c>
      <c r="T59" s="112">
        <v>338.86</v>
      </c>
      <c r="U59" s="112">
        <v>343.76</v>
      </c>
      <c r="V59" s="118">
        <v>348.22</v>
      </c>
      <c r="W59" s="109">
        <v>352.14</v>
      </c>
      <c r="X59" s="111"/>
      <c r="Y59" s="110">
        <f xml:space="preserve"> -5.39920514981002E-10*B2^6 - 1.35829870892556E-07*B2^5 - 0.0000134040192064644*B2^4 - 0.000702376663987536*B2^3 - 0.0271714503348619*B2^2 - 1.4380723338536*B2 + 296.851080131855</f>
        <v>290.6155227543685</v>
      </c>
      <c r="Z59" s="109">
        <f>IF($B$2&gt;0,X59,Y59)</f>
        <v>0</v>
      </c>
    </row>
    <row r="60" spans="1:26" ht="20.100000000000001" customHeight="1">
      <c r="A60" s="112"/>
      <c r="B60" s="112"/>
      <c r="C60" s="112"/>
      <c r="D60" s="112"/>
      <c r="E60" s="117"/>
      <c r="F60" s="115"/>
      <c r="G60" s="115"/>
      <c r="H60" s="115"/>
      <c r="I60" s="115"/>
      <c r="J60" s="115"/>
      <c r="K60" s="115"/>
      <c r="L60" s="115"/>
      <c r="M60" s="115">
        <v>268.52</v>
      </c>
      <c r="N60" s="115">
        <v>269.91000000000003</v>
      </c>
      <c r="O60" s="115">
        <v>275.49</v>
      </c>
      <c r="P60" s="115">
        <v>281.54000000000002</v>
      </c>
      <c r="Q60" s="115">
        <v>292</v>
      </c>
      <c r="R60" s="115">
        <v>300.58999999999997</v>
      </c>
      <c r="S60" s="115">
        <v>307.73</v>
      </c>
      <c r="T60" s="115">
        <v>313.93</v>
      </c>
      <c r="U60" s="115">
        <v>319.08</v>
      </c>
      <c r="V60" s="125">
        <v>323.77999999999997</v>
      </c>
      <c r="W60" s="109">
        <v>327.64</v>
      </c>
      <c r="X60" s="111"/>
      <c r="Y60" s="110">
        <f xml:space="preserve"> -2.74423766696841E-10*B2^6 - 6.79152884486278E-08*B2^5 - 6.87126335607857E-06*B2^4 - 0.000410639072839558*B2^3 - 0.0218094151865671*B2^2 - 1.49158204832565*B2 + 268.489589918085</f>
        <v>262.14620046842134</v>
      </c>
      <c r="Z60" s="109">
        <f>IF($B$2&gt;0,X60,Y60)</f>
        <v>0</v>
      </c>
    </row>
    <row r="61" spans="1:26" ht="20.100000000000001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</row>
    <row r="62" spans="1:26" ht="20.100000000000001" customHeight="1">
      <c r="A62" s="112"/>
      <c r="B62" s="112"/>
      <c r="C62" s="112"/>
      <c r="D62" s="112"/>
      <c r="E62" s="649" t="s">
        <v>232</v>
      </c>
      <c r="F62" s="650"/>
      <c r="G62" s="650"/>
      <c r="H62" s="650"/>
      <c r="I62" s="650"/>
      <c r="J62" s="650"/>
      <c r="K62" s="650"/>
      <c r="L62" s="650"/>
      <c r="M62" s="650"/>
      <c r="N62" s="650"/>
      <c r="O62" s="650"/>
      <c r="P62" s="650"/>
      <c r="Q62" s="650"/>
      <c r="R62" s="650"/>
      <c r="S62" s="650"/>
      <c r="T62" s="650"/>
      <c r="U62" s="650"/>
      <c r="V62" s="652"/>
      <c r="W62" s="112"/>
    </row>
    <row r="63" spans="1:26" ht="20.100000000000001" customHeight="1">
      <c r="A63" s="112"/>
      <c r="B63" s="112"/>
      <c r="C63" s="112"/>
      <c r="D63" s="112"/>
      <c r="E63" s="121"/>
      <c r="F63" s="121"/>
      <c r="G63" s="121">
        <v>20</v>
      </c>
      <c r="H63" s="121">
        <v>17.5</v>
      </c>
      <c r="I63" s="121">
        <v>15</v>
      </c>
      <c r="J63" s="121">
        <v>10</v>
      </c>
      <c r="K63" s="121">
        <v>5</v>
      </c>
      <c r="L63" s="121">
        <v>2.5</v>
      </c>
      <c r="M63" s="121">
        <v>0</v>
      </c>
      <c r="N63" s="121">
        <v>-1</v>
      </c>
      <c r="O63" s="121">
        <v>-5</v>
      </c>
      <c r="P63" s="121">
        <v>-10</v>
      </c>
      <c r="Q63" s="121">
        <v>-20</v>
      </c>
      <c r="R63" s="121">
        <v>-30</v>
      </c>
      <c r="S63" s="121">
        <v>-40</v>
      </c>
      <c r="T63" s="121">
        <v>-50</v>
      </c>
      <c r="U63" s="121">
        <v>-60</v>
      </c>
      <c r="V63" s="121">
        <v>-70</v>
      </c>
      <c r="W63" s="109">
        <v>-80</v>
      </c>
      <c r="X63" s="120" t="s">
        <v>14</v>
      </c>
      <c r="Y63" s="120" t="s">
        <v>231</v>
      </c>
      <c r="Z63" s="109" t="s">
        <v>230</v>
      </c>
    </row>
    <row r="64" spans="1:26" ht="20.100000000000001" customHeight="1">
      <c r="A64" s="112"/>
      <c r="B64" s="112"/>
      <c r="C64" s="112"/>
      <c r="D64" s="112"/>
      <c r="E64" s="119"/>
      <c r="F64" s="112"/>
      <c r="G64" s="112"/>
      <c r="H64" s="112"/>
      <c r="I64" s="112"/>
      <c r="J64" s="112"/>
      <c r="K64" s="112"/>
      <c r="L64" s="112"/>
      <c r="M64" s="112">
        <v>676</v>
      </c>
      <c r="N64" s="112">
        <v>675</v>
      </c>
      <c r="O64" s="112">
        <v>673</v>
      </c>
      <c r="P64" s="112">
        <v>669</v>
      </c>
      <c r="Q64" s="112">
        <v>663</v>
      </c>
      <c r="R64" s="112">
        <v>659</v>
      </c>
      <c r="S64" s="112">
        <v>653</v>
      </c>
      <c r="T64" s="112">
        <v>648</v>
      </c>
      <c r="U64" s="112">
        <v>645</v>
      </c>
      <c r="V64" s="118">
        <v>642</v>
      </c>
      <c r="W64" s="109">
        <v>638</v>
      </c>
      <c r="X64" s="111"/>
      <c r="Y64" s="110">
        <f xml:space="preserve"> -2.03528045632229E-09*B2^6 - 4.22053774873365E-07*B2^5 - 0.0000310576521695971*B2^4 - 0.00095163800764908*B2^3 - 0.00769537042754109*B2^2 + 0.666245737822464*B2 + 675.945631469134</f>
        <v>678.41819238256403</v>
      </c>
      <c r="Z64" s="109">
        <f>ABS(((IF($B$2&gt;0,X64,Y64))-1600/2)/1.875/36)*4</f>
        <v>47.407407407407412</v>
      </c>
    </row>
    <row r="65" spans="5:26" ht="20.100000000000001" customHeight="1">
      <c r="E65" s="119"/>
      <c r="F65" s="112"/>
      <c r="G65" s="112"/>
      <c r="H65" s="112"/>
      <c r="I65" s="112"/>
      <c r="J65" s="112"/>
      <c r="K65" s="112"/>
      <c r="L65" s="112"/>
      <c r="M65" s="112">
        <v>681</v>
      </c>
      <c r="N65" s="112">
        <v>680</v>
      </c>
      <c r="O65" s="112">
        <v>677</v>
      </c>
      <c r="P65" s="112">
        <v>673</v>
      </c>
      <c r="Q65" s="112">
        <v>667</v>
      </c>
      <c r="R65" s="112">
        <v>662</v>
      </c>
      <c r="S65" s="112">
        <v>656</v>
      </c>
      <c r="T65" s="112">
        <v>652</v>
      </c>
      <c r="U65" s="112">
        <v>648</v>
      </c>
      <c r="V65" s="118">
        <v>645</v>
      </c>
      <c r="W65" s="109">
        <v>642</v>
      </c>
      <c r="X65" s="111"/>
      <c r="Y65" s="110">
        <f xml:space="preserve"> 1.33850945084613E-10*B2^6 + 6.74678785894667E-08*B2^5 + 0.0000102294141279824*B2^4 + 0.000666358059461913*B2^3 + 0.0227243948710907*B2^2 + 0.9535801324364*B2 + 681.014406925227</f>
        <v>685.23765305409358</v>
      </c>
      <c r="Z65" s="109">
        <f>ABS(((IF($B$2&gt;0,X65,Y65))-1600/2)/1.875/36)*4</f>
        <v>47.407407407407412</v>
      </c>
    </row>
    <row r="66" spans="5:26" ht="20.100000000000001" customHeight="1">
      <c r="E66" s="117"/>
      <c r="F66" s="115"/>
      <c r="G66" s="115"/>
      <c r="H66" s="115"/>
      <c r="I66" s="115"/>
      <c r="J66" s="116"/>
      <c r="K66" s="116"/>
      <c r="L66" s="115"/>
      <c r="M66" s="115">
        <v>689</v>
      </c>
      <c r="N66" s="115">
        <v>688</v>
      </c>
      <c r="O66" s="115">
        <v>684</v>
      </c>
      <c r="P66" s="115">
        <v>680</v>
      </c>
      <c r="Q66" s="115">
        <v>673</v>
      </c>
      <c r="R66" s="115">
        <v>667</v>
      </c>
      <c r="S66" s="114">
        <v>662</v>
      </c>
      <c r="T66" s="114">
        <v>657</v>
      </c>
      <c r="U66" s="114">
        <v>653</v>
      </c>
      <c r="V66" s="113">
        <v>649</v>
      </c>
      <c r="W66" s="109">
        <v>646</v>
      </c>
      <c r="X66" s="111"/>
      <c r="Y66" s="110">
        <f xml:space="preserve"> 4.85375002343136E-10*B2^6 + 1.22470367236449E-07*B2^5 + 0.0000125001560751237*B2^4 + 0.000679327028564103*B2^3 + 0.0241126312877213*B2^2 + 1.09328566841214*B2 + 689.019820783724</f>
        <v>693.82556992551145</v>
      </c>
      <c r="Z66" s="109">
        <f>ABS(((IF($B$2&gt;0,X66,Y66))-1600/2)/1.875/36)*4</f>
        <v>47.407407407407412</v>
      </c>
    </row>
  </sheetData>
  <sheetProtection sheet="1" objects="1" scenarios="1" selectLockedCells="1" selectUnlockedCells="1"/>
  <mergeCells count="10">
    <mergeCell ref="B46:C46"/>
    <mergeCell ref="E50:V50"/>
    <mergeCell ref="E56:V56"/>
    <mergeCell ref="E62:V62"/>
    <mergeCell ref="E13:V13"/>
    <mergeCell ref="B15:C15"/>
    <mergeCell ref="E19:V19"/>
    <mergeCell ref="E25:V25"/>
    <mergeCell ref="E31:V31"/>
    <mergeCell ref="E44:V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276</v>
      </c>
      <c r="D1" s="1" t="s">
        <v>5</v>
      </c>
      <c r="E1" s="634" t="s">
        <v>50</v>
      </c>
      <c r="F1" s="634"/>
      <c r="G1" s="634"/>
      <c r="H1" s="635" t="s">
        <v>51</v>
      </c>
      <c r="I1" s="635"/>
      <c r="J1" s="635"/>
      <c r="K1" s="636" t="s">
        <v>52</v>
      </c>
      <c r="L1" s="636"/>
      <c r="M1" s="636"/>
      <c r="N1" s="637" t="s">
        <v>53</v>
      </c>
      <c r="O1" s="637"/>
      <c r="P1" s="637"/>
      <c r="Q1" s="638" t="s">
        <v>54</v>
      </c>
      <c r="R1" s="638"/>
      <c r="S1" s="638"/>
      <c r="T1" s="633" t="s">
        <v>55</v>
      </c>
      <c r="U1" s="633"/>
      <c r="V1" s="633"/>
      <c r="W1" s="639" t="s">
        <v>56</v>
      </c>
      <c r="X1" s="639"/>
      <c r="Y1" s="639"/>
      <c r="Z1" s="640" t="s">
        <v>57</v>
      </c>
      <c r="AA1" s="640"/>
      <c r="AB1" s="640"/>
      <c r="AC1" s="641" t="s">
        <v>58</v>
      </c>
      <c r="AD1" s="641"/>
      <c r="AE1" s="641"/>
      <c r="AF1" s="642" t="s">
        <v>59</v>
      </c>
      <c r="AG1" s="642"/>
      <c r="AH1" s="642"/>
      <c r="AI1" s="643" t="s">
        <v>60</v>
      </c>
      <c r="AJ1" s="643"/>
      <c r="AK1" s="643"/>
    </row>
    <row r="2" spans="1:37" ht="20.100000000000001" customHeight="1">
      <c r="A2" s="1" t="s">
        <v>122</v>
      </c>
      <c r="B2" s="2">
        <v>4</v>
      </c>
      <c r="D2" s="1"/>
      <c r="E2" s="4" t="s">
        <v>61</v>
      </c>
      <c r="F2" s="4" t="s">
        <v>62</v>
      </c>
      <c r="G2" s="4" t="s">
        <v>63</v>
      </c>
      <c r="H2" s="5" t="s">
        <v>61</v>
      </c>
      <c r="I2" s="5" t="s">
        <v>62</v>
      </c>
      <c r="J2" s="5" t="s">
        <v>63</v>
      </c>
      <c r="K2" s="6" t="s">
        <v>61</v>
      </c>
      <c r="L2" s="6" t="s">
        <v>62</v>
      </c>
      <c r="M2" s="6" t="s">
        <v>63</v>
      </c>
      <c r="N2" s="7" t="s">
        <v>61</v>
      </c>
      <c r="O2" s="7" t="s">
        <v>62</v>
      </c>
      <c r="P2" s="7" t="s">
        <v>63</v>
      </c>
      <c r="Q2" s="8" t="s">
        <v>61</v>
      </c>
      <c r="R2" s="8" t="s">
        <v>62</v>
      </c>
      <c r="S2" s="8" t="s">
        <v>63</v>
      </c>
      <c r="T2" s="9" t="s">
        <v>61</v>
      </c>
      <c r="U2" s="9" t="s">
        <v>62</v>
      </c>
      <c r="V2" s="9" t="s">
        <v>63</v>
      </c>
      <c r="W2" s="10" t="s">
        <v>61</v>
      </c>
      <c r="X2" s="10" t="s">
        <v>62</v>
      </c>
      <c r="Y2" s="10" t="s">
        <v>63</v>
      </c>
      <c r="Z2" s="11" t="s">
        <v>61</v>
      </c>
      <c r="AA2" s="11" t="s">
        <v>62</v>
      </c>
      <c r="AB2" s="11" t="s">
        <v>63</v>
      </c>
      <c r="AC2" s="12" t="s">
        <v>61</v>
      </c>
      <c r="AD2" s="12" t="s">
        <v>62</v>
      </c>
      <c r="AE2" s="12" t="s">
        <v>63</v>
      </c>
      <c r="AF2" s="13" t="s">
        <v>61</v>
      </c>
      <c r="AG2" s="13" t="s">
        <v>62</v>
      </c>
      <c r="AH2" s="13" t="s">
        <v>63</v>
      </c>
      <c r="AI2" s="14" t="s">
        <v>61</v>
      </c>
      <c r="AJ2" s="14" t="s">
        <v>62</v>
      </c>
      <c r="AK2" s="14" t="s">
        <v>63</v>
      </c>
    </row>
    <row r="3" spans="1:37" ht="20.100000000000001" customHeight="1">
      <c r="A3" s="1" t="s">
        <v>123</v>
      </c>
      <c r="B3" s="2">
        <v>6</v>
      </c>
      <c r="D3" s="15">
        <v>0</v>
      </c>
      <c r="E3" s="16">
        <f t="shared" ref="E3:T18" si="0">E4-(E$363/360)</f>
        <v>1.6935342017632138E-12</v>
      </c>
      <c r="F3" s="16">
        <f t="shared" si="0"/>
        <v>1.1450840275983865E-12</v>
      </c>
      <c r="G3" s="16">
        <f t="shared" si="0"/>
        <v>-1.1035616864774056E-13</v>
      </c>
      <c r="H3" s="17">
        <f t="shared" si="0"/>
        <v>-1.6517898160373079E-12</v>
      </c>
      <c r="I3" s="17">
        <f t="shared" si="0"/>
        <v>-1.6904255772942633E-12</v>
      </c>
      <c r="J3" s="17">
        <f t="shared" si="0"/>
        <v>-8.7418960958984826E-13</v>
      </c>
      <c r="K3" s="18">
        <f t="shared" si="0"/>
        <v>1.2281287098403482E-12</v>
      </c>
      <c r="L3" s="18">
        <f t="shared" si="0"/>
        <v>7.8004269710163499E-13</v>
      </c>
      <c r="M3" s="18">
        <f t="shared" si="0"/>
        <v>1.2896350654045818E-12</v>
      </c>
      <c r="N3" s="19">
        <f t="shared" si="0"/>
        <v>-4.5474735088646412E-13</v>
      </c>
      <c r="O3" s="19">
        <f t="shared" si="0"/>
        <v>1.3153922395758855E-12</v>
      </c>
      <c r="P3" s="19">
        <f t="shared" si="0"/>
        <v>-9.1060492479755339E-13</v>
      </c>
      <c r="Q3" s="20">
        <f t="shared" si="0"/>
        <v>1.0543788064865112E-12</v>
      </c>
      <c r="R3" s="20">
        <f t="shared" si="0"/>
        <v>1.4208634269152753E-12</v>
      </c>
      <c r="S3" s="20">
        <f t="shared" si="0"/>
        <v>1.3153922395758855E-12</v>
      </c>
      <c r="T3" s="21">
        <f t="shared" si="0"/>
        <v>1.500244373175974E-12</v>
      </c>
      <c r="U3" s="21">
        <f t="shared" ref="U3:AJ18" si="1">U4-(U$363/360)</f>
        <v>0</v>
      </c>
      <c r="V3" s="21">
        <f t="shared" si="1"/>
        <v>1.4208634269152753E-12</v>
      </c>
      <c r="W3" s="22">
        <f t="shared" si="1"/>
        <v>2.1393997684526767E-13</v>
      </c>
      <c r="X3" s="22">
        <f t="shared" si="1"/>
        <v>-1.3221646000260989E-12</v>
      </c>
      <c r="Y3" s="22">
        <f t="shared" si="1"/>
        <v>0</v>
      </c>
      <c r="Z3" s="23">
        <f t="shared" si="1"/>
        <v>-9.7066799042977436E-13</v>
      </c>
      <c r="AA3" s="23">
        <f t="shared" si="1"/>
        <v>-5.0515147620444623E-13</v>
      </c>
      <c r="AB3" s="23">
        <f t="shared" si="1"/>
        <v>-1.3221646000260989E-12</v>
      </c>
      <c r="AC3" s="24">
        <f t="shared" si="1"/>
        <v>3.3439917501709715E-13</v>
      </c>
      <c r="AD3" s="24">
        <f t="shared" si="1"/>
        <v>-9.0705221111875289E-14</v>
      </c>
      <c r="AE3" s="24">
        <f t="shared" si="1"/>
        <v>-5.0515147620444623E-13</v>
      </c>
      <c r="AF3" s="25">
        <f t="shared" si="1"/>
        <v>-4.7040149553367883E-13</v>
      </c>
      <c r="AG3" s="25">
        <f t="shared" si="1"/>
        <v>8.4676710088160689E-13</v>
      </c>
      <c r="AH3" s="25">
        <f t="shared" si="1"/>
        <v>-9.0705221111875289E-14</v>
      </c>
      <c r="AI3" s="26">
        <f t="shared" si="1"/>
        <v>2.8266278206956486E-13</v>
      </c>
      <c r="AJ3" s="26">
        <f t="shared" si="1"/>
        <v>-8.2589490801865395E-13</v>
      </c>
      <c r="AK3" s="26">
        <f t="shared" ref="AK3:AK17" si="2">AK4-(AK$363/360)</f>
        <v>8.4676710088160689E-13</v>
      </c>
    </row>
    <row r="4" spans="1:37" ht="20.100000000000001" customHeight="1">
      <c r="D4" s="27">
        <f>D3+0.2/72</f>
        <v>2.7777777777777779E-3</v>
      </c>
      <c r="E4" s="16">
        <f t="shared" si="0"/>
        <v>0.77777777777947132</v>
      </c>
      <c r="F4" s="16">
        <f t="shared" si="0"/>
        <v>0.82222222222336727</v>
      </c>
      <c r="G4" s="16">
        <f t="shared" si="0"/>
        <v>0.84999999999988962</v>
      </c>
      <c r="H4" s="17">
        <f t="shared" si="0"/>
        <v>0.72222222222057042</v>
      </c>
      <c r="I4" s="17">
        <f t="shared" si="0"/>
        <v>0.76666666666497629</v>
      </c>
      <c r="J4" s="17">
        <f t="shared" si="0"/>
        <v>0.79444444444357021</v>
      </c>
      <c r="K4" s="18">
        <f t="shared" si="0"/>
        <v>0.66666666666789476</v>
      </c>
      <c r="L4" s="18">
        <f t="shared" si="0"/>
        <v>0.71111111111189118</v>
      </c>
      <c r="M4" s="18">
        <f t="shared" si="0"/>
        <v>0.73888888889017856</v>
      </c>
      <c r="N4" s="19">
        <f t="shared" si="0"/>
        <v>0.51111111111065632</v>
      </c>
      <c r="O4" s="19">
        <f t="shared" si="0"/>
        <v>0.55555555555687097</v>
      </c>
      <c r="P4" s="19">
        <f t="shared" si="0"/>
        <v>0.58333333333242277</v>
      </c>
      <c r="Q4" s="20">
        <f t="shared" si="0"/>
        <v>0.48333333333438772</v>
      </c>
      <c r="R4" s="20">
        <f t="shared" si="0"/>
        <v>0.52777777777919865</v>
      </c>
      <c r="S4" s="20">
        <f t="shared" si="0"/>
        <v>0.55555555555687097</v>
      </c>
      <c r="T4" s="21">
        <f t="shared" si="0"/>
        <v>0.45555555555705579</v>
      </c>
      <c r="U4" s="21">
        <f t="shared" si="1"/>
        <v>0.5</v>
      </c>
      <c r="V4" s="21">
        <f t="shared" si="1"/>
        <v>0.52777777777919865</v>
      </c>
      <c r="W4" s="22">
        <f t="shared" si="1"/>
        <v>0.4277777777779917</v>
      </c>
      <c r="X4" s="22">
        <f t="shared" si="1"/>
        <v>0.47222222222090005</v>
      </c>
      <c r="Y4" s="22">
        <f t="shared" si="1"/>
        <v>0.5</v>
      </c>
      <c r="Z4" s="23">
        <f t="shared" si="1"/>
        <v>0.39999999999902935</v>
      </c>
      <c r="AA4" s="23">
        <f t="shared" si="1"/>
        <v>0.44444444444393927</v>
      </c>
      <c r="AB4" s="23">
        <f t="shared" si="1"/>
        <v>0.47222222222090005</v>
      </c>
      <c r="AC4" s="24">
        <f t="shared" si="1"/>
        <v>0.37222222222255663</v>
      </c>
      <c r="AD4" s="24">
        <f t="shared" si="1"/>
        <v>0.41666666666657598</v>
      </c>
      <c r="AE4" s="24">
        <f t="shared" si="1"/>
        <v>0.44444444444393927</v>
      </c>
      <c r="AF4" s="25">
        <f t="shared" si="1"/>
        <v>0.34444444444397404</v>
      </c>
      <c r="AG4" s="25">
        <f t="shared" si="1"/>
        <v>0.38888888888973566</v>
      </c>
      <c r="AH4" s="25">
        <f t="shared" si="1"/>
        <v>0.41666666666657598</v>
      </c>
      <c r="AI4" s="26">
        <f t="shared" si="1"/>
        <v>0.31666666666694931</v>
      </c>
      <c r="AJ4" s="26">
        <f t="shared" si="1"/>
        <v>0.36111111111028521</v>
      </c>
      <c r="AK4" s="26">
        <f t="shared" si="2"/>
        <v>0.38888888888973566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1.5555555555572491</v>
      </c>
      <c r="F5" s="16">
        <f t="shared" si="0"/>
        <v>1.6444444444455895</v>
      </c>
      <c r="G5" s="16">
        <f t="shared" si="0"/>
        <v>1.6999999999998896</v>
      </c>
      <c r="H5" s="17">
        <f t="shared" si="0"/>
        <v>1.4444444444427926</v>
      </c>
      <c r="I5" s="17">
        <f t="shared" si="0"/>
        <v>1.533333333331643</v>
      </c>
      <c r="J5" s="17">
        <f t="shared" si="0"/>
        <v>1.5888888888880146</v>
      </c>
      <c r="K5" s="18">
        <f t="shared" si="0"/>
        <v>1.3333333333345614</v>
      </c>
      <c r="L5" s="18">
        <f t="shared" si="0"/>
        <v>1.4222222222230023</v>
      </c>
      <c r="M5" s="18">
        <f t="shared" si="0"/>
        <v>1.4777777777790675</v>
      </c>
      <c r="N5" s="19">
        <f t="shared" si="0"/>
        <v>1.0222222222217674</v>
      </c>
      <c r="O5" s="19">
        <f t="shared" si="0"/>
        <v>1.1111111111124266</v>
      </c>
      <c r="P5" s="19">
        <f t="shared" si="0"/>
        <v>1.1666666666657561</v>
      </c>
      <c r="Q5" s="20">
        <f t="shared" si="0"/>
        <v>0.96666666666772105</v>
      </c>
      <c r="R5" s="20">
        <f t="shared" si="0"/>
        <v>1.0555555555569764</v>
      </c>
      <c r="S5" s="20">
        <f t="shared" si="0"/>
        <v>1.1111111111124266</v>
      </c>
      <c r="T5" s="21">
        <f t="shared" si="0"/>
        <v>0.91111111111261134</v>
      </c>
      <c r="U5" s="21">
        <f t="shared" si="1"/>
        <v>1</v>
      </c>
      <c r="V5" s="21">
        <f t="shared" si="1"/>
        <v>1.0555555555569764</v>
      </c>
      <c r="W5" s="22">
        <f t="shared" si="1"/>
        <v>0.85555555555576945</v>
      </c>
      <c r="X5" s="22">
        <f t="shared" si="1"/>
        <v>0.94444444444312226</v>
      </c>
      <c r="Y5" s="22">
        <f t="shared" si="1"/>
        <v>1</v>
      </c>
      <c r="Z5" s="23">
        <f t="shared" si="1"/>
        <v>0.79999999999902938</v>
      </c>
      <c r="AA5" s="23">
        <f t="shared" si="1"/>
        <v>0.88888888888838369</v>
      </c>
      <c r="AB5" s="23">
        <f t="shared" si="1"/>
        <v>0.94444444444312226</v>
      </c>
      <c r="AC5" s="24">
        <f t="shared" si="1"/>
        <v>0.74444444444477886</v>
      </c>
      <c r="AD5" s="24">
        <f t="shared" si="1"/>
        <v>0.83333333333324267</v>
      </c>
      <c r="AE5" s="24">
        <f t="shared" si="1"/>
        <v>0.88888888888838369</v>
      </c>
      <c r="AF5" s="25">
        <f t="shared" si="1"/>
        <v>0.68888888888841848</v>
      </c>
      <c r="AG5" s="25">
        <f t="shared" si="1"/>
        <v>0.77777777777862456</v>
      </c>
      <c r="AH5" s="25">
        <f t="shared" si="1"/>
        <v>0.83333333333324267</v>
      </c>
      <c r="AI5" s="26">
        <f t="shared" si="1"/>
        <v>0.63333333333361597</v>
      </c>
      <c r="AJ5" s="26">
        <f t="shared" si="1"/>
        <v>0.72222222222139631</v>
      </c>
      <c r="AK5" s="26">
        <f t="shared" si="2"/>
        <v>0.77777777777862456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2.3333333333350268</v>
      </c>
      <c r="F6" s="16">
        <f t="shared" si="0"/>
        <v>2.4666666666678116</v>
      </c>
      <c r="G6" s="16">
        <f t="shared" si="0"/>
        <v>2.5499999999998897</v>
      </c>
      <c r="H6" s="17">
        <f t="shared" si="0"/>
        <v>2.166666666665015</v>
      </c>
      <c r="I6" s="17">
        <f t="shared" si="0"/>
        <v>2.2999999999983096</v>
      </c>
      <c r="J6" s="17">
        <f t="shared" si="0"/>
        <v>2.3833333333324589</v>
      </c>
      <c r="K6" s="18">
        <f t="shared" si="0"/>
        <v>2.0000000000012279</v>
      </c>
      <c r="L6" s="18">
        <f t="shared" si="0"/>
        <v>2.1333333333341136</v>
      </c>
      <c r="M6" s="18">
        <f t="shared" si="0"/>
        <v>2.2166666666679564</v>
      </c>
      <c r="N6" s="19">
        <f t="shared" si="0"/>
        <v>1.5333333333328785</v>
      </c>
      <c r="O6" s="19">
        <f t="shared" si="0"/>
        <v>1.6666666666679821</v>
      </c>
      <c r="P6" s="19">
        <f t="shared" si="0"/>
        <v>1.7499999999990896</v>
      </c>
      <c r="Q6" s="20">
        <f t="shared" si="0"/>
        <v>1.4500000000010544</v>
      </c>
      <c r="R6" s="20">
        <f t="shared" si="0"/>
        <v>1.5833333333347541</v>
      </c>
      <c r="S6" s="20">
        <f t="shared" si="0"/>
        <v>1.6666666666679821</v>
      </c>
      <c r="T6" s="21">
        <f t="shared" si="0"/>
        <v>1.3666666666681668</v>
      </c>
      <c r="U6" s="21">
        <f t="shared" si="1"/>
        <v>1.5</v>
      </c>
      <c r="V6" s="21">
        <f t="shared" si="1"/>
        <v>1.5833333333347541</v>
      </c>
      <c r="W6" s="22">
        <f t="shared" si="1"/>
        <v>1.2833333333335473</v>
      </c>
      <c r="X6" s="22">
        <f t="shared" si="1"/>
        <v>1.4166666666653445</v>
      </c>
      <c r="Y6" s="22">
        <f t="shared" si="1"/>
        <v>1.5</v>
      </c>
      <c r="Z6" s="23">
        <f t="shared" si="1"/>
        <v>1.1999999999990294</v>
      </c>
      <c r="AA6" s="23">
        <f t="shared" si="1"/>
        <v>1.3333333333328281</v>
      </c>
      <c r="AB6" s="23">
        <f t="shared" si="1"/>
        <v>1.4166666666653445</v>
      </c>
      <c r="AC6" s="24">
        <f t="shared" si="1"/>
        <v>1.1166666666670011</v>
      </c>
      <c r="AD6" s="24">
        <f t="shared" si="1"/>
        <v>1.2499999999999094</v>
      </c>
      <c r="AE6" s="24">
        <f t="shared" si="1"/>
        <v>1.3333333333328281</v>
      </c>
      <c r="AF6" s="25">
        <f t="shared" si="1"/>
        <v>1.0333333333328629</v>
      </c>
      <c r="AG6" s="25">
        <f t="shared" si="1"/>
        <v>1.1666666666675134</v>
      </c>
      <c r="AH6" s="25">
        <f t="shared" si="1"/>
        <v>1.2499999999999094</v>
      </c>
      <c r="AI6" s="26">
        <f t="shared" si="1"/>
        <v>0.95000000000028262</v>
      </c>
      <c r="AJ6" s="26">
        <f t="shared" si="1"/>
        <v>1.0833333333325075</v>
      </c>
      <c r="AK6" s="26">
        <f t="shared" si="2"/>
        <v>1.1666666666675134</v>
      </c>
    </row>
    <row r="7" spans="1:37" ht="20.100000000000001" customHeight="1">
      <c r="D7" s="27">
        <f t="shared" si="3"/>
        <v>1.1111111111111112E-2</v>
      </c>
      <c r="E7" s="16">
        <f t="shared" si="0"/>
        <v>3.1111111111128045</v>
      </c>
      <c r="F7" s="16">
        <f t="shared" si="0"/>
        <v>3.2888888888900336</v>
      </c>
      <c r="G7" s="16">
        <f t="shared" si="0"/>
        <v>3.3999999999998898</v>
      </c>
      <c r="H7" s="17">
        <f t="shared" si="0"/>
        <v>2.8888888888872373</v>
      </c>
      <c r="I7" s="17">
        <f t="shared" si="0"/>
        <v>3.0666666666649762</v>
      </c>
      <c r="J7" s="17">
        <f t="shared" si="0"/>
        <v>3.1777777777769032</v>
      </c>
      <c r="K7" s="18">
        <f t="shared" si="0"/>
        <v>2.6666666666678944</v>
      </c>
      <c r="L7" s="18">
        <f t="shared" si="0"/>
        <v>2.8444444444452248</v>
      </c>
      <c r="M7" s="18">
        <f t="shared" si="0"/>
        <v>2.9555555555568453</v>
      </c>
      <c r="N7" s="19">
        <f t="shared" si="0"/>
        <v>2.0444444444439895</v>
      </c>
      <c r="O7" s="19">
        <f t="shared" si="0"/>
        <v>2.2222222222235377</v>
      </c>
      <c r="P7" s="19">
        <f t="shared" si="0"/>
        <v>2.3333333333324231</v>
      </c>
      <c r="Q7" s="20">
        <f t="shared" si="0"/>
        <v>1.9333333333343878</v>
      </c>
      <c r="R7" s="20">
        <f t="shared" si="0"/>
        <v>2.1111111111125318</v>
      </c>
      <c r="S7" s="20">
        <f t="shared" si="0"/>
        <v>2.2222222222235377</v>
      </c>
      <c r="T7" s="21">
        <f t="shared" si="0"/>
        <v>1.8222222222237223</v>
      </c>
      <c r="U7" s="21">
        <f t="shared" si="1"/>
        <v>2</v>
      </c>
      <c r="V7" s="21">
        <f t="shared" si="1"/>
        <v>2.1111111111125318</v>
      </c>
      <c r="W7" s="22">
        <f t="shared" si="1"/>
        <v>1.7111111111113251</v>
      </c>
      <c r="X7" s="22">
        <f t="shared" si="1"/>
        <v>1.8888888888875668</v>
      </c>
      <c r="Y7" s="22">
        <f t="shared" si="1"/>
        <v>2</v>
      </c>
      <c r="Z7" s="23">
        <f t="shared" si="1"/>
        <v>1.5999999999990293</v>
      </c>
      <c r="AA7" s="23">
        <f t="shared" si="1"/>
        <v>1.7777777777772725</v>
      </c>
      <c r="AB7" s="23">
        <f t="shared" si="1"/>
        <v>1.8888888888875668</v>
      </c>
      <c r="AC7" s="24">
        <f t="shared" si="1"/>
        <v>1.4888888888892233</v>
      </c>
      <c r="AD7" s="24">
        <f t="shared" si="1"/>
        <v>1.6666666666665761</v>
      </c>
      <c r="AE7" s="24">
        <f t="shared" si="1"/>
        <v>1.7777777777772725</v>
      </c>
      <c r="AF7" s="25">
        <f t="shared" si="1"/>
        <v>1.3777777777773075</v>
      </c>
      <c r="AG7" s="25">
        <f t="shared" si="1"/>
        <v>1.5555555555564022</v>
      </c>
      <c r="AH7" s="25">
        <f t="shared" si="1"/>
        <v>1.6666666666665761</v>
      </c>
      <c r="AI7" s="26">
        <f t="shared" si="1"/>
        <v>1.2666666666669493</v>
      </c>
      <c r="AJ7" s="26">
        <f t="shared" si="1"/>
        <v>1.4444444444436186</v>
      </c>
      <c r="AK7" s="26">
        <f t="shared" si="2"/>
        <v>1.5555555555564022</v>
      </c>
    </row>
    <row r="8" spans="1:37" ht="20.100000000000001" customHeight="1">
      <c r="D8" s="27">
        <f t="shared" si="3"/>
        <v>1.388888888888889E-2</v>
      </c>
      <c r="E8" s="16">
        <f t="shared" si="0"/>
        <v>3.8888888888905822</v>
      </c>
      <c r="F8" s="16">
        <f t="shared" si="0"/>
        <v>4.1111111111122556</v>
      </c>
      <c r="G8" s="16">
        <f t="shared" si="0"/>
        <v>4.2499999999998899</v>
      </c>
      <c r="H8" s="17">
        <f t="shared" si="0"/>
        <v>3.6111111111094596</v>
      </c>
      <c r="I8" s="17">
        <f t="shared" si="0"/>
        <v>3.8333333333316428</v>
      </c>
      <c r="J8" s="17">
        <f t="shared" si="0"/>
        <v>3.9722222222213475</v>
      </c>
      <c r="K8" s="18">
        <f t="shared" si="0"/>
        <v>3.3333333333345609</v>
      </c>
      <c r="L8" s="18">
        <f t="shared" si="0"/>
        <v>3.5555555555563361</v>
      </c>
      <c r="M8" s="18">
        <f t="shared" si="0"/>
        <v>3.6944444444457343</v>
      </c>
      <c r="N8" s="19">
        <f t="shared" si="0"/>
        <v>2.5555555555551006</v>
      </c>
      <c r="O8" s="19">
        <f t="shared" si="0"/>
        <v>2.7777777777790931</v>
      </c>
      <c r="P8" s="19">
        <f t="shared" si="0"/>
        <v>2.9166666666657566</v>
      </c>
      <c r="Q8" s="20">
        <f t="shared" si="0"/>
        <v>2.4166666666677212</v>
      </c>
      <c r="R8" s="20">
        <f t="shared" si="0"/>
        <v>2.6388888888903095</v>
      </c>
      <c r="S8" s="20">
        <f t="shared" si="0"/>
        <v>2.7777777777790931</v>
      </c>
      <c r="T8" s="21">
        <f t="shared" si="0"/>
        <v>2.2777777777792778</v>
      </c>
      <c r="U8" s="21">
        <f t="shared" si="1"/>
        <v>2.5</v>
      </c>
      <c r="V8" s="21">
        <f t="shared" si="1"/>
        <v>2.6388888888903095</v>
      </c>
      <c r="W8" s="22">
        <f t="shared" si="1"/>
        <v>2.1388888888891029</v>
      </c>
      <c r="X8" s="22">
        <f t="shared" si="1"/>
        <v>2.3611111111097891</v>
      </c>
      <c r="Y8" s="22">
        <f t="shared" si="1"/>
        <v>2.5</v>
      </c>
      <c r="Z8" s="23">
        <f t="shared" si="1"/>
        <v>1.9999999999990292</v>
      </c>
      <c r="AA8" s="23">
        <f t="shared" si="1"/>
        <v>2.2222222222217169</v>
      </c>
      <c r="AB8" s="23">
        <f t="shared" si="1"/>
        <v>2.3611111111097891</v>
      </c>
      <c r="AC8" s="24">
        <f t="shared" si="1"/>
        <v>1.8611111111114456</v>
      </c>
      <c r="AD8" s="24">
        <f t="shared" si="1"/>
        <v>2.0833333333332429</v>
      </c>
      <c r="AE8" s="24">
        <f t="shared" si="1"/>
        <v>2.2222222222217169</v>
      </c>
      <c r="AF8" s="25">
        <f t="shared" si="1"/>
        <v>1.722222222221752</v>
      </c>
      <c r="AG8" s="25">
        <f t="shared" si="1"/>
        <v>1.9444444444452911</v>
      </c>
      <c r="AH8" s="25">
        <f t="shared" si="1"/>
        <v>2.0833333333332429</v>
      </c>
      <c r="AI8" s="26">
        <f t="shared" si="1"/>
        <v>1.5833333333336159</v>
      </c>
      <c r="AJ8" s="26">
        <f t="shared" si="1"/>
        <v>1.8055555555547298</v>
      </c>
      <c r="AK8" s="26">
        <f t="shared" si="2"/>
        <v>1.9444444444452911</v>
      </c>
    </row>
    <row r="9" spans="1:37" ht="20.100000000000001" customHeight="1">
      <c r="D9" s="27">
        <f t="shared" si="3"/>
        <v>1.6666666666666666E-2</v>
      </c>
      <c r="E9" s="16">
        <f t="shared" si="0"/>
        <v>4.6666666666683598</v>
      </c>
      <c r="F9" s="16">
        <f t="shared" si="0"/>
        <v>4.9333333333344775</v>
      </c>
      <c r="G9" s="16">
        <f t="shared" si="0"/>
        <v>5.0999999999998895</v>
      </c>
      <c r="H9" s="17">
        <f t="shared" si="0"/>
        <v>4.3333333333316819</v>
      </c>
      <c r="I9" s="17">
        <f t="shared" si="0"/>
        <v>4.5999999999983094</v>
      </c>
      <c r="J9" s="17">
        <f t="shared" si="0"/>
        <v>4.7666666666657918</v>
      </c>
      <c r="K9" s="18">
        <f t="shared" si="0"/>
        <v>4.0000000000012275</v>
      </c>
      <c r="L9" s="18">
        <f t="shared" si="0"/>
        <v>4.2666666666674473</v>
      </c>
      <c r="M9" s="18">
        <f t="shared" si="0"/>
        <v>4.4333333333346232</v>
      </c>
      <c r="N9" s="19">
        <f t="shared" si="0"/>
        <v>3.0666666666662117</v>
      </c>
      <c r="O9" s="19">
        <f t="shared" si="0"/>
        <v>3.3333333333346484</v>
      </c>
      <c r="P9" s="19">
        <f t="shared" si="0"/>
        <v>3.4999999999990901</v>
      </c>
      <c r="Q9" s="20">
        <f t="shared" si="0"/>
        <v>2.9000000000010546</v>
      </c>
      <c r="R9" s="20">
        <f t="shared" si="0"/>
        <v>3.1666666666680872</v>
      </c>
      <c r="S9" s="20">
        <f t="shared" si="0"/>
        <v>3.3333333333346484</v>
      </c>
      <c r="T9" s="21">
        <f t="shared" si="0"/>
        <v>2.7333333333348335</v>
      </c>
      <c r="U9" s="21">
        <f t="shared" si="1"/>
        <v>3</v>
      </c>
      <c r="V9" s="21">
        <f t="shared" si="1"/>
        <v>3.1666666666680872</v>
      </c>
      <c r="W9" s="22">
        <f t="shared" si="1"/>
        <v>2.5666666666668805</v>
      </c>
      <c r="X9" s="22">
        <f t="shared" si="1"/>
        <v>2.8333333333320114</v>
      </c>
      <c r="Y9" s="22">
        <f t="shared" si="1"/>
        <v>3</v>
      </c>
      <c r="Z9" s="23">
        <f t="shared" si="1"/>
        <v>2.3999999999990291</v>
      </c>
      <c r="AA9" s="23">
        <f t="shared" si="1"/>
        <v>2.6666666666661616</v>
      </c>
      <c r="AB9" s="23">
        <f t="shared" si="1"/>
        <v>2.8333333333320114</v>
      </c>
      <c r="AC9" s="24">
        <f t="shared" si="1"/>
        <v>2.2333333333336678</v>
      </c>
      <c r="AD9" s="24">
        <f t="shared" si="1"/>
        <v>2.4999999999999094</v>
      </c>
      <c r="AE9" s="24">
        <f t="shared" si="1"/>
        <v>2.6666666666661616</v>
      </c>
      <c r="AF9" s="25">
        <f t="shared" si="1"/>
        <v>2.0666666666661966</v>
      </c>
      <c r="AG9" s="25">
        <f t="shared" si="1"/>
        <v>2.3333333333341799</v>
      </c>
      <c r="AH9" s="25">
        <f t="shared" si="1"/>
        <v>2.4999999999999094</v>
      </c>
      <c r="AI9" s="26">
        <f t="shared" si="1"/>
        <v>1.9000000000002826</v>
      </c>
      <c r="AJ9" s="26">
        <f t="shared" si="1"/>
        <v>2.166666666665841</v>
      </c>
      <c r="AK9" s="26">
        <f t="shared" si="2"/>
        <v>2.3333333333341799</v>
      </c>
    </row>
    <row r="10" spans="1:37" ht="20.100000000000001" customHeight="1">
      <c r="D10" s="27">
        <f t="shared" si="3"/>
        <v>1.9444444444444445E-2</v>
      </c>
      <c r="E10" s="16">
        <f t="shared" si="0"/>
        <v>5.4444444444461375</v>
      </c>
      <c r="F10" s="16">
        <f t="shared" si="0"/>
        <v>5.7555555555566995</v>
      </c>
      <c r="G10" s="16">
        <f t="shared" si="0"/>
        <v>5.9499999999998892</v>
      </c>
      <c r="H10" s="17">
        <f t="shared" si="0"/>
        <v>5.0555555555539042</v>
      </c>
      <c r="I10" s="17">
        <f t="shared" si="0"/>
        <v>5.366666666664976</v>
      </c>
      <c r="J10" s="17">
        <f t="shared" si="0"/>
        <v>5.561111111110236</v>
      </c>
      <c r="K10" s="18">
        <f t="shared" si="0"/>
        <v>4.6666666666678944</v>
      </c>
      <c r="L10" s="18">
        <f t="shared" si="0"/>
        <v>4.9777777777785586</v>
      </c>
      <c r="M10" s="18">
        <f t="shared" si="0"/>
        <v>5.1722222222235121</v>
      </c>
      <c r="N10" s="19">
        <f t="shared" si="0"/>
        <v>3.5777777777773228</v>
      </c>
      <c r="O10" s="19">
        <f t="shared" si="0"/>
        <v>3.8888888888902038</v>
      </c>
      <c r="P10" s="19">
        <f t="shared" si="0"/>
        <v>4.0833333333324235</v>
      </c>
      <c r="Q10" s="20">
        <f t="shared" si="0"/>
        <v>3.383333333334388</v>
      </c>
      <c r="R10" s="20">
        <f t="shared" si="0"/>
        <v>3.6944444444458648</v>
      </c>
      <c r="S10" s="20">
        <f t="shared" si="0"/>
        <v>3.8888888888902038</v>
      </c>
      <c r="T10" s="21">
        <f t="shared" si="0"/>
        <v>3.1888888888903892</v>
      </c>
      <c r="U10" s="21">
        <f t="shared" si="1"/>
        <v>3.5</v>
      </c>
      <c r="V10" s="21">
        <f t="shared" si="1"/>
        <v>3.6944444444458648</v>
      </c>
      <c r="W10" s="22">
        <f t="shared" si="1"/>
        <v>2.9944444444446581</v>
      </c>
      <c r="X10" s="22">
        <f t="shared" si="1"/>
        <v>3.3055555555542337</v>
      </c>
      <c r="Y10" s="22">
        <f t="shared" si="1"/>
        <v>3.5</v>
      </c>
      <c r="Z10" s="23">
        <f t="shared" si="1"/>
        <v>2.799999999999029</v>
      </c>
      <c r="AA10" s="23">
        <f t="shared" si="1"/>
        <v>3.1111111111106062</v>
      </c>
      <c r="AB10" s="23">
        <f t="shared" si="1"/>
        <v>3.3055555555542337</v>
      </c>
      <c r="AC10" s="24">
        <f t="shared" si="1"/>
        <v>2.60555555555589</v>
      </c>
      <c r="AD10" s="24">
        <f t="shared" si="1"/>
        <v>2.9166666666665759</v>
      </c>
      <c r="AE10" s="24">
        <f t="shared" si="1"/>
        <v>3.1111111111106062</v>
      </c>
      <c r="AF10" s="25">
        <f t="shared" si="1"/>
        <v>2.4111111111106411</v>
      </c>
      <c r="AG10" s="25">
        <f t="shared" si="1"/>
        <v>2.7222222222230688</v>
      </c>
      <c r="AH10" s="25">
        <f t="shared" si="1"/>
        <v>2.9166666666665759</v>
      </c>
      <c r="AI10" s="26">
        <f t="shared" si="1"/>
        <v>2.2166666666669492</v>
      </c>
      <c r="AJ10" s="26">
        <f t="shared" si="1"/>
        <v>2.5277777777769521</v>
      </c>
      <c r="AK10" s="26">
        <f t="shared" si="2"/>
        <v>2.7222222222230688</v>
      </c>
    </row>
    <row r="11" spans="1:37" ht="20.100000000000001" customHeight="1">
      <c r="D11" s="27">
        <f t="shared" si="3"/>
        <v>2.2222222222222223E-2</v>
      </c>
      <c r="E11" s="16">
        <f t="shared" si="0"/>
        <v>6.2222222222239152</v>
      </c>
      <c r="F11" s="16">
        <f t="shared" si="0"/>
        <v>6.5777777777789215</v>
      </c>
      <c r="G11" s="16">
        <f t="shared" si="0"/>
        <v>6.7999999999998888</v>
      </c>
      <c r="H11" s="17">
        <f t="shared" si="0"/>
        <v>5.7777777777761266</v>
      </c>
      <c r="I11" s="17">
        <f t="shared" si="0"/>
        <v>6.1333333333316427</v>
      </c>
      <c r="J11" s="17">
        <f t="shared" si="0"/>
        <v>6.3555555555546803</v>
      </c>
      <c r="K11" s="18">
        <f t="shared" si="0"/>
        <v>5.3333333333345614</v>
      </c>
      <c r="L11" s="18">
        <f t="shared" si="0"/>
        <v>5.6888888888896698</v>
      </c>
      <c r="M11" s="18">
        <f t="shared" si="0"/>
        <v>5.9111111111124011</v>
      </c>
      <c r="N11" s="19">
        <f t="shared" si="0"/>
        <v>4.0888888888884338</v>
      </c>
      <c r="O11" s="19">
        <f t="shared" si="0"/>
        <v>4.4444444444457591</v>
      </c>
      <c r="P11" s="19">
        <f t="shared" si="0"/>
        <v>4.6666666666657566</v>
      </c>
      <c r="Q11" s="20">
        <f t="shared" si="0"/>
        <v>3.8666666666677214</v>
      </c>
      <c r="R11" s="20">
        <f t="shared" si="0"/>
        <v>4.2222222222236425</v>
      </c>
      <c r="S11" s="20">
        <f t="shared" si="0"/>
        <v>4.4444444444457591</v>
      </c>
      <c r="T11" s="21">
        <f t="shared" si="0"/>
        <v>3.644444444445945</v>
      </c>
      <c r="U11" s="21">
        <f t="shared" si="1"/>
        <v>4</v>
      </c>
      <c r="V11" s="21">
        <f t="shared" si="1"/>
        <v>4.2222222222236425</v>
      </c>
      <c r="W11" s="22">
        <f t="shared" si="1"/>
        <v>3.4222222222224357</v>
      </c>
      <c r="X11" s="22">
        <f t="shared" si="1"/>
        <v>3.7777777777764561</v>
      </c>
      <c r="Y11" s="22">
        <f t="shared" si="1"/>
        <v>4</v>
      </c>
      <c r="Z11" s="23">
        <f t="shared" si="1"/>
        <v>3.199999999999029</v>
      </c>
      <c r="AA11" s="23">
        <f t="shared" si="1"/>
        <v>3.5555555555550509</v>
      </c>
      <c r="AB11" s="23">
        <f t="shared" si="1"/>
        <v>3.7777777777764561</v>
      </c>
      <c r="AC11" s="24">
        <f t="shared" si="1"/>
        <v>2.9777777777781123</v>
      </c>
      <c r="AD11" s="24">
        <f t="shared" si="1"/>
        <v>3.3333333333332424</v>
      </c>
      <c r="AE11" s="24">
        <f t="shared" si="1"/>
        <v>3.5555555555550509</v>
      </c>
      <c r="AF11" s="25">
        <f t="shared" si="1"/>
        <v>2.7555555555550857</v>
      </c>
      <c r="AG11" s="25">
        <f t="shared" si="1"/>
        <v>3.1111111111119576</v>
      </c>
      <c r="AH11" s="25">
        <f t="shared" si="1"/>
        <v>3.3333333333332424</v>
      </c>
      <c r="AI11" s="26">
        <f t="shared" si="1"/>
        <v>2.5333333333336157</v>
      </c>
      <c r="AJ11" s="26">
        <f t="shared" si="1"/>
        <v>2.8888888888880633</v>
      </c>
      <c r="AK11" s="26">
        <f t="shared" si="2"/>
        <v>3.1111111111119576</v>
      </c>
    </row>
    <row r="12" spans="1:37" ht="20.100000000000001" customHeight="1">
      <c r="D12" s="27">
        <f t="shared" si="3"/>
        <v>2.5000000000000001E-2</v>
      </c>
      <c r="E12" s="16">
        <f t="shared" si="0"/>
        <v>7.0000000000016929</v>
      </c>
      <c r="F12" s="16">
        <f t="shared" si="0"/>
        <v>7.4000000000011434</v>
      </c>
      <c r="G12" s="16">
        <f t="shared" si="0"/>
        <v>7.6499999999998884</v>
      </c>
      <c r="H12" s="17">
        <f t="shared" si="0"/>
        <v>6.4999999999983489</v>
      </c>
      <c r="I12" s="17">
        <f t="shared" si="0"/>
        <v>6.8999999999983093</v>
      </c>
      <c r="J12" s="17">
        <f t="shared" si="0"/>
        <v>7.1499999999991246</v>
      </c>
      <c r="K12" s="18">
        <f t="shared" si="0"/>
        <v>6.0000000000012284</v>
      </c>
      <c r="L12" s="18">
        <f t="shared" si="0"/>
        <v>6.4000000000007811</v>
      </c>
      <c r="M12" s="18">
        <f t="shared" si="0"/>
        <v>6.65000000000129</v>
      </c>
      <c r="N12" s="19">
        <f t="shared" si="0"/>
        <v>4.5999999999995449</v>
      </c>
      <c r="O12" s="19">
        <f t="shared" si="0"/>
        <v>5.0000000000013145</v>
      </c>
      <c r="P12" s="19">
        <f t="shared" si="0"/>
        <v>5.2499999999990896</v>
      </c>
      <c r="Q12" s="20">
        <f t="shared" si="0"/>
        <v>4.3500000000010548</v>
      </c>
      <c r="R12" s="20">
        <f t="shared" si="0"/>
        <v>4.7500000000014202</v>
      </c>
      <c r="S12" s="20">
        <f t="shared" si="0"/>
        <v>5.0000000000013145</v>
      </c>
      <c r="T12" s="21">
        <f t="shared" si="0"/>
        <v>4.1000000000015007</v>
      </c>
      <c r="U12" s="21">
        <f t="shared" si="1"/>
        <v>4.5</v>
      </c>
      <c r="V12" s="21">
        <f t="shared" si="1"/>
        <v>4.7500000000014202</v>
      </c>
      <c r="W12" s="22">
        <f t="shared" si="1"/>
        <v>3.8500000000002133</v>
      </c>
      <c r="X12" s="22">
        <f t="shared" si="1"/>
        <v>4.2499999999986784</v>
      </c>
      <c r="Y12" s="22">
        <f t="shared" si="1"/>
        <v>4.5</v>
      </c>
      <c r="Z12" s="23">
        <f t="shared" si="1"/>
        <v>3.5999999999990289</v>
      </c>
      <c r="AA12" s="23">
        <f t="shared" si="1"/>
        <v>3.9999999999994955</v>
      </c>
      <c r="AB12" s="23">
        <f t="shared" si="1"/>
        <v>4.2499999999986784</v>
      </c>
      <c r="AC12" s="24">
        <f t="shared" si="1"/>
        <v>3.3500000000003345</v>
      </c>
      <c r="AD12" s="24">
        <f t="shared" si="1"/>
        <v>3.749999999999909</v>
      </c>
      <c r="AE12" s="24">
        <f t="shared" si="1"/>
        <v>3.9999999999994955</v>
      </c>
      <c r="AF12" s="25">
        <f t="shared" si="1"/>
        <v>3.0999999999995302</v>
      </c>
      <c r="AG12" s="25">
        <f t="shared" si="1"/>
        <v>3.5000000000008464</v>
      </c>
      <c r="AH12" s="25">
        <f t="shared" si="1"/>
        <v>3.749999999999909</v>
      </c>
      <c r="AI12" s="26">
        <f t="shared" si="1"/>
        <v>2.8500000000002821</v>
      </c>
      <c r="AJ12" s="26">
        <f t="shared" si="1"/>
        <v>3.2499999999991744</v>
      </c>
      <c r="AK12" s="26">
        <f t="shared" si="2"/>
        <v>3.5000000000008464</v>
      </c>
    </row>
    <row r="13" spans="1:37" ht="20.100000000000001" customHeight="1">
      <c r="D13" s="27">
        <f t="shared" si="3"/>
        <v>2.777777777777778E-2</v>
      </c>
      <c r="E13" s="16">
        <f t="shared" si="0"/>
        <v>7.7777777777794705</v>
      </c>
      <c r="F13" s="16">
        <f t="shared" si="0"/>
        <v>8.2222222222233654</v>
      </c>
      <c r="G13" s="16">
        <f t="shared" si="0"/>
        <v>8.4999999999998881</v>
      </c>
      <c r="H13" s="17">
        <f t="shared" si="0"/>
        <v>7.2222222222205712</v>
      </c>
      <c r="I13" s="17">
        <f t="shared" si="0"/>
        <v>7.6666666666649759</v>
      </c>
      <c r="J13" s="17">
        <f t="shared" si="0"/>
        <v>7.9444444444435689</v>
      </c>
      <c r="K13" s="18">
        <f t="shared" si="0"/>
        <v>6.6666666666678953</v>
      </c>
      <c r="L13" s="18">
        <f t="shared" si="0"/>
        <v>7.1111111111118923</v>
      </c>
      <c r="M13" s="18">
        <f t="shared" si="0"/>
        <v>7.3888888888901789</v>
      </c>
      <c r="N13" s="19">
        <f t="shared" si="0"/>
        <v>5.111111111110656</v>
      </c>
      <c r="O13" s="19">
        <f t="shared" si="0"/>
        <v>5.5555555555568699</v>
      </c>
      <c r="P13" s="19">
        <f t="shared" si="0"/>
        <v>5.8333333333324227</v>
      </c>
      <c r="Q13" s="20">
        <f t="shared" si="0"/>
        <v>4.8333333333343882</v>
      </c>
      <c r="R13" s="20">
        <f t="shared" si="0"/>
        <v>5.2777777777791979</v>
      </c>
      <c r="S13" s="20">
        <f t="shared" si="0"/>
        <v>5.5555555555568699</v>
      </c>
      <c r="T13" s="21">
        <f t="shared" si="0"/>
        <v>4.5555555555570564</v>
      </c>
      <c r="U13" s="21">
        <f t="shared" si="1"/>
        <v>5</v>
      </c>
      <c r="V13" s="21">
        <f t="shared" si="1"/>
        <v>5.2777777777791979</v>
      </c>
      <c r="W13" s="22">
        <f t="shared" si="1"/>
        <v>4.2777777777779908</v>
      </c>
      <c r="X13" s="22">
        <f t="shared" si="1"/>
        <v>4.7222222222209007</v>
      </c>
      <c r="Y13" s="22">
        <f t="shared" si="1"/>
        <v>5</v>
      </c>
      <c r="Z13" s="23">
        <f t="shared" si="1"/>
        <v>3.9999999999990288</v>
      </c>
      <c r="AA13" s="23">
        <f t="shared" si="1"/>
        <v>4.4444444444439402</v>
      </c>
      <c r="AB13" s="23">
        <f t="shared" si="1"/>
        <v>4.7222222222209007</v>
      </c>
      <c r="AC13" s="24">
        <f t="shared" si="1"/>
        <v>3.7222222222225567</v>
      </c>
      <c r="AD13" s="24">
        <f t="shared" si="1"/>
        <v>4.1666666666665755</v>
      </c>
      <c r="AE13" s="24">
        <f t="shared" si="1"/>
        <v>4.4444444444439402</v>
      </c>
      <c r="AF13" s="25">
        <f t="shared" si="1"/>
        <v>3.4444444444439748</v>
      </c>
      <c r="AG13" s="25">
        <f t="shared" si="1"/>
        <v>3.8888888888897353</v>
      </c>
      <c r="AH13" s="25">
        <f t="shared" si="1"/>
        <v>4.1666666666665755</v>
      </c>
      <c r="AI13" s="26">
        <f t="shared" si="1"/>
        <v>3.1666666666669485</v>
      </c>
      <c r="AJ13" s="26">
        <f t="shared" si="1"/>
        <v>3.6111111111102856</v>
      </c>
      <c r="AK13" s="26">
        <f t="shared" si="2"/>
        <v>3.8888888888897353</v>
      </c>
    </row>
    <row r="14" spans="1:37" ht="20.100000000000001" customHeight="1">
      <c r="D14" s="27">
        <f t="shared" si="3"/>
        <v>3.0555555555555558E-2</v>
      </c>
      <c r="E14" s="16">
        <f t="shared" si="0"/>
        <v>8.5555555555572482</v>
      </c>
      <c r="F14" s="16">
        <f t="shared" si="0"/>
        <v>9.0444444444455883</v>
      </c>
      <c r="G14" s="16">
        <f t="shared" si="0"/>
        <v>9.3499999999998877</v>
      </c>
      <c r="H14" s="17">
        <f t="shared" si="0"/>
        <v>7.9444444444427935</v>
      </c>
      <c r="I14" s="17">
        <f t="shared" si="0"/>
        <v>8.4333333333316425</v>
      </c>
      <c r="J14" s="17">
        <f t="shared" si="0"/>
        <v>8.7388888888880132</v>
      </c>
      <c r="K14" s="18">
        <f t="shared" si="0"/>
        <v>7.3333333333345623</v>
      </c>
      <c r="L14" s="18">
        <f t="shared" si="0"/>
        <v>7.8222222222230036</v>
      </c>
      <c r="M14" s="18">
        <f t="shared" si="0"/>
        <v>8.1277777777790678</v>
      </c>
      <c r="N14" s="19">
        <f t="shared" si="0"/>
        <v>5.622222222221767</v>
      </c>
      <c r="O14" s="19">
        <f t="shared" si="0"/>
        <v>6.1111111111124252</v>
      </c>
      <c r="P14" s="19">
        <f t="shared" si="0"/>
        <v>6.4166666666657557</v>
      </c>
      <c r="Q14" s="20">
        <f t="shared" si="0"/>
        <v>5.3166666666677216</v>
      </c>
      <c r="R14" s="20">
        <f t="shared" si="0"/>
        <v>5.8055555555569756</v>
      </c>
      <c r="S14" s="20">
        <f t="shared" si="0"/>
        <v>6.1111111111124252</v>
      </c>
      <c r="T14" s="21">
        <f t="shared" si="0"/>
        <v>5.0111111111126121</v>
      </c>
      <c r="U14" s="21">
        <f t="shared" si="1"/>
        <v>5.5</v>
      </c>
      <c r="V14" s="21">
        <f t="shared" si="1"/>
        <v>5.8055555555569756</v>
      </c>
      <c r="W14" s="22">
        <f t="shared" si="1"/>
        <v>4.7055555555557689</v>
      </c>
      <c r="X14" s="22">
        <f t="shared" si="1"/>
        <v>5.194444444443123</v>
      </c>
      <c r="Y14" s="22">
        <f t="shared" si="1"/>
        <v>5.5</v>
      </c>
      <c r="Z14" s="23">
        <f t="shared" si="1"/>
        <v>4.3999999999990287</v>
      </c>
      <c r="AA14" s="23">
        <f t="shared" si="1"/>
        <v>4.8888888888883848</v>
      </c>
      <c r="AB14" s="23">
        <f t="shared" si="1"/>
        <v>5.194444444443123</v>
      </c>
      <c r="AC14" s="24">
        <f t="shared" si="1"/>
        <v>4.094444444444779</v>
      </c>
      <c r="AD14" s="24">
        <f t="shared" si="1"/>
        <v>4.5833333333332424</v>
      </c>
      <c r="AE14" s="24">
        <f t="shared" si="1"/>
        <v>4.8888888888883848</v>
      </c>
      <c r="AF14" s="25">
        <f t="shared" si="1"/>
        <v>3.7888888888884193</v>
      </c>
      <c r="AG14" s="25">
        <f t="shared" si="1"/>
        <v>4.2777777777786241</v>
      </c>
      <c r="AH14" s="25">
        <f t="shared" si="1"/>
        <v>4.5833333333332424</v>
      </c>
      <c r="AI14" s="26">
        <f t="shared" si="1"/>
        <v>3.4833333333336149</v>
      </c>
      <c r="AJ14" s="26">
        <f t="shared" si="1"/>
        <v>3.9722222222213968</v>
      </c>
      <c r="AK14" s="26">
        <f t="shared" si="2"/>
        <v>4.2777777777786241</v>
      </c>
    </row>
    <row r="15" spans="1:37" ht="20.100000000000001" customHeight="1">
      <c r="D15" s="27">
        <f t="shared" si="3"/>
        <v>3.3333333333333333E-2</v>
      </c>
      <c r="E15" s="16">
        <f t="shared" si="0"/>
        <v>9.3333333333350268</v>
      </c>
      <c r="F15" s="16">
        <f t="shared" si="0"/>
        <v>9.8666666666678111</v>
      </c>
      <c r="G15" s="16">
        <f t="shared" si="0"/>
        <v>10.199999999999887</v>
      </c>
      <c r="H15" s="17">
        <f t="shared" si="0"/>
        <v>8.6666666666650158</v>
      </c>
      <c r="I15" s="17">
        <f t="shared" si="0"/>
        <v>9.19999999999831</v>
      </c>
      <c r="J15" s="17">
        <f t="shared" si="0"/>
        <v>9.5333333333324575</v>
      </c>
      <c r="K15" s="18">
        <f t="shared" si="0"/>
        <v>8.0000000000012292</v>
      </c>
      <c r="L15" s="18">
        <f t="shared" si="0"/>
        <v>8.5333333333341148</v>
      </c>
      <c r="M15" s="18">
        <f t="shared" si="0"/>
        <v>8.8666666666679568</v>
      </c>
      <c r="N15" s="19">
        <f t="shared" si="0"/>
        <v>6.1333333333328781</v>
      </c>
      <c r="O15" s="19">
        <f t="shared" si="0"/>
        <v>6.6666666666679806</v>
      </c>
      <c r="P15" s="19">
        <f t="shared" si="0"/>
        <v>6.9999999999990887</v>
      </c>
      <c r="Q15" s="20">
        <f t="shared" si="0"/>
        <v>5.800000000001055</v>
      </c>
      <c r="R15" s="20">
        <f t="shared" si="0"/>
        <v>6.3333333333347532</v>
      </c>
      <c r="S15" s="20">
        <f t="shared" si="0"/>
        <v>6.6666666666679806</v>
      </c>
      <c r="T15" s="21">
        <f t="shared" si="0"/>
        <v>5.4666666666681678</v>
      </c>
      <c r="U15" s="21">
        <f t="shared" si="1"/>
        <v>6</v>
      </c>
      <c r="V15" s="21">
        <f t="shared" si="1"/>
        <v>6.3333333333347532</v>
      </c>
      <c r="W15" s="22">
        <f t="shared" si="1"/>
        <v>5.1333333333335469</v>
      </c>
      <c r="X15" s="22">
        <f t="shared" si="1"/>
        <v>5.6666666666653454</v>
      </c>
      <c r="Y15" s="22">
        <f t="shared" si="1"/>
        <v>6</v>
      </c>
      <c r="Z15" s="23">
        <f t="shared" si="1"/>
        <v>4.799999999999029</v>
      </c>
      <c r="AA15" s="23">
        <f t="shared" si="1"/>
        <v>5.3333333333328294</v>
      </c>
      <c r="AB15" s="23">
        <f t="shared" si="1"/>
        <v>5.6666666666653454</v>
      </c>
      <c r="AC15" s="24">
        <f t="shared" si="1"/>
        <v>4.4666666666670007</v>
      </c>
      <c r="AD15" s="24">
        <f t="shared" si="1"/>
        <v>4.9999999999999094</v>
      </c>
      <c r="AE15" s="24">
        <f t="shared" si="1"/>
        <v>5.3333333333328294</v>
      </c>
      <c r="AF15" s="25">
        <f t="shared" si="1"/>
        <v>4.1333333333328639</v>
      </c>
      <c r="AG15" s="25">
        <f t="shared" si="1"/>
        <v>4.6666666666675134</v>
      </c>
      <c r="AH15" s="25">
        <f t="shared" si="1"/>
        <v>4.9999999999999094</v>
      </c>
      <c r="AI15" s="26">
        <f t="shared" si="1"/>
        <v>3.8000000000002814</v>
      </c>
      <c r="AJ15" s="26">
        <f t="shared" si="1"/>
        <v>4.3333333333325079</v>
      </c>
      <c r="AK15" s="26">
        <f t="shared" si="2"/>
        <v>4.6666666666675134</v>
      </c>
    </row>
    <row r="16" spans="1:37" ht="20.100000000000001" customHeight="1">
      <c r="D16" s="27">
        <f t="shared" si="3"/>
        <v>3.6111111111111108E-2</v>
      </c>
      <c r="E16" s="16">
        <f t="shared" si="0"/>
        <v>10.111111111112805</v>
      </c>
      <c r="F16" s="16">
        <f t="shared" si="0"/>
        <v>10.688888888890034</v>
      </c>
      <c r="G16" s="16">
        <f t="shared" si="0"/>
        <v>11.049999999999887</v>
      </c>
      <c r="H16" s="17">
        <f t="shared" si="0"/>
        <v>9.3888888888872373</v>
      </c>
      <c r="I16" s="17">
        <f t="shared" si="0"/>
        <v>9.9666666666649775</v>
      </c>
      <c r="J16" s="17">
        <f t="shared" si="0"/>
        <v>10.327777777776902</v>
      </c>
      <c r="K16" s="18">
        <f t="shared" si="0"/>
        <v>8.6666666666678953</v>
      </c>
      <c r="L16" s="18">
        <f t="shared" si="0"/>
        <v>9.2444444444452252</v>
      </c>
      <c r="M16" s="18">
        <f t="shared" si="0"/>
        <v>9.6055555555568457</v>
      </c>
      <c r="N16" s="19">
        <f t="shared" si="0"/>
        <v>6.6444444444439892</v>
      </c>
      <c r="O16" s="19">
        <f t="shared" si="0"/>
        <v>7.2222222222235359</v>
      </c>
      <c r="P16" s="19">
        <f t="shared" si="0"/>
        <v>7.5833333333324218</v>
      </c>
      <c r="Q16" s="20">
        <f t="shared" si="0"/>
        <v>6.2833333333343884</v>
      </c>
      <c r="R16" s="20">
        <f t="shared" si="0"/>
        <v>6.8611111111125309</v>
      </c>
      <c r="S16" s="20">
        <f t="shared" si="0"/>
        <v>7.2222222222235359</v>
      </c>
      <c r="T16" s="21">
        <f t="shared" si="0"/>
        <v>5.9222222222237235</v>
      </c>
      <c r="U16" s="21">
        <f t="shared" si="1"/>
        <v>6.5</v>
      </c>
      <c r="V16" s="21">
        <f t="shared" si="1"/>
        <v>6.8611111111125309</v>
      </c>
      <c r="W16" s="22">
        <f t="shared" si="1"/>
        <v>5.5611111111113249</v>
      </c>
      <c r="X16" s="22">
        <f t="shared" si="1"/>
        <v>6.1388888888875677</v>
      </c>
      <c r="Y16" s="22">
        <f t="shared" si="1"/>
        <v>6.5</v>
      </c>
      <c r="Z16" s="23">
        <f t="shared" si="1"/>
        <v>5.1999999999990294</v>
      </c>
      <c r="AA16" s="23">
        <f t="shared" si="1"/>
        <v>5.7777777777772741</v>
      </c>
      <c r="AB16" s="23">
        <f t="shared" si="1"/>
        <v>6.1388888888875677</v>
      </c>
      <c r="AC16" s="24">
        <f t="shared" si="1"/>
        <v>4.8388888888892225</v>
      </c>
      <c r="AD16" s="24">
        <f t="shared" si="1"/>
        <v>5.4166666666665764</v>
      </c>
      <c r="AE16" s="24">
        <f t="shared" si="1"/>
        <v>5.7777777777772741</v>
      </c>
      <c r="AF16" s="25">
        <f t="shared" si="1"/>
        <v>4.477777777777308</v>
      </c>
      <c r="AG16" s="25">
        <f t="shared" si="1"/>
        <v>5.0555555555564027</v>
      </c>
      <c r="AH16" s="25">
        <f t="shared" si="1"/>
        <v>5.4166666666665764</v>
      </c>
      <c r="AI16" s="26">
        <f t="shared" si="1"/>
        <v>4.1166666666669478</v>
      </c>
      <c r="AJ16" s="26">
        <f t="shared" si="1"/>
        <v>4.6944444444436186</v>
      </c>
      <c r="AK16" s="26">
        <f t="shared" si="2"/>
        <v>5.0555555555564027</v>
      </c>
    </row>
    <row r="17" spans="4:37" ht="20.100000000000001" customHeight="1">
      <c r="D17" s="27">
        <f t="shared" si="3"/>
        <v>3.8888888888888883E-2</v>
      </c>
      <c r="E17" s="16">
        <f t="shared" si="0"/>
        <v>10.888888888890584</v>
      </c>
      <c r="F17" s="16">
        <f t="shared" si="0"/>
        <v>11.511111111112257</v>
      </c>
      <c r="G17" s="16">
        <f t="shared" si="0"/>
        <v>11.899999999999887</v>
      </c>
      <c r="H17" s="17">
        <f t="shared" si="0"/>
        <v>10.111111111109459</v>
      </c>
      <c r="I17" s="17">
        <f t="shared" si="0"/>
        <v>10.733333333331645</v>
      </c>
      <c r="J17" s="17">
        <f t="shared" si="0"/>
        <v>11.122222222221346</v>
      </c>
      <c r="K17" s="18">
        <f t="shared" si="0"/>
        <v>9.3333333333345614</v>
      </c>
      <c r="L17" s="18">
        <f t="shared" si="0"/>
        <v>9.9555555555563355</v>
      </c>
      <c r="M17" s="18">
        <f t="shared" si="0"/>
        <v>10.344444444445735</v>
      </c>
      <c r="N17" s="19">
        <f t="shared" si="0"/>
        <v>7.1555555555551003</v>
      </c>
      <c r="O17" s="19">
        <f t="shared" si="0"/>
        <v>7.7777777777790913</v>
      </c>
      <c r="P17" s="19">
        <f t="shared" si="0"/>
        <v>8.1666666666657548</v>
      </c>
      <c r="Q17" s="20">
        <f t="shared" si="0"/>
        <v>6.7666666666677218</v>
      </c>
      <c r="R17" s="20">
        <f t="shared" si="0"/>
        <v>7.3888888888903086</v>
      </c>
      <c r="S17" s="20">
        <f t="shared" si="0"/>
        <v>7.7777777777790913</v>
      </c>
      <c r="T17" s="21">
        <f t="shared" si="0"/>
        <v>6.3777777777792792</v>
      </c>
      <c r="U17" s="21">
        <f t="shared" si="1"/>
        <v>7</v>
      </c>
      <c r="V17" s="21">
        <f t="shared" si="1"/>
        <v>7.3888888888903086</v>
      </c>
      <c r="W17" s="22">
        <f t="shared" si="1"/>
        <v>5.988888888889103</v>
      </c>
      <c r="X17" s="22">
        <f t="shared" si="1"/>
        <v>6.61111111110979</v>
      </c>
      <c r="Y17" s="22">
        <f t="shared" si="1"/>
        <v>7</v>
      </c>
      <c r="Z17" s="23">
        <f t="shared" si="1"/>
        <v>5.5999999999990298</v>
      </c>
      <c r="AA17" s="23">
        <f t="shared" si="1"/>
        <v>6.2222222222217187</v>
      </c>
      <c r="AB17" s="23">
        <f t="shared" si="1"/>
        <v>6.61111111110979</v>
      </c>
      <c r="AC17" s="24">
        <f t="shared" si="1"/>
        <v>5.2111111111114443</v>
      </c>
      <c r="AD17" s="24">
        <f t="shared" si="1"/>
        <v>5.8333333333332433</v>
      </c>
      <c r="AE17" s="24">
        <f t="shared" si="1"/>
        <v>6.2222222222217187</v>
      </c>
      <c r="AF17" s="25">
        <f t="shared" si="1"/>
        <v>4.8222222222217521</v>
      </c>
      <c r="AG17" s="25">
        <f t="shared" si="1"/>
        <v>5.444444444445292</v>
      </c>
      <c r="AH17" s="25">
        <f t="shared" si="1"/>
        <v>5.8333333333332433</v>
      </c>
      <c r="AI17" s="26">
        <f t="shared" si="1"/>
        <v>4.4333333333336142</v>
      </c>
      <c r="AJ17" s="26">
        <f t="shared" si="1"/>
        <v>5.0555555555547294</v>
      </c>
      <c r="AK17" s="26">
        <f t="shared" si="2"/>
        <v>5.444444444445292</v>
      </c>
    </row>
    <row r="18" spans="4:37" ht="20.100000000000001" customHeight="1">
      <c r="D18" s="27">
        <f t="shared" si="3"/>
        <v>4.1666666666666657E-2</v>
      </c>
      <c r="E18" s="16">
        <f t="shared" si="0"/>
        <v>11.666666666668362</v>
      </c>
      <c r="F18" s="16">
        <f t="shared" si="0"/>
        <v>12.33333333333448</v>
      </c>
      <c r="G18" s="16">
        <f t="shared" si="0"/>
        <v>12.749999999999886</v>
      </c>
      <c r="H18" s="17">
        <f t="shared" si="0"/>
        <v>10.83333333333168</v>
      </c>
      <c r="I18" s="17">
        <f t="shared" si="0"/>
        <v>11.499999999998312</v>
      </c>
      <c r="J18" s="17">
        <f t="shared" si="0"/>
        <v>11.91666666666579</v>
      </c>
      <c r="K18" s="18">
        <f t="shared" si="0"/>
        <v>10.000000000001227</v>
      </c>
      <c r="L18" s="18">
        <f t="shared" si="0"/>
        <v>10.666666666667446</v>
      </c>
      <c r="M18" s="18">
        <f t="shared" si="0"/>
        <v>11.083333333334624</v>
      </c>
      <c r="N18" s="19">
        <f t="shared" si="0"/>
        <v>7.6666666666662113</v>
      </c>
      <c r="O18" s="19">
        <f t="shared" si="0"/>
        <v>8.3333333333346467</v>
      </c>
      <c r="P18" s="19">
        <f t="shared" si="0"/>
        <v>8.7499999999990887</v>
      </c>
      <c r="Q18" s="20">
        <f t="shared" si="0"/>
        <v>7.2500000000010552</v>
      </c>
      <c r="R18" s="20">
        <f t="shared" si="0"/>
        <v>7.9166666666680863</v>
      </c>
      <c r="S18" s="20">
        <f t="shared" si="0"/>
        <v>8.3333333333346467</v>
      </c>
      <c r="T18" s="21">
        <f t="shared" ref="T18:AI34" si="4">T19-(T$363/360)</f>
        <v>6.8333333333348349</v>
      </c>
      <c r="U18" s="21">
        <f t="shared" si="1"/>
        <v>7.5</v>
      </c>
      <c r="V18" s="21">
        <f t="shared" si="1"/>
        <v>7.9166666666680863</v>
      </c>
      <c r="W18" s="22">
        <f t="shared" si="1"/>
        <v>6.416666666666881</v>
      </c>
      <c r="X18" s="22">
        <f t="shared" si="1"/>
        <v>7.0833333333320123</v>
      </c>
      <c r="Y18" s="22">
        <f t="shared" si="1"/>
        <v>7.5</v>
      </c>
      <c r="Z18" s="23">
        <f t="shared" si="1"/>
        <v>5.9999999999990301</v>
      </c>
      <c r="AA18" s="23">
        <f t="shared" si="1"/>
        <v>6.6666666666661634</v>
      </c>
      <c r="AB18" s="23">
        <f t="shared" si="1"/>
        <v>7.0833333333320123</v>
      </c>
      <c r="AC18" s="24">
        <f t="shared" si="1"/>
        <v>5.5833333333336661</v>
      </c>
      <c r="AD18" s="24">
        <f t="shared" si="1"/>
        <v>6.2499999999999103</v>
      </c>
      <c r="AE18" s="24">
        <f t="shared" si="1"/>
        <v>6.6666666666661634</v>
      </c>
      <c r="AF18" s="25">
        <f t="shared" si="1"/>
        <v>5.1666666666661962</v>
      </c>
      <c r="AG18" s="25">
        <f t="shared" si="1"/>
        <v>5.8333333333341812</v>
      </c>
      <c r="AH18" s="25">
        <f t="shared" si="1"/>
        <v>6.2499999999999103</v>
      </c>
      <c r="AI18" s="26">
        <f t="shared" si="1"/>
        <v>4.7500000000002807</v>
      </c>
      <c r="AJ18" s="26">
        <f t="shared" ref="AJ18:AK33" si="5">AJ19-(AJ$363/360)</f>
        <v>5.4166666666658401</v>
      </c>
      <c r="AK18" s="26">
        <f t="shared" si="5"/>
        <v>5.8333333333341812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12.444444444446141</v>
      </c>
      <c r="F19" s="16">
        <f t="shared" si="6"/>
        <v>13.155555555556703</v>
      </c>
      <c r="G19" s="16">
        <f t="shared" si="6"/>
        <v>13.599999999999886</v>
      </c>
      <c r="H19" s="17">
        <f t="shared" si="6"/>
        <v>11.555555555553902</v>
      </c>
      <c r="I19" s="17">
        <f t="shared" si="6"/>
        <v>12.26666666666498</v>
      </c>
      <c r="J19" s="17">
        <f t="shared" si="6"/>
        <v>12.711111111110235</v>
      </c>
      <c r="K19" s="18">
        <f t="shared" si="6"/>
        <v>10.666666666667894</v>
      </c>
      <c r="L19" s="18">
        <f t="shared" si="6"/>
        <v>11.377777777778556</v>
      </c>
      <c r="M19" s="18">
        <f t="shared" si="6"/>
        <v>11.822222222223512</v>
      </c>
      <c r="N19" s="19">
        <f t="shared" si="6"/>
        <v>8.1777777777773224</v>
      </c>
      <c r="O19" s="19">
        <f t="shared" si="6"/>
        <v>8.888888888890202</v>
      </c>
      <c r="P19" s="19">
        <f t="shared" si="6"/>
        <v>9.3333333333324227</v>
      </c>
      <c r="Q19" s="20">
        <f t="shared" si="6"/>
        <v>7.7333333333343885</v>
      </c>
      <c r="R19" s="20">
        <f t="shared" si="6"/>
        <v>8.444444444445864</v>
      </c>
      <c r="S19" s="20">
        <f t="shared" si="6"/>
        <v>8.888888888890202</v>
      </c>
      <c r="T19" s="21">
        <f t="shared" si="4"/>
        <v>7.2888888888903907</v>
      </c>
      <c r="U19" s="21">
        <f t="shared" si="4"/>
        <v>8</v>
      </c>
      <c r="V19" s="21">
        <f t="shared" si="4"/>
        <v>8.444444444445864</v>
      </c>
      <c r="W19" s="22">
        <f t="shared" si="4"/>
        <v>6.844444444444659</v>
      </c>
      <c r="X19" s="22">
        <f t="shared" si="4"/>
        <v>7.5555555555542346</v>
      </c>
      <c r="Y19" s="22">
        <f t="shared" si="4"/>
        <v>8</v>
      </c>
      <c r="Z19" s="23">
        <f t="shared" si="4"/>
        <v>6.3999999999990305</v>
      </c>
      <c r="AA19" s="23">
        <f t="shared" si="4"/>
        <v>7.111111111110608</v>
      </c>
      <c r="AB19" s="23">
        <f t="shared" si="4"/>
        <v>7.5555555555542346</v>
      </c>
      <c r="AC19" s="24">
        <f t="shared" si="4"/>
        <v>5.9555555555558879</v>
      </c>
      <c r="AD19" s="24">
        <f t="shared" si="4"/>
        <v>6.6666666666665773</v>
      </c>
      <c r="AE19" s="24">
        <f t="shared" si="4"/>
        <v>7.111111111110608</v>
      </c>
      <c r="AF19" s="25">
        <f t="shared" si="4"/>
        <v>5.5111111111106403</v>
      </c>
      <c r="AG19" s="25">
        <f t="shared" si="4"/>
        <v>6.2222222222230705</v>
      </c>
      <c r="AH19" s="25">
        <f t="shared" si="4"/>
        <v>6.6666666666665773</v>
      </c>
      <c r="AI19" s="26">
        <f t="shared" si="4"/>
        <v>5.0666666666669471</v>
      </c>
      <c r="AJ19" s="26">
        <f t="shared" si="5"/>
        <v>5.7777777777769508</v>
      </c>
      <c r="AK19" s="26">
        <f t="shared" si="5"/>
        <v>6.2222222222230705</v>
      </c>
    </row>
    <row r="20" spans="4:37" ht="20.100000000000001" customHeight="1">
      <c r="D20" s="27">
        <f t="shared" si="3"/>
        <v>4.7222222222222207E-2</v>
      </c>
      <c r="E20" s="16">
        <f t="shared" si="6"/>
        <v>13.22222222222392</v>
      </c>
      <c r="F20" s="16">
        <f t="shared" si="6"/>
        <v>13.977777777778925</v>
      </c>
      <c r="G20" s="16">
        <f t="shared" si="6"/>
        <v>14.449999999999886</v>
      </c>
      <c r="H20" s="17">
        <f t="shared" si="6"/>
        <v>12.277777777776123</v>
      </c>
      <c r="I20" s="17">
        <f t="shared" si="6"/>
        <v>13.033333333331647</v>
      </c>
      <c r="J20" s="17">
        <f t="shared" si="6"/>
        <v>13.505555555554679</v>
      </c>
      <c r="K20" s="18">
        <f t="shared" si="6"/>
        <v>11.33333333333456</v>
      </c>
      <c r="L20" s="18">
        <f t="shared" si="6"/>
        <v>12.088888888889667</v>
      </c>
      <c r="M20" s="18">
        <f t="shared" si="6"/>
        <v>12.561111111112401</v>
      </c>
      <c r="N20" s="19">
        <f t="shared" si="6"/>
        <v>8.6888888888884335</v>
      </c>
      <c r="O20" s="19">
        <f t="shared" si="6"/>
        <v>9.4444444444457574</v>
      </c>
      <c r="P20" s="19">
        <f t="shared" si="6"/>
        <v>9.9166666666657566</v>
      </c>
      <c r="Q20" s="20">
        <f t="shared" si="6"/>
        <v>8.2166666666677219</v>
      </c>
      <c r="R20" s="20">
        <f t="shared" si="6"/>
        <v>8.9722222222236425</v>
      </c>
      <c r="S20" s="20">
        <f t="shared" si="6"/>
        <v>9.4444444444457574</v>
      </c>
      <c r="T20" s="21">
        <f t="shared" si="4"/>
        <v>7.7444444444459464</v>
      </c>
      <c r="U20" s="21">
        <f t="shared" si="4"/>
        <v>8.5</v>
      </c>
      <c r="V20" s="21">
        <f t="shared" si="4"/>
        <v>8.9722222222236425</v>
      </c>
      <c r="W20" s="22">
        <f t="shared" si="4"/>
        <v>7.2722222222224371</v>
      </c>
      <c r="X20" s="22">
        <f t="shared" si="4"/>
        <v>8.027777777776457</v>
      </c>
      <c r="Y20" s="22">
        <f t="shared" si="4"/>
        <v>8.5</v>
      </c>
      <c r="Z20" s="23">
        <f t="shared" si="4"/>
        <v>6.7999999999990308</v>
      </c>
      <c r="AA20" s="23">
        <f t="shared" si="4"/>
        <v>7.5555555555550526</v>
      </c>
      <c r="AB20" s="23">
        <f t="shared" si="4"/>
        <v>8.027777777776457</v>
      </c>
      <c r="AC20" s="24">
        <f t="shared" si="4"/>
        <v>6.3277777777781097</v>
      </c>
      <c r="AD20" s="24">
        <f t="shared" si="4"/>
        <v>7.0833333333332442</v>
      </c>
      <c r="AE20" s="24">
        <f t="shared" si="4"/>
        <v>7.5555555555550526</v>
      </c>
      <c r="AF20" s="25">
        <f t="shared" si="4"/>
        <v>5.8555555555550844</v>
      </c>
      <c r="AG20" s="25">
        <f t="shared" si="4"/>
        <v>6.6111111111119598</v>
      </c>
      <c r="AH20" s="25">
        <f t="shared" si="4"/>
        <v>7.0833333333332442</v>
      </c>
      <c r="AI20" s="26">
        <f t="shared" si="4"/>
        <v>5.3833333333336135</v>
      </c>
      <c r="AJ20" s="26">
        <f t="shared" si="5"/>
        <v>6.1388888888880615</v>
      </c>
      <c r="AK20" s="26">
        <f t="shared" si="5"/>
        <v>6.6111111111119598</v>
      </c>
    </row>
    <row r="21" spans="4:37" ht="20.100000000000001" customHeight="1">
      <c r="D21" s="27">
        <f t="shared" si="3"/>
        <v>4.9999999999999982E-2</v>
      </c>
      <c r="E21" s="16">
        <f t="shared" si="6"/>
        <v>14.000000000001698</v>
      </c>
      <c r="F21" s="16">
        <f t="shared" si="6"/>
        <v>14.800000000001148</v>
      </c>
      <c r="G21" s="16">
        <f t="shared" si="6"/>
        <v>15.299999999999885</v>
      </c>
      <c r="H21" s="17">
        <f t="shared" si="6"/>
        <v>12.999999999998344</v>
      </c>
      <c r="I21" s="17">
        <f t="shared" si="6"/>
        <v>13.799999999998315</v>
      </c>
      <c r="J21" s="17">
        <f t="shared" si="6"/>
        <v>14.299999999999123</v>
      </c>
      <c r="K21" s="18">
        <f t="shared" si="6"/>
        <v>12.000000000001226</v>
      </c>
      <c r="L21" s="18">
        <f t="shared" si="6"/>
        <v>12.800000000000777</v>
      </c>
      <c r="M21" s="18">
        <f t="shared" si="6"/>
        <v>13.30000000000129</v>
      </c>
      <c r="N21" s="19">
        <f t="shared" si="6"/>
        <v>9.1999999999995445</v>
      </c>
      <c r="O21" s="19">
        <f t="shared" si="6"/>
        <v>10.000000000001313</v>
      </c>
      <c r="P21" s="19">
        <f t="shared" si="6"/>
        <v>10.499999999999091</v>
      </c>
      <c r="Q21" s="20">
        <f t="shared" si="6"/>
        <v>8.7000000000010544</v>
      </c>
      <c r="R21" s="20">
        <f t="shared" si="6"/>
        <v>9.5000000000014211</v>
      </c>
      <c r="S21" s="20">
        <f t="shared" si="6"/>
        <v>10.000000000001313</v>
      </c>
      <c r="T21" s="21">
        <f t="shared" si="4"/>
        <v>8.2000000000015021</v>
      </c>
      <c r="U21" s="21">
        <f t="shared" si="4"/>
        <v>9</v>
      </c>
      <c r="V21" s="21">
        <f t="shared" si="4"/>
        <v>9.5000000000014211</v>
      </c>
      <c r="W21" s="22">
        <f t="shared" si="4"/>
        <v>7.7000000000002151</v>
      </c>
      <c r="X21" s="22">
        <f t="shared" si="4"/>
        <v>8.4999999999986784</v>
      </c>
      <c r="Y21" s="22">
        <f t="shared" si="4"/>
        <v>9</v>
      </c>
      <c r="Z21" s="23">
        <f t="shared" si="4"/>
        <v>7.1999999999990312</v>
      </c>
      <c r="AA21" s="23">
        <f t="shared" si="4"/>
        <v>7.9999999999994973</v>
      </c>
      <c r="AB21" s="23">
        <f t="shared" si="4"/>
        <v>8.4999999999986784</v>
      </c>
      <c r="AC21" s="24">
        <f t="shared" si="4"/>
        <v>6.7000000000003315</v>
      </c>
      <c r="AD21" s="24">
        <f t="shared" si="4"/>
        <v>7.4999999999999112</v>
      </c>
      <c r="AE21" s="24">
        <f t="shared" si="4"/>
        <v>7.9999999999994973</v>
      </c>
      <c r="AF21" s="25">
        <f t="shared" si="4"/>
        <v>6.1999999999995286</v>
      </c>
      <c r="AG21" s="25">
        <f t="shared" si="4"/>
        <v>7.0000000000008491</v>
      </c>
      <c r="AH21" s="25">
        <f t="shared" si="4"/>
        <v>7.4999999999999112</v>
      </c>
      <c r="AI21" s="26">
        <f t="shared" si="4"/>
        <v>5.70000000000028</v>
      </c>
      <c r="AJ21" s="26">
        <f t="shared" si="5"/>
        <v>6.4999999999991722</v>
      </c>
      <c r="AK21" s="26">
        <f t="shared" si="5"/>
        <v>7.0000000000008491</v>
      </c>
    </row>
    <row r="22" spans="4:37" ht="20.100000000000001" customHeight="1">
      <c r="D22" s="27">
        <f t="shared" si="3"/>
        <v>5.2777777777777757E-2</v>
      </c>
      <c r="E22" s="16">
        <f t="shared" si="6"/>
        <v>14.777777777779477</v>
      </c>
      <c r="F22" s="16">
        <f t="shared" si="6"/>
        <v>15.622222222223371</v>
      </c>
      <c r="G22" s="16">
        <f t="shared" si="6"/>
        <v>16.149999999999885</v>
      </c>
      <c r="H22" s="17">
        <f t="shared" si="6"/>
        <v>13.722222222220566</v>
      </c>
      <c r="I22" s="17">
        <f t="shared" si="6"/>
        <v>14.566666666664982</v>
      </c>
      <c r="J22" s="17">
        <f t="shared" si="6"/>
        <v>15.094444444443567</v>
      </c>
      <c r="K22" s="18">
        <f t="shared" si="6"/>
        <v>12.666666666667892</v>
      </c>
      <c r="L22" s="18">
        <f t="shared" si="6"/>
        <v>13.511111111111887</v>
      </c>
      <c r="M22" s="18">
        <f t="shared" si="6"/>
        <v>14.038888888890179</v>
      </c>
      <c r="N22" s="19">
        <f t="shared" si="6"/>
        <v>9.7111111111106556</v>
      </c>
      <c r="O22" s="19">
        <f t="shared" si="6"/>
        <v>10.555555555556868</v>
      </c>
      <c r="P22" s="19">
        <f t="shared" si="6"/>
        <v>11.083333333332424</v>
      </c>
      <c r="Q22" s="20">
        <f t="shared" si="6"/>
        <v>9.1833333333343869</v>
      </c>
      <c r="R22" s="20">
        <f t="shared" si="6"/>
        <v>10.0277777777792</v>
      </c>
      <c r="S22" s="20">
        <f t="shared" si="6"/>
        <v>10.555555555556868</v>
      </c>
      <c r="T22" s="21">
        <f t="shared" si="4"/>
        <v>8.6555555555570578</v>
      </c>
      <c r="U22" s="21">
        <f t="shared" si="4"/>
        <v>9.5</v>
      </c>
      <c r="V22" s="21">
        <f t="shared" si="4"/>
        <v>10.0277777777792</v>
      </c>
      <c r="W22" s="22">
        <f t="shared" si="4"/>
        <v>8.1277777777779932</v>
      </c>
      <c r="X22" s="22">
        <f t="shared" si="4"/>
        <v>8.9722222222208998</v>
      </c>
      <c r="Y22" s="22">
        <f t="shared" si="4"/>
        <v>9.5</v>
      </c>
      <c r="Z22" s="23">
        <f t="shared" si="4"/>
        <v>7.5999999999990315</v>
      </c>
      <c r="AA22" s="23">
        <f t="shared" si="4"/>
        <v>8.4444444444439419</v>
      </c>
      <c r="AB22" s="23">
        <f t="shared" si="4"/>
        <v>8.9722222222208998</v>
      </c>
      <c r="AC22" s="24">
        <f t="shared" si="4"/>
        <v>7.0722222222225533</v>
      </c>
      <c r="AD22" s="24">
        <f t="shared" si="4"/>
        <v>7.9166666666665781</v>
      </c>
      <c r="AE22" s="24">
        <f t="shared" si="4"/>
        <v>8.4444444444439419</v>
      </c>
      <c r="AF22" s="25">
        <f t="shared" si="4"/>
        <v>6.5444444444439727</v>
      </c>
      <c r="AG22" s="25">
        <f t="shared" si="4"/>
        <v>7.3888888888897384</v>
      </c>
      <c r="AH22" s="25">
        <f t="shared" si="4"/>
        <v>7.9166666666665781</v>
      </c>
      <c r="AI22" s="26">
        <f t="shared" si="4"/>
        <v>6.0166666666669464</v>
      </c>
      <c r="AJ22" s="26">
        <f t="shared" si="5"/>
        <v>6.8611111111102829</v>
      </c>
      <c r="AK22" s="26">
        <f t="shared" si="5"/>
        <v>7.3888888888897384</v>
      </c>
    </row>
    <row r="23" spans="4:37" ht="20.100000000000001" customHeight="1">
      <c r="D23" s="27">
        <f t="shared" si="3"/>
        <v>5.5555555555555532E-2</v>
      </c>
      <c r="E23" s="16">
        <f t="shared" si="6"/>
        <v>15.555555555557255</v>
      </c>
      <c r="F23" s="16">
        <f t="shared" si="6"/>
        <v>16.444444444445594</v>
      </c>
      <c r="G23" s="16">
        <f t="shared" si="6"/>
        <v>16.999999999999886</v>
      </c>
      <c r="H23" s="17">
        <f t="shared" si="6"/>
        <v>14.444444444442787</v>
      </c>
      <c r="I23" s="17">
        <f t="shared" si="6"/>
        <v>15.33333333333165</v>
      </c>
      <c r="J23" s="17">
        <f t="shared" si="6"/>
        <v>15.888888888888012</v>
      </c>
      <c r="K23" s="18">
        <f t="shared" si="6"/>
        <v>13.333333333334558</v>
      </c>
      <c r="L23" s="18">
        <f t="shared" si="6"/>
        <v>14.222222222222998</v>
      </c>
      <c r="M23" s="18">
        <f t="shared" si="6"/>
        <v>14.777777777779068</v>
      </c>
      <c r="N23" s="19">
        <f t="shared" si="6"/>
        <v>10.222222222221767</v>
      </c>
      <c r="O23" s="19">
        <f t="shared" si="6"/>
        <v>11.111111111112423</v>
      </c>
      <c r="P23" s="19">
        <f t="shared" si="6"/>
        <v>11.666666666665758</v>
      </c>
      <c r="Q23" s="20">
        <f t="shared" si="6"/>
        <v>9.6666666666677195</v>
      </c>
      <c r="R23" s="20">
        <f t="shared" si="6"/>
        <v>10.555555555556978</v>
      </c>
      <c r="S23" s="20">
        <f t="shared" si="6"/>
        <v>11.111111111112423</v>
      </c>
      <c r="T23" s="21">
        <f t="shared" si="4"/>
        <v>9.1111111111126135</v>
      </c>
      <c r="U23" s="21">
        <f t="shared" si="4"/>
        <v>10</v>
      </c>
      <c r="V23" s="21">
        <f t="shared" si="4"/>
        <v>10.555555555556978</v>
      </c>
      <c r="W23" s="22">
        <f t="shared" si="4"/>
        <v>8.5555555555557703</v>
      </c>
      <c r="X23" s="22">
        <f t="shared" si="4"/>
        <v>9.4444444444431213</v>
      </c>
      <c r="Y23" s="22">
        <f t="shared" si="4"/>
        <v>10</v>
      </c>
      <c r="Z23" s="23">
        <f t="shared" si="4"/>
        <v>7.9999999999990319</v>
      </c>
      <c r="AA23" s="23">
        <f t="shared" si="4"/>
        <v>8.8888888888883866</v>
      </c>
      <c r="AB23" s="23">
        <f t="shared" si="4"/>
        <v>9.4444444444431213</v>
      </c>
      <c r="AC23" s="24">
        <f t="shared" si="4"/>
        <v>7.444444444444775</v>
      </c>
      <c r="AD23" s="24">
        <f t="shared" si="4"/>
        <v>8.3333333333332451</v>
      </c>
      <c r="AE23" s="24">
        <f t="shared" si="4"/>
        <v>8.8888888888883866</v>
      </c>
      <c r="AF23" s="25">
        <f t="shared" si="4"/>
        <v>6.8888888888884168</v>
      </c>
      <c r="AG23" s="25">
        <f t="shared" si="4"/>
        <v>7.7777777777786277</v>
      </c>
      <c r="AH23" s="25">
        <f t="shared" si="4"/>
        <v>8.3333333333332451</v>
      </c>
      <c r="AI23" s="26">
        <f t="shared" si="4"/>
        <v>6.3333333333336128</v>
      </c>
      <c r="AJ23" s="26">
        <f t="shared" si="5"/>
        <v>7.2222222222213937</v>
      </c>
      <c r="AK23" s="26">
        <f t="shared" si="5"/>
        <v>7.7777777777786277</v>
      </c>
    </row>
    <row r="24" spans="4:37" ht="20.100000000000001" customHeight="1">
      <c r="D24" s="27">
        <f t="shared" si="3"/>
        <v>5.8333333333333307E-2</v>
      </c>
      <c r="E24" s="16">
        <f t="shared" si="6"/>
        <v>16.333333333335034</v>
      </c>
      <c r="F24" s="16">
        <f t="shared" si="6"/>
        <v>17.266666666667817</v>
      </c>
      <c r="G24" s="16">
        <f t="shared" si="6"/>
        <v>17.849999999999888</v>
      </c>
      <c r="H24" s="17">
        <f t="shared" si="6"/>
        <v>15.166666666665009</v>
      </c>
      <c r="I24" s="17">
        <f t="shared" si="6"/>
        <v>16.099999999998317</v>
      </c>
      <c r="J24" s="17">
        <f t="shared" si="6"/>
        <v>16.683333333332456</v>
      </c>
      <c r="K24" s="18">
        <f t="shared" si="6"/>
        <v>14.000000000001224</v>
      </c>
      <c r="L24" s="18">
        <f t="shared" si="6"/>
        <v>14.933333333334108</v>
      </c>
      <c r="M24" s="18">
        <f t="shared" si="6"/>
        <v>15.516666666667957</v>
      </c>
      <c r="N24" s="19">
        <f t="shared" si="6"/>
        <v>10.733333333332878</v>
      </c>
      <c r="O24" s="19">
        <f t="shared" si="6"/>
        <v>11.666666666667979</v>
      </c>
      <c r="P24" s="19">
        <f t="shared" si="6"/>
        <v>12.249999999999092</v>
      </c>
      <c r="Q24" s="20">
        <f t="shared" si="6"/>
        <v>10.150000000001052</v>
      </c>
      <c r="R24" s="20">
        <f t="shared" si="6"/>
        <v>11.083333333334757</v>
      </c>
      <c r="S24" s="20">
        <f t="shared" si="6"/>
        <v>11.666666666667979</v>
      </c>
      <c r="T24" s="21">
        <f t="shared" si="4"/>
        <v>9.5666666666681692</v>
      </c>
      <c r="U24" s="21">
        <f t="shared" si="4"/>
        <v>10.5</v>
      </c>
      <c r="V24" s="21">
        <f t="shared" si="4"/>
        <v>11.083333333334757</v>
      </c>
      <c r="W24" s="22">
        <f t="shared" si="4"/>
        <v>8.9833333333335474</v>
      </c>
      <c r="X24" s="22">
        <f t="shared" si="4"/>
        <v>9.9166666666653427</v>
      </c>
      <c r="Y24" s="22">
        <f t="shared" si="4"/>
        <v>10.5</v>
      </c>
      <c r="Z24" s="23">
        <f t="shared" si="4"/>
        <v>8.3999999999990322</v>
      </c>
      <c r="AA24" s="23">
        <f t="shared" si="4"/>
        <v>9.3333333333328312</v>
      </c>
      <c r="AB24" s="23">
        <f t="shared" si="4"/>
        <v>9.9166666666653427</v>
      </c>
      <c r="AC24" s="24">
        <f t="shared" si="4"/>
        <v>7.8166666666669968</v>
      </c>
      <c r="AD24" s="24">
        <f t="shared" si="4"/>
        <v>8.7499999999999112</v>
      </c>
      <c r="AE24" s="24">
        <f t="shared" si="4"/>
        <v>9.3333333333328312</v>
      </c>
      <c r="AF24" s="25">
        <f t="shared" si="4"/>
        <v>7.2333333333328609</v>
      </c>
      <c r="AG24" s="25">
        <f t="shared" si="4"/>
        <v>8.1666666666675169</v>
      </c>
      <c r="AH24" s="25">
        <f t="shared" si="4"/>
        <v>8.7499999999999112</v>
      </c>
      <c r="AI24" s="26">
        <f t="shared" si="4"/>
        <v>6.6500000000002792</v>
      </c>
      <c r="AJ24" s="26">
        <f t="shared" si="5"/>
        <v>7.5833333333325044</v>
      </c>
      <c r="AK24" s="26">
        <f t="shared" si="5"/>
        <v>8.1666666666675169</v>
      </c>
    </row>
    <row r="25" spans="4:37" ht="20.100000000000001" customHeight="1">
      <c r="D25" s="27">
        <f t="shared" si="3"/>
        <v>6.1111111111111081E-2</v>
      </c>
      <c r="E25" s="16">
        <f t="shared" si="6"/>
        <v>17.111111111112812</v>
      </c>
      <c r="F25" s="16">
        <f t="shared" si="6"/>
        <v>18.08888888889004</v>
      </c>
      <c r="G25" s="16">
        <f t="shared" si="6"/>
        <v>18.699999999999889</v>
      </c>
      <c r="H25" s="17">
        <f t="shared" si="6"/>
        <v>15.88888888888723</v>
      </c>
      <c r="I25" s="17">
        <f t="shared" si="6"/>
        <v>16.866666666664983</v>
      </c>
      <c r="J25" s="17">
        <f t="shared" si="6"/>
        <v>17.4777777777769</v>
      </c>
      <c r="K25" s="18">
        <f t="shared" si="6"/>
        <v>14.66666666666789</v>
      </c>
      <c r="L25" s="18">
        <f t="shared" si="6"/>
        <v>15.644444444445218</v>
      </c>
      <c r="M25" s="18">
        <f t="shared" si="6"/>
        <v>16.255555555556846</v>
      </c>
      <c r="N25" s="19">
        <f t="shared" si="6"/>
        <v>11.244444444443989</v>
      </c>
      <c r="O25" s="19">
        <f t="shared" si="6"/>
        <v>12.222222222223534</v>
      </c>
      <c r="P25" s="19">
        <f t="shared" si="6"/>
        <v>12.833333333332426</v>
      </c>
      <c r="Q25" s="20">
        <f t="shared" si="6"/>
        <v>10.633333333334384</v>
      </c>
      <c r="R25" s="20">
        <f t="shared" si="6"/>
        <v>11.611111111112535</v>
      </c>
      <c r="S25" s="20">
        <f t="shared" si="6"/>
        <v>12.222222222223534</v>
      </c>
      <c r="T25" s="21">
        <f t="shared" si="4"/>
        <v>10.022222222223725</v>
      </c>
      <c r="U25" s="21">
        <f t="shared" si="4"/>
        <v>11</v>
      </c>
      <c r="V25" s="21">
        <f t="shared" si="4"/>
        <v>11.611111111112535</v>
      </c>
      <c r="W25" s="22">
        <f t="shared" si="4"/>
        <v>9.4111111111113246</v>
      </c>
      <c r="X25" s="22">
        <f t="shared" si="4"/>
        <v>10.388888888887564</v>
      </c>
      <c r="Y25" s="22">
        <f t="shared" si="4"/>
        <v>11</v>
      </c>
      <c r="Z25" s="23">
        <f t="shared" si="4"/>
        <v>8.7999999999990326</v>
      </c>
      <c r="AA25" s="23">
        <f t="shared" si="4"/>
        <v>9.7777777777772759</v>
      </c>
      <c r="AB25" s="23">
        <f t="shared" si="4"/>
        <v>10.388888888887564</v>
      </c>
      <c r="AC25" s="24">
        <f t="shared" si="4"/>
        <v>8.1888888888892186</v>
      </c>
      <c r="AD25" s="24">
        <f t="shared" si="4"/>
        <v>9.1666666666665773</v>
      </c>
      <c r="AE25" s="24">
        <f t="shared" si="4"/>
        <v>9.7777777777772759</v>
      </c>
      <c r="AF25" s="25">
        <f t="shared" si="4"/>
        <v>7.577777777777305</v>
      </c>
      <c r="AG25" s="25">
        <f t="shared" si="4"/>
        <v>8.5555555555564062</v>
      </c>
      <c r="AH25" s="25">
        <f t="shared" si="4"/>
        <v>9.1666666666665773</v>
      </c>
      <c r="AI25" s="26">
        <f t="shared" si="4"/>
        <v>6.9666666666669457</v>
      </c>
      <c r="AJ25" s="26">
        <f t="shared" si="5"/>
        <v>7.9444444444436151</v>
      </c>
      <c r="AK25" s="26">
        <f t="shared" si="5"/>
        <v>8.5555555555564062</v>
      </c>
    </row>
    <row r="26" spans="4:37" ht="20.100000000000001" customHeight="1">
      <c r="D26" s="27">
        <f t="shared" si="3"/>
        <v>6.3888888888888856E-2</v>
      </c>
      <c r="E26" s="16">
        <f t="shared" si="6"/>
        <v>17.888888888890591</v>
      </c>
      <c r="F26" s="16">
        <f t="shared" si="6"/>
        <v>18.911111111112263</v>
      </c>
      <c r="G26" s="16">
        <f t="shared" si="6"/>
        <v>19.549999999999891</v>
      </c>
      <c r="H26" s="17">
        <f t="shared" si="6"/>
        <v>16.611111111109452</v>
      </c>
      <c r="I26" s="17">
        <f t="shared" si="6"/>
        <v>17.633333333331649</v>
      </c>
      <c r="J26" s="17">
        <f t="shared" si="6"/>
        <v>18.272222222221345</v>
      </c>
      <c r="K26" s="18">
        <f t="shared" si="6"/>
        <v>15.333333333334556</v>
      </c>
      <c r="L26" s="18">
        <f t="shared" si="6"/>
        <v>16.355555555556329</v>
      </c>
      <c r="M26" s="18">
        <f t="shared" si="6"/>
        <v>16.994444444445733</v>
      </c>
      <c r="N26" s="19">
        <f t="shared" si="6"/>
        <v>11.7555555555551</v>
      </c>
      <c r="O26" s="19">
        <f t="shared" si="6"/>
        <v>12.77777777777909</v>
      </c>
      <c r="P26" s="19">
        <f t="shared" si="6"/>
        <v>13.41666666666576</v>
      </c>
      <c r="Q26" s="20">
        <f t="shared" si="6"/>
        <v>11.116666666667717</v>
      </c>
      <c r="R26" s="20">
        <f t="shared" si="6"/>
        <v>12.138888888890314</v>
      </c>
      <c r="S26" s="20">
        <f t="shared" si="6"/>
        <v>12.77777777777909</v>
      </c>
      <c r="T26" s="21">
        <f t="shared" si="4"/>
        <v>10.477777777779281</v>
      </c>
      <c r="U26" s="21">
        <f t="shared" si="4"/>
        <v>11.5</v>
      </c>
      <c r="V26" s="21">
        <f t="shared" si="4"/>
        <v>12.138888888890314</v>
      </c>
      <c r="W26" s="22">
        <f t="shared" si="4"/>
        <v>9.8388888888891017</v>
      </c>
      <c r="X26" s="22">
        <f t="shared" si="4"/>
        <v>10.861111111109786</v>
      </c>
      <c r="Y26" s="22">
        <f t="shared" si="4"/>
        <v>11.5</v>
      </c>
      <c r="Z26" s="23">
        <f t="shared" si="4"/>
        <v>9.199999999999033</v>
      </c>
      <c r="AA26" s="23">
        <f t="shared" si="4"/>
        <v>10.222222222221721</v>
      </c>
      <c r="AB26" s="23">
        <f t="shared" si="4"/>
        <v>10.861111111109786</v>
      </c>
      <c r="AC26" s="24">
        <f t="shared" si="4"/>
        <v>8.5611111111114404</v>
      </c>
      <c r="AD26" s="24">
        <f t="shared" si="4"/>
        <v>9.5833333333332433</v>
      </c>
      <c r="AE26" s="24">
        <f t="shared" si="4"/>
        <v>10.222222222221721</v>
      </c>
      <c r="AF26" s="25">
        <f t="shared" si="4"/>
        <v>7.9222222222217491</v>
      </c>
      <c r="AG26" s="25">
        <f t="shared" si="4"/>
        <v>8.9444444444452955</v>
      </c>
      <c r="AH26" s="25">
        <f t="shared" si="4"/>
        <v>9.5833333333332433</v>
      </c>
      <c r="AI26" s="26">
        <f t="shared" si="4"/>
        <v>7.2833333333336121</v>
      </c>
      <c r="AJ26" s="26">
        <f t="shared" si="5"/>
        <v>8.3055555555547258</v>
      </c>
      <c r="AK26" s="26">
        <f t="shared" si="5"/>
        <v>8.9444444444452955</v>
      </c>
    </row>
    <row r="27" spans="4:37" ht="20.100000000000001" customHeight="1">
      <c r="D27" s="27">
        <f t="shared" si="3"/>
        <v>6.6666666666666638E-2</v>
      </c>
      <c r="E27" s="16">
        <f t="shared" si="6"/>
        <v>18.66666666666837</v>
      </c>
      <c r="F27" s="16">
        <f t="shared" si="6"/>
        <v>19.733333333334485</v>
      </c>
      <c r="G27" s="16">
        <f t="shared" si="6"/>
        <v>20.399999999999892</v>
      </c>
      <c r="H27" s="17">
        <f t="shared" si="6"/>
        <v>17.333333333331673</v>
      </c>
      <c r="I27" s="17">
        <f t="shared" si="6"/>
        <v>18.399999999998315</v>
      </c>
      <c r="J27" s="17">
        <f t="shared" si="6"/>
        <v>19.066666666665789</v>
      </c>
      <c r="K27" s="18">
        <f t="shared" si="6"/>
        <v>16.000000000001222</v>
      </c>
      <c r="L27" s="18">
        <f t="shared" si="6"/>
        <v>17.066666666667441</v>
      </c>
      <c r="M27" s="18">
        <f t="shared" si="6"/>
        <v>17.73333333333462</v>
      </c>
      <c r="N27" s="19">
        <f t="shared" si="6"/>
        <v>12.266666666666211</v>
      </c>
      <c r="O27" s="19">
        <f t="shared" si="6"/>
        <v>13.333333333334645</v>
      </c>
      <c r="P27" s="19">
        <f t="shared" si="6"/>
        <v>13.999999999999094</v>
      </c>
      <c r="Q27" s="20">
        <f t="shared" si="6"/>
        <v>11.600000000001049</v>
      </c>
      <c r="R27" s="20">
        <f t="shared" si="6"/>
        <v>12.666666666668092</v>
      </c>
      <c r="S27" s="20">
        <f t="shared" si="6"/>
        <v>13.333333333334645</v>
      </c>
      <c r="T27" s="21">
        <f t="shared" si="4"/>
        <v>10.933333333334836</v>
      </c>
      <c r="U27" s="21">
        <f t="shared" si="4"/>
        <v>12</v>
      </c>
      <c r="V27" s="21">
        <f t="shared" si="4"/>
        <v>12.666666666668092</v>
      </c>
      <c r="W27" s="22">
        <f t="shared" si="4"/>
        <v>10.266666666666879</v>
      </c>
      <c r="X27" s="22">
        <f t="shared" si="4"/>
        <v>11.333333333332007</v>
      </c>
      <c r="Y27" s="22">
        <f t="shared" si="4"/>
        <v>12</v>
      </c>
      <c r="Z27" s="23">
        <f t="shared" si="4"/>
        <v>9.5999999999990333</v>
      </c>
      <c r="AA27" s="23">
        <f t="shared" si="4"/>
        <v>10.666666666666165</v>
      </c>
      <c r="AB27" s="23">
        <f t="shared" si="4"/>
        <v>11.333333333332007</v>
      </c>
      <c r="AC27" s="24">
        <f t="shared" si="4"/>
        <v>8.9333333333336622</v>
      </c>
      <c r="AD27" s="24">
        <f t="shared" si="4"/>
        <v>9.9999999999999094</v>
      </c>
      <c r="AE27" s="24">
        <f t="shared" si="4"/>
        <v>10.666666666666165</v>
      </c>
      <c r="AF27" s="25">
        <f t="shared" si="4"/>
        <v>8.2666666666661932</v>
      </c>
      <c r="AG27" s="25">
        <f t="shared" si="4"/>
        <v>9.3333333333341848</v>
      </c>
      <c r="AH27" s="25">
        <f t="shared" si="4"/>
        <v>9.9999999999999094</v>
      </c>
      <c r="AI27" s="26">
        <f t="shared" si="4"/>
        <v>7.6000000000002785</v>
      </c>
      <c r="AJ27" s="26">
        <f t="shared" si="5"/>
        <v>8.6666666666658365</v>
      </c>
      <c r="AK27" s="26">
        <f t="shared" si="5"/>
        <v>9.3333333333341848</v>
      </c>
    </row>
    <row r="28" spans="4:37" ht="20.100000000000001" customHeight="1">
      <c r="D28" s="27">
        <f t="shared" si="3"/>
        <v>6.944444444444442E-2</v>
      </c>
      <c r="E28" s="16">
        <f t="shared" si="6"/>
        <v>19.444444444446148</v>
      </c>
      <c r="F28" s="16">
        <f t="shared" si="6"/>
        <v>20.555555555556708</v>
      </c>
      <c r="G28" s="16">
        <f t="shared" si="6"/>
        <v>21.249999999999893</v>
      </c>
      <c r="H28" s="17">
        <f t="shared" si="6"/>
        <v>18.055555555553894</v>
      </c>
      <c r="I28" s="17">
        <f t="shared" si="6"/>
        <v>19.16666666666498</v>
      </c>
      <c r="J28" s="17">
        <f t="shared" si="6"/>
        <v>19.861111111110233</v>
      </c>
      <c r="K28" s="18">
        <f t="shared" si="6"/>
        <v>16.66666666666789</v>
      </c>
      <c r="L28" s="18">
        <f t="shared" si="6"/>
        <v>17.777777777778553</v>
      </c>
      <c r="M28" s="18">
        <f t="shared" si="6"/>
        <v>18.472222222223508</v>
      </c>
      <c r="N28" s="19">
        <f t="shared" si="6"/>
        <v>12.777777777777322</v>
      </c>
      <c r="O28" s="19">
        <f t="shared" si="6"/>
        <v>13.8888888888902</v>
      </c>
      <c r="P28" s="19">
        <f t="shared" si="6"/>
        <v>14.583333333332428</v>
      </c>
      <c r="Q28" s="20">
        <f t="shared" si="6"/>
        <v>12.083333333334382</v>
      </c>
      <c r="R28" s="20">
        <f t="shared" si="6"/>
        <v>13.194444444445871</v>
      </c>
      <c r="S28" s="20">
        <f t="shared" si="6"/>
        <v>13.8888888888902</v>
      </c>
      <c r="T28" s="21">
        <f t="shared" si="4"/>
        <v>11.388888888890392</v>
      </c>
      <c r="U28" s="21">
        <f t="shared" si="4"/>
        <v>12.5</v>
      </c>
      <c r="V28" s="21">
        <f t="shared" si="4"/>
        <v>13.194444444445871</v>
      </c>
      <c r="W28" s="22">
        <f t="shared" si="4"/>
        <v>10.694444444444656</v>
      </c>
      <c r="X28" s="22">
        <f t="shared" si="4"/>
        <v>11.805555555554228</v>
      </c>
      <c r="Y28" s="22">
        <f t="shared" si="4"/>
        <v>12.5</v>
      </c>
      <c r="Z28" s="23">
        <f t="shared" si="4"/>
        <v>9.9999999999990337</v>
      </c>
      <c r="AA28" s="23">
        <f t="shared" si="4"/>
        <v>11.11111111111061</v>
      </c>
      <c r="AB28" s="23">
        <f t="shared" si="4"/>
        <v>11.805555555554228</v>
      </c>
      <c r="AC28" s="24">
        <f t="shared" si="4"/>
        <v>9.305555555555884</v>
      </c>
      <c r="AD28" s="24">
        <f t="shared" si="4"/>
        <v>10.416666666666575</v>
      </c>
      <c r="AE28" s="24">
        <f t="shared" si="4"/>
        <v>11.11111111111061</v>
      </c>
      <c r="AF28" s="25">
        <f t="shared" si="4"/>
        <v>8.6111111111106382</v>
      </c>
      <c r="AG28" s="25">
        <f t="shared" si="4"/>
        <v>9.7222222222230741</v>
      </c>
      <c r="AH28" s="25">
        <f t="shared" si="4"/>
        <v>10.416666666666575</v>
      </c>
      <c r="AI28" s="26">
        <f t="shared" si="4"/>
        <v>7.916666666666945</v>
      </c>
      <c r="AJ28" s="26">
        <f t="shared" si="5"/>
        <v>9.0277777777769472</v>
      </c>
      <c r="AK28" s="26">
        <f t="shared" si="5"/>
        <v>9.7222222222230741</v>
      </c>
    </row>
    <row r="29" spans="4:37" ht="20.100000000000001" customHeight="1">
      <c r="D29" s="27">
        <f t="shared" si="3"/>
        <v>7.2222222222222202E-2</v>
      </c>
      <c r="E29" s="16">
        <f t="shared" si="6"/>
        <v>20.222222222223927</v>
      </c>
      <c r="F29" s="16">
        <f t="shared" si="6"/>
        <v>21.377777777778931</v>
      </c>
      <c r="G29" s="16">
        <f t="shared" si="6"/>
        <v>22.099999999999895</v>
      </c>
      <c r="H29" s="17">
        <f t="shared" si="6"/>
        <v>18.777777777776116</v>
      </c>
      <c r="I29" s="17">
        <f t="shared" si="6"/>
        <v>19.933333333331646</v>
      </c>
      <c r="J29" s="17">
        <f t="shared" si="6"/>
        <v>20.655555555554677</v>
      </c>
      <c r="K29" s="18">
        <f t="shared" si="6"/>
        <v>17.333333333334558</v>
      </c>
      <c r="L29" s="18">
        <f t="shared" si="6"/>
        <v>18.488888888889665</v>
      </c>
      <c r="M29" s="18">
        <f t="shared" si="6"/>
        <v>19.211111111112395</v>
      </c>
      <c r="N29" s="19">
        <f t="shared" si="6"/>
        <v>13.288888888888433</v>
      </c>
      <c r="O29" s="19">
        <f t="shared" si="6"/>
        <v>14.444444444445756</v>
      </c>
      <c r="P29" s="19">
        <f t="shared" si="6"/>
        <v>15.166666666665762</v>
      </c>
      <c r="Q29" s="20">
        <f t="shared" si="6"/>
        <v>12.566666666667714</v>
      </c>
      <c r="R29" s="20">
        <f t="shared" si="6"/>
        <v>13.72222222222365</v>
      </c>
      <c r="S29" s="20">
        <f t="shared" si="6"/>
        <v>14.444444444445756</v>
      </c>
      <c r="T29" s="21">
        <f t="shared" si="4"/>
        <v>11.844444444445948</v>
      </c>
      <c r="U29" s="21">
        <f t="shared" si="4"/>
        <v>13</v>
      </c>
      <c r="V29" s="21">
        <f t="shared" si="4"/>
        <v>13.72222222222365</v>
      </c>
      <c r="W29" s="22">
        <f t="shared" si="4"/>
        <v>11.122222222222433</v>
      </c>
      <c r="X29" s="22">
        <f t="shared" si="4"/>
        <v>12.27777777777645</v>
      </c>
      <c r="Y29" s="22">
        <f t="shared" si="4"/>
        <v>13</v>
      </c>
      <c r="Z29" s="23">
        <f t="shared" si="4"/>
        <v>10.399999999999034</v>
      </c>
      <c r="AA29" s="23">
        <f t="shared" si="4"/>
        <v>11.555555555555054</v>
      </c>
      <c r="AB29" s="23">
        <f t="shared" si="4"/>
        <v>12.27777777777645</v>
      </c>
      <c r="AC29" s="24">
        <f t="shared" si="4"/>
        <v>9.6777777777781058</v>
      </c>
      <c r="AD29" s="24">
        <f t="shared" si="4"/>
        <v>10.833333333333242</v>
      </c>
      <c r="AE29" s="24">
        <f t="shared" si="4"/>
        <v>11.555555555555054</v>
      </c>
      <c r="AF29" s="25">
        <f t="shared" si="4"/>
        <v>8.9555555555550832</v>
      </c>
      <c r="AG29" s="25">
        <f t="shared" si="4"/>
        <v>10.111111111111963</v>
      </c>
      <c r="AH29" s="25">
        <f t="shared" si="4"/>
        <v>10.833333333333242</v>
      </c>
      <c r="AI29" s="26">
        <f t="shared" si="4"/>
        <v>8.2333333333336114</v>
      </c>
      <c r="AJ29" s="26">
        <f t="shared" si="5"/>
        <v>9.3888888888880579</v>
      </c>
      <c r="AK29" s="26">
        <f t="shared" si="5"/>
        <v>10.111111111111963</v>
      </c>
    </row>
    <row r="30" spans="4:37" ht="20.100000000000001" customHeight="1">
      <c r="D30" s="27">
        <f t="shared" si="3"/>
        <v>7.4999999999999983E-2</v>
      </c>
      <c r="E30" s="16">
        <f t="shared" si="6"/>
        <v>21.000000000001705</v>
      </c>
      <c r="F30" s="16">
        <f t="shared" si="6"/>
        <v>22.200000000001154</v>
      </c>
      <c r="G30" s="16">
        <f t="shared" si="6"/>
        <v>22.949999999999896</v>
      </c>
      <c r="H30" s="17">
        <f t="shared" si="6"/>
        <v>19.499999999998337</v>
      </c>
      <c r="I30" s="17">
        <f t="shared" si="6"/>
        <v>20.699999999998312</v>
      </c>
      <c r="J30" s="17">
        <f t="shared" si="6"/>
        <v>21.449999999999122</v>
      </c>
      <c r="K30" s="18">
        <f t="shared" si="6"/>
        <v>18.000000000001226</v>
      </c>
      <c r="L30" s="18">
        <f t="shared" si="6"/>
        <v>19.200000000000777</v>
      </c>
      <c r="M30" s="18">
        <f t="shared" si="6"/>
        <v>19.950000000001282</v>
      </c>
      <c r="N30" s="19">
        <f t="shared" si="6"/>
        <v>13.799999999999544</v>
      </c>
      <c r="O30" s="19">
        <f t="shared" si="6"/>
        <v>15.000000000001311</v>
      </c>
      <c r="P30" s="19">
        <f t="shared" si="6"/>
        <v>15.749999999999096</v>
      </c>
      <c r="Q30" s="20">
        <f t="shared" si="6"/>
        <v>13.050000000001047</v>
      </c>
      <c r="R30" s="20">
        <f t="shared" si="6"/>
        <v>14.250000000001428</v>
      </c>
      <c r="S30" s="20">
        <f t="shared" si="6"/>
        <v>15.000000000001311</v>
      </c>
      <c r="T30" s="21">
        <f t="shared" si="4"/>
        <v>12.300000000001504</v>
      </c>
      <c r="U30" s="21">
        <f t="shared" si="4"/>
        <v>13.5</v>
      </c>
      <c r="V30" s="21">
        <f t="shared" si="4"/>
        <v>14.250000000001428</v>
      </c>
      <c r="W30" s="22">
        <f t="shared" si="4"/>
        <v>11.55000000000021</v>
      </c>
      <c r="X30" s="22">
        <f t="shared" si="4"/>
        <v>12.749999999998671</v>
      </c>
      <c r="Y30" s="22">
        <f t="shared" si="4"/>
        <v>13.5</v>
      </c>
      <c r="Z30" s="23">
        <f t="shared" si="4"/>
        <v>10.799999999999034</v>
      </c>
      <c r="AA30" s="23">
        <f t="shared" si="4"/>
        <v>11.999999999999499</v>
      </c>
      <c r="AB30" s="23">
        <f t="shared" si="4"/>
        <v>12.749999999998671</v>
      </c>
      <c r="AC30" s="24">
        <f t="shared" si="4"/>
        <v>10.050000000000328</v>
      </c>
      <c r="AD30" s="24">
        <f t="shared" si="4"/>
        <v>11.249999999999908</v>
      </c>
      <c r="AE30" s="24">
        <f t="shared" si="4"/>
        <v>11.999999999999499</v>
      </c>
      <c r="AF30" s="25">
        <f t="shared" si="4"/>
        <v>9.2999999999995282</v>
      </c>
      <c r="AG30" s="25">
        <f t="shared" si="4"/>
        <v>10.500000000000853</v>
      </c>
      <c r="AH30" s="25">
        <f t="shared" si="4"/>
        <v>11.249999999999908</v>
      </c>
      <c r="AI30" s="26">
        <f t="shared" si="4"/>
        <v>8.5500000000002778</v>
      </c>
      <c r="AJ30" s="26">
        <f t="shared" si="5"/>
        <v>9.7499999999991687</v>
      </c>
      <c r="AK30" s="26">
        <f t="shared" si="5"/>
        <v>10.500000000000853</v>
      </c>
    </row>
    <row r="31" spans="4:37" ht="20.100000000000001" customHeight="1">
      <c r="D31" s="27">
        <f t="shared" si="3"/>
        <v>7.7777777777777765E-2</v>
      </c>
      <c r="E31" s="16">
        <f t="shared" si="6"/>
        <v>21.777777777779484</v>
      </c>
      <c r="F31" s="16">
        <f t="shared" si="6"/>
        <v>23.022222222223377</v>
      </c>
      <c r="G31" s="16">
        <f t="shared" si="6"/>
        <v>23.799999999999898</v>
      </c>
      <c r="H31" s="17">
        <f t="shared" si="6"/>
        <v>20.222222222220559</v>
      </c>
      <c r="I31" s="17">
        <f t="shared" si="6"/>
        <v>21.466666666664977</v>
      </c>
      <c r="J31" s="17">
        <f t="shared" si="6"/>
        <v>22.244444444443566</v>
      </c>
      <c r="K31" s="18">
        <f t="shared" si="6"/>
        <v>18.666666666667894</v>
      </c>
      <c r="L31" s="18">
        <f t="shared" si="6"/>
        <v>19.911111111111889</v>
      </c>
      <c r="M31" s="18">
        <f t="shared" si="6"/>
        <v>20.688888888890169</v>
      </c>
      <c r="N31" s="19">
        <f t="shared" si="6"/>
        <v>14.311111111110655</v>
      </c>
      <c r="O31" s="19">
        <f t="shared" si="6"/>
        <v>15.555555555556866</v>
      </c>
      <c r="P31" s="19">
        <f t="shared" si="6"/>
        <v>16.33333333333243</v>
      </c>
      <c r="Q31" s="20">
        <f t="shared" si="6"/>
        <v>13.533333333334379</v>
      </c>
      <c r="R31" s="20">
        <f t="shared" si="6"/>
        <v>14.777777777779207</v>
      </c>
      <c r="S31" s="20">
        <f t="shared" si="6"/>
        <v>15.555555555556866</v>
      </c>
      <c r="T31" s="21">
        <f t="shared" si="4"/>
        <v>12.755555555557059</v>
      </c>
      <c r="U31" s="21">
        <f t="shared" si="4"/>
        <v>14</v>
      </c>
      <c r="V31" s="21">
        <f t="shared" si="4"/>
        <v>14.777777777779207</v>
      </c>
      <c r="W31" s="22">
        <f t="shared" si="4"/>
        <v>11.977777777777987</v>
      </c>
      <c r="X31" s="22">
        <f t="shared" si="4"/>
        <v>13.222222222220893</v>
      </c>
      <c r="Y31" s="22">
        <f t="shared" si="4"/>
        <v>14</v>
      </c>
      <c r="Z31" s="23">
        <f t="shared" si="4"/>
        <v>11.199999999999035</v>
      </c>
      <c r="AA31" s="23">
        <f t="shared" si="4"/>
        <v>12.444444444443944</v>
      </c>
      <c r="AB31" s="23">
        <f t="shared" si="4"/>
        <v>13.222222222220893</v>
      </c>
      <c r="AC31" s="24">
        <f t="shared" si="4"/>
        <v>10.422222222222549</v>
      </c>
      <c r="AD31" s="24">
        <f t="shared" si="4"/>
        <v>11.666666666666574</v>
      </c>
      <c r="AE31" s="24">
        <f t="shared" si="4"/>
        <v>12.444444444443944</v>
      </c>
      <c r="AF31" s="25">
        <f t="shared" si="4"/>
        <v>9.6444444444439732</v>
      </c>
      <c r="AG31" s="25">
        <f t="shared" si="4"/>
        <v>10.888888888889742</v>
      </c>
      <c r="AH31" s="25">
        <f t="shared" si="4"/>
        <v>11.666666666666574</v>
      </c>
      <c r="AI31" s="26">
        <f t="shared" si="4"/>
        <v>8.8666666666669443</v>
      </c>
      <c r="AJ31" s="26">
        <f t="shared" si="5"/>
        <v>10.111111111110279</v>
      </c>
      <c r="AK31" s="26">
        <f t="shared" si="5"/>
        <v>10.888888888889742</v>
      </c>
    </row>
    <row r="32" spans="4:37" ht="20.100000000000001" customHeight="1">
      <c r="D32" s="27">
        <f t="shared" si="3"/>
        <v>8.0555555555555547E-2</v>
      </c>
      <c r="E32" s="16">
        <f t="shared" si="6"/>
        <v>22.555555555557262</v>
      </c>
      <c r="F32" s="16">
        <f t="shared" si="6"/>
        <v>23.8444444444456</v>
      </c>
      <c r="G32" s="16">
        <f t="shared" si="6"/>
        <v>24.649999999999899</v>
      </c>
      <c r="H32" s="17">
        <f t="shared" si="6"/>
        <v>20.94444444444278</v>
      </c>
      <c r="I32" s="17">
        <f t="shared" si="6"/>
        <v>22.233333333331643</v>
      </c>
      <c r="J32" s="17">
        <f t="shared" si="6"/>
        <v>23.03888888888801</v>
      </c>
      <c r="K32" s="18">
        <f t="shared" si="6"/>
        <v>19.333333333334561</v>
      </c>
      <c r="L32" s="18">
        <f t="shared" si="6"/>
        <v>20.622222222223002</v>
      </c>
      <c r="M32" s="18">
        <f t="shared" si="6"/>
        <v>21.427777777779056</v>
      </c>
      <c r="N32" s="19">
        <f t="shared" si="6"/>
        <v>14.822222222221766</v>
      </c>
      <c r="O32" s="19">
        <f t="shared" si="6"/>
        <v>16.111111111112422</v>
      </c>
      <c r="P32" s="19">
        <f t="shared" si="6"/>
        <v>16.916666666665762</v>
      </c>
      <c r="Q32" s="20">
        <f t="shared" si="6"/>
        <v>14.016666666667712</v>
      </c>
      <c r="R32" s="20">
        <f t="shared" si="6"/>
        <v>15.305555555556985</v>
      </c>
      <c r="S32" s="20">
        <f t="shared" si="6"/>
        <v>16.111111111112422</v>
      </c>
      <c r="T32" s="21">
        <f t="shared" si="4"/>
        <v>13.211111111112615</v>
      </c>
      <c r="U32" s="21">
        <f t="shared" si="4"/>
        <v>14.5</v>
      </c>
      <c r="V32" s="21">
        <f t="shared" si="4"/>
        <v>15.305555555556985</v>
      </c>
      <c r="W32" s="22">
        <f t="shared" si="4"/>
        <v>12.405555555555765</v>
      </c>
      <c r="X32" s="22">
        <f t="shared" si="4"/>
        <v>13.694444444443114</v>
      </c>
      <c r="Y32" s="22">
        <f t="shared" si="4"/>
        <v>14.5</v>
      </c>
      <c r="Z32" s="23">
        <f t="shared" si="4"/>
        <v>11.599999999999035</v>
      </c>
      <c r="AA32" s="23">
        <f t="shared" si="4"/>
        <v>12.888888888888388</v>
      </c>
      <c r="AB32" s="23">
        <f t="shared" si="4"/>
        <v>13.694444444443114</v>
      </c>
      <c r="AC32" s="24">
        <f t="shared" si="4"/>
        <v>10.794444444444771</v>
      </c>
      <c r="AD32" s="24">
        <f t="shared" si="4"/>
        <v>12.08333333333324</v>
      </c>
      <c r="AE32" s="24">
        <f t="shared" si="4"/>
        <v>12.888888888888388</v>
      </c>
      <c r="AF32" s="25">
        <f t="shared" si="4"/>
        <v>9.9888888888884182</v>
      </c>
      <c r="AG32" s="25">
        <f t="shared" si="4"/>
        <v>11.277777777778631</v>
      </c>
      <c r="AH32" s="25">
        <f t="shared" si="4"/>
        <v>12.08333333333324</v>
      </c>
      <c r="AI32" s="26">
        <f t="shared" si="4"/>
        <v>9.1833333333336107</v>
      </c>
      <c r="AJ32" s="26">
        <f t="shared" si="5"/>
        <v>10.47222222222139</v>
      </c>
      <c r="AK32" s="26">
        <f t="shared" si="5"/>
        <v>11.277777777778631</v>
      </c>
    </row>
    <row r="33" spans="4:37" ht="20.100000000000001" customHeight="1">
      <c r="D33" s="27">
        <f t="shared" si="3"/>
        <v>8.3333333333333329E-2</v>
      </c>
      <c r="E33" s="16">
        <f t="shared" si="6"/>
        <v>23.333333333335041</v>
      </c>
      <c r="F33" s="16">
        <f t="shared" si="6"/>
        <v>24.666666666667822</v>
      </c>
      <c r="G33" s="16">
        <f t="shared" si="6"/>
        <v>25.499999999999901</v>
      </c>
      <c r="H33" s="17">
        <f t="shared" si="6"/>
        <v>21.666666666665002</v>
      </c>
      <c r="I33" s="17">
        <f t="shared" si="6"/>
        <v>22.999999999998309</v>
      </c>
      <c r="J33" s="17">
        <f t="shared" si="6"/>
        <v>23.833333333332455</v>
      </c>
      <c r="K33" s="18">
        <f t="shared" si="6"/>
        <v>20.000000000001229</v>
      </c>
      <c r="L33" s="18">
        <f t="shared" si="6"/>
        <v>21.333333333334114</v>
      </c>
      <c r="M33" s="18">
        <f t="shared" si="6"/>
        <v>22.166666666667943</v>
      </c>
      <c r="N33" s="19">
        <f t="shared" si="6"/>
        <v>15.333333333332877</v>
      </c>
      <c r="O33" s="19">
        <f t="shared" si="6"/>
        <v>16.666666666667979</v>
      </c>
      <c r="P33" s="19">
        <f t="shared" si="6"/>
        <v>17.499999999999094</v>
      </c>
      <c r="Q33" s="20">
        <f t="shared" si="6"/>
        <v>14.500000000001044</v>
      </c>
      <c r="R33" s="20">
        <f t="shared" si="6"/>
        <v>15.833333333334764</v>
      </c>
      <c r="S33" s="20">
        <f t="shared" si="6"/>
        <v>16.666666666667979</v>
      </c>
      <c r="T33" s="21">
        <f t="shared" si="4"/>
        <v>13.666666666668171</v>
      </c>
      <c r="U33" s="21">
        <f t="shared" si="4"/>
        <v>15</v>
      </c>
      <c r="V33" s="21">
        <f t="shared" si="4"/>
        <v>15.833333333334764</v>
      </c>
      <c r="W33" s="22">
        <f t="shared" si="4"/>
        <v>12.833333333333542</v>
      </c>
      <c r="X33" s="22">
        <f t="shared" si="4"/>
        <v>14.166666666665336</v>
      </c>
      <c r="Y33" s="22">
        <f t="shared" si="4"/>
        <v>15</v>
      </c>
      <c r="Z33" s="23">
        <f t="shared" si="4"/>
        <v>11.999999999999035</v>
      </c>
      <c r="AA33" s="23">
        <f t="shared" si="4"/>
        <v>13.333333333332833</v>
      </c>
      <c r="AB33" s="23">
        <f t="shared" si="4"/>
        <v>14.166666666665336</v>
      </c>
      <c r="AC33" s="24">
        <f t="shared" si="4"/>
        <v>11.166666666666993</v>
      </c>
      <c r="AD33" s="24">
        <f t="shared" si="4"/>
        <v>12.499999999999906</v>
      </c>
      <c r="AE33" s="24">
        <f t="shared" si="4"/>
        <v>13.333333333332833</v>
      </c>
      <c r="AF33" s="25">
        <f t="shared" si="4"/>
        <v>10.333333333332863</v>
      </c>
      <c r="AG33" s="25">
        <f t="shared" si="4"/>
        <v>11.666666666667521</v>
      </c>
      <c r="AH33" s="25">
        <f t="shared" si="4"/>
        <v>12.499999999999906</v>
      </c>
      <c r="AI33" s="26">
        <f t="shared" si="4"/>
        <v>9.5000000000002771</v>
      </c>
      <c r="AJ33" s="26">
        <f t="shared" si="5"/>
        <v>10.833333333332501</v>
      </c>
      <c r="AK33" s="26">
        <f t="shared" si="5"/>
        <v>11.666666666667521</v>
      </c>
    </row>
    <row r="34" spans="4:37" ht="20.100000000000001" customHeight="1">
      <c r="D34" s="27">
        <f t="shared" si="3"/>
        <v>8.611111111111111E-2</v>
      </c>
      <c r="E34" s="16">
        <f t="shared" si="6"/>
        <v>24.11111111111282</v>
      </c>
      <c r="F34" s="16">
        <f t="shared" si="6"/>
        <v>25.488888888890045</v>
      </c>
      <c r="G34" s="16">
        <f t="shared" si="6"/>
        <v>26.349999999999902</v>
      </c>
      <c r="H34" s="17">
        <f t="shared" si="6"/>
        <v>22.388888888887223</v>
      </c>
      <c r="I34" s="17">
        <f t="shared" si="6"/>
        <v>23.766666666664975</v>
      </c>
      <c r="J34" s="17">
        <f t="shared" si="6"/>
        <v>24.627777777776899</v>
      </c>
      <c r="K34" s="18">
        <f t="shared" si="6"/>
        <v>20.666666666667897</v>
      </c>
      <c r="L34" s="18">
        <f t="shared" si="6"/>
        <v>22.044444444445226</v>
      </c>
      <c r="M34" s="18">
        <f t="shared" si="6"/>
        <v>22.90555555555683</v>
      </c>
      <c r="N34" s="19">
        <f t="shared" si="6"/>
        <v>15.844444444443988</v>
      </c>
      <c r="O34" s="19">
        <f t="shared" si="6"/>
        <v>17.222222222223536</v>
      </c>
      <c r="P34" s="19">
        <f t="shared" si="6"/>
        <v>18.083333333332426</v>
      </c>
      <c r="Q34" s="20">
        <f t="shared" si="6"/>
        <v>14.983333333334377</v>
      </c>
      <c r="R34" s="20">
        <f t="shared" si="6"/>
        <v>16.361111111112542</v>
      </c>
      <c r="S34" s="20">
        <f t="shared" si="6"/>
        <v>17.222222222223536</v>
      </c>
      <c r="T34" s="21">
        <f t="shared" si="4"/>
        <v>14.122222222223726</v>
      </c>
      <c r="U34" s="21">
        <f t="shared" si="4"/>
        <v>15.5</v>
      </c>
      <c r="V34" s="21">
        <f t="shared" si="4"/>
        <v>16.361111111112542</v>
      </c>
      <c r="W34" s="22">
        <f t="shared" si="4"/>
        <v>13.261111111111319</v>
      </c>
      <c r="X34" s="22">
        <f t="shared" si="4"/>
        <v>14.638888888887557</v>
      </c>
      <c r="Y34" s="22">
        <f t="shared" si="4"/>
        <v>15.5</v>
      </c>
      <c r="Z34" s="23">
        <f t="shared" si="4"/>
        <v>12.399999999999036</v>
      </c>
      <c r="AA34" s="23">
        <f t="shared" si="4"/>
        <v>13.777777777777278</v>
      </c>
      <c r="AB34" s="23">
        <f t="shared" si="4"/>
        <v>14.638888888887557</v>
      </c>
      <c r="AC34" s="24">
        <f t="shared" si="4"/>
        <v>11.538888888889215</v>
      </c>
      <c r="AD34" s="24">
        <f t="shared" si="4"/>
        <v>12.916666666666572</v>
      </c>
      <c r="AE34" s="24">
        <f t="shared" si="4"/>
        <v>13.777777777777278</v>
      </c>
      <c r="AF34" s="25">
        <f t="shared" si="4"/>
        <v>10.677777777777308</v>
      </c>
      <c r="AG34" s="25">
        <f t="shared" si="4"/>
        <v>12.05555555555641</v>
      </c>
      <c r="AH34" s="25">
        <f t="shared" ref="AE34:AK70" si="7">AH35-(AH$363/360)</f>
        <v>12.916666666666572</v>
      </c>
      <c r="AI34" s="26">
        <f t="shared" si="7"/>
        <v>9.8166666666669435</v>
      </c>
      <c r="AJ34" s="26">
        <f t="shared" si="7"/>
        <v>11.194444444443612</v>
      </c>
      <c r="AK34" s="26">
        <f t="shared" si="7"/>
        <v>12.05555555555641</v>
      </c>
    </row>
    <row r="35" spans="4:37" ht="20.100000000000001" customHeight="1">
      <c r="D35" s="27">
        <f t="shared" si="3"/>
        <v>8.8888888888888892E-2</v>
      </c>
      <c r="E35" s="16">
        <f t="shared" si="6"/>
        <v>24.888888888890598</v>
      </c>
      <c r="F35" s="16">
        <f t="shared" si="6"/>
        <v>26.311111111112268</v>
      </c>
      <c r="G35" s="16">
        <f t="shared" si="6"/>
        <v>27.199999999999903</v>
      </c>
      <c r="H35" s="17">
        <f t="shared" si="6"/>
        <v>23.111111111109444</v>
      </c>
      <c r="I35" s="17">
        <f t="shared" si="6"/>
        <v>24.53333333333164</v>
      </c>
      <c r="J35" s="17">
        <f t="shared" si="6"/>
        <v>25.422222222221343</v>
      </c>
      <c r="K35" s="18">
        <f t="shared" si="6"/>
        <v>21.333333333334565</v>
      </c>
      <c r="L35" s="18">
        <f t="shared" si="6"/>
        <v>22.755555555556338</v>
      </c>
      <c r="M35" s="18">
        <f t="shared" si="6"/>
        <v>23.644444444445718</v>
      </c>
      <c r="N35" s="19">
        <f t="shared" si="6"/>
        <v>16.3555555555551</v>
      </c>
      <c r="O35" s="19">
        <f t="shared" si="6"/>
        <v>17.777777777779093</v>
      </c>
      <c r="P35" s="19">
        <f t="shared" si="6"/>
        <v>18.666666666665758</v>
      </c>
      <c r="Q35" s="20">
        <f t="shared" si="6"/>
        <v>15.46666666666771</v>
      </c>
      <c r="R35" s="20">
        <f t="shared" si="6"/>
        <v>16.888888888890321</v>
      </c>
      <c r="S35" s="20">
        <f t="shared" si="6"/>
        <v>17.777777777779093</v>
      </c>
      <c r="T35" s="21">
        <f t="shared" ref="T35:AG55" si="8">T36-(T$363/360)</f>
        <v>14.577777777779282</v>
      </c>
      <c r="U35" s="21">
        <f t="shared" si="8"/>
        <v>16</v>
      </c>
      <c r="V35" s="21">
        <f t="shared" si="8"/>
        <v>16.888888888890321</v>
      </c>
      <c r="W35" s="22">
        <f t="shared" si="8"/>
        <v>13.688888888889096</v>
      </c>
      <c r="X35" s="22">
        <f t="shared" si="8"/>
        <v>15.111111111109778</v>
      </c>
      <c r="Y35" s="22">
        <f t="shared" si="8"/>
        <v>16</v>
      </c>
      <c r="Z35" s="23">
        <f t="shared" si="8"/>
        <v>12.799999999999036</v>
      </c>
      <c r="AA35" s="23">
        <f t="shared" si="8"/>
        <v>14.222222222221722</v>
      </c>
      <c r="AB35" s="23">
        <f t="shared" si="8"/>
        <v>15.111111111109778</v>
      </c>
      <c r="AC35" s="24">
        <f t="shared" si="8"/>
        <v>11.911111111111437</v>
      </c>
      <c r="AD35" s="24">
        <f t="shared" si="8"/>
        <v>13.333333333333238</v>
      </c>
      <c r="AE35" s="24">
        <f t="shared" si="7"/>
        <v>14.222222222221722</v>
      </c>
      <c r="AF35" s="25">
        <f t="shared" si="7"/>
        <v>11.022222222221753</v>
      </c>
      <c r="AG35" s="25">
        <f t="shared" si="7"/>
        <v>12.444444444445299</v>
      </c>
      <c r="AH35" s="25">
        <f t="shared" si="7"/>
        <v>13.333333333333238</v>
      </c>
      <c r="AI35" s="26">
        <f t="shared" si="7"/>
        <v>10.13333333333361</v>
      </c>
      <c r="AJ35" s="26">
        <f t="shared" si="7"/>
        <v>11.555555555554722</v>
      </c>
      <c r="AK35" s="26">
        <f t="shared" si="7"/>
        <v>12.444444444445299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25.666666666668377</v>
      </c>
      <c r="F36" s="16">
        <f t="shared" si="9"/>
        <v>27.133333333334491</v>
      </c>
      <c r="G36" s="16">
        <f t="shared" si="9"/>
        <v>28.049999999999905</v>
      </c>
      <c r="H36" s="17">
        <f t="shared" si="9"/>
        <v>23.833333333331666</v>
      </c>
      <c r="I36" s="17">
        <f t="shared" si="9"/>
        <v>25.299999999998306</v>
      </c>
      <c r="J36" s="17">
        <f t="shared" si="9"/>
        <v>26.216666666665787</v>
      </c>
      <c r="K36" s="18">
        <f t="shared" si="9"/>
        <v>22.000000000001233</v>
      </c>
      <c r="L36" s="18">
        <f t="shared" si="9"/>
        <v>23.46666666666745</v>
      </c>
      <c r="M36" s="18">
        <f t="shared" si="9"/>
        <v>24.383333333334605</v>
      </c>
      <c r="N36" s="19">
        <f t="shared" si="9"/>
        <v>16.866666666666212</v>
      </c>
      <c r="O36" s="19">
        <f t="shared" si="9"/>
        <v>18.33333333333465</v>
      </c>
      <c r="P36" s="19">
        <f t="shared" si="9"/>
        <v>19.249999999999091</v>
      </c>
      <c r="Q36" s="20">
        <f t="shared" si="9"/>
        <v>15.950000000001042</v>
      </c>
      <c r="R36" s="20">
        <f t="shared" si="9"/>
        <v>17.4166666666681</v>
      </c>
      <c r="S36" s="20">
        <f t="shared" si="9"/>
        <v>18.33333333333465</v>
      </c>
      <c r="T36" s="21">
        <f t="shared" si="8"/>
        <v>15.033333333334838</v>
      </c>
      <c r="U36" s="21">
        <f t="shared" si="8"/>
        <v>16.5</v>
      </c>
      <c r="V36" s="21">
        <f t="shared" si="8"/>
        <v>17.4166666666681</v>
      </c>
      <c r="W36" s="22">
        <f t="shared" si="8"/>
        <v>14.116666666666873</v>
      </c>
      <c r="X36" s="22">
        <f t="shared" si="8"/>
        <v>15.583333333332</v>
      </c>
      <c r="Y36" s="22">
        <f t="shared" si="8"/>
        <v>16.5</v>
      </c>
      <c r="Z36" s="23">
        <f t="shared" si="8"/>
        <v>13.199999999999037</v>
      </c>
      <c r="AA36" s="23">
        <f t="shared" si="8"/>
        <v>14.666666666666167</v>
      </c>
      <c r="AB36" s="23">
        <f t="shared" si="8"/>
        <v>15.583333333332</v>
      </c>
      <c r="AC36" s="24">
        <f t="shared" si="8"/>
        <v>12.283333333333658</v>
      </c>
      <c r="AD36" s="24">
        <f t="shared" si="8"/>
        <v>13.749999999999904</v>
      </c>
      <c r="AE36" s="24">
        <f t="shared" si="7"/>
        <v>14.666666666666167</v>
      </c>
      <c r="AF36" s="25">
        <f t="shared" si="7"/>
        <v>11.366666666666198</v>
      </c>
      <c r="AG36" s="25">
        <f t="shared" si="7"/>
        <v>12.833333333334188</v>
      </c>
      <c r="AH36" s="25">
        <f t="shared" si="7"/>
        <v>13.749999999999904</v>
      </c>
      <c r="AI36" s="26">
        <f t="shared" si="7"/>
        <v>10.450000000000276</v>
      </c>
      <c r="AJ36" s="26">
        <f t="shared" si="7"/>
        <v>11.916666666665833</v>
      </c>
      <c r="AK36" s="26">
        <f t="shared" si="7"/>
        <v>12.833333333334188</v>
      </c>
    </row>
    <row r="37" spans="4:37" ht="20.100000000000001" customHeight="1">
      <c r="D37" s="27">
        <f t="shared" si="3"/>
        <v>9.4444444444444456E-2</v>
      </c>
      <c r="E37" s="16">
        <f t="shared" si="9"/>
        <v>26.444444444446155</v>
      </c>
      <c r="F37" s="16">
        <f t="shared" si="9"/>
        <v>27.955555555556714</v>
      </c>
      <c r="G37" s="16">
        <f t="shared" si="9"/>
        <v>28.899999999999906</v>
      </c>
      <c r="H37" s="17">
        <f t="shared" si="9"/>
        <v>24.555555555553887</v>
      </c>
      <c r="I37" s="17">
        <f t="shared" si="9"/>
        <v>26.066666666664972</v>
      </c>
      <c r="J37" s="17">
        <f t="shared" si="9"/>
        <v>27.011111111110232</v>
      </c>
      <c r="K37" s="18">
        <f t="shared" si="9"/>
        <v>22.666666666667901</v>
      </c>
      <c r="L37" s="18">
        <f t="shared" si="9"/>
        <v>24.177777777778562</v>
      </c>
      <c r="M37" s="18">
        <f t="shared" si="9"/>
        <v>25.122222222223492</v>
      </c>
      <c r="N37" s="19">
        <f t="shared" si="9"/>
        <v>17.377777777777325</v>
      </c>
      <c r="O37" s="19">
        <f t="shared" si="9"/>
        <v>18.888888888890207</v>
      </c>
      <c r="P37" s="19">
        <f t="shared" si="9"/>
        <v>19.833333333332423</v>
      </c>
      <c r="Q37" s="20">
        <f t="shared" si="9"/>
        <v>16.433333333334375</v>
      </c>
      <c r="R37" s="20">
        <f t="shared" si="9"/>
        <v>17.944444444445878</v>
      </c>
      <c r="S37" s="20">
        <f t="shared" si="9"/>
        <v>18.888888888890207</v>
      </c>
      <c r="T37" s="21">
        <f t="shared" si="8"/>
        <v>15.488888888890394</v>
      </c>
      <c r="U37" s="21">
        <f t="shared" si="8"/>
        <v>17</v>
      </c>
      <c r="V37" s="21">
        <f t="shared" si="8"/>
        <v>17.944444444445878</v>
      </c>
      <c r="W37" s="22">
        <f t="shared" si="8"/>
        <v>14.54444444444465</v>
      </c>
      <c r="X37" s="22">
        <f t="shared" si="8"/>
        <v>16.055555555554221</v>
      </c>
      <c r="Y37" s="22">
        <f t="shared" si="8"/>
        <v>17</v>
      </c>
      <c r="Z37" s="23">
        <f t="shared" si="8"/>
        <v>13.599999999999037</v>
      </c>
      <c r="AA37" s="23">
        <f t="shared" si="8"/>
        <v>15.111111111110612</v>
      </c>
      <c r="AB37" s="23">
        <f t="shared" si="8"/>
        <v>16.055555555554221</v>
      </c>
      <c r="AC37" s="24">
        <f t="shared" si="8"/>
        <v>12.65555555555588</v>
      </c>
      <c r="AD37" s="24">
        <f t="shared" si="8"/>
        <v>14.16666666666657</v>
      </c>
      <c r="AE37" s="24">
        <f t="shared" si="7"/>
        <v>15.111111111110612</v>
      </c>
      <c r="AF37" s="25">
        <f t="shared" si="7"/>
        <v>11.711111111110643</v>
      </c>
      <c r="AG37" s="25">
        <f t="shared" si="7"/>
        <v>13.222222222223078</v>
      </c>
      <c r="AH37" s="25">
        <f t="shared" si="7"/>
        <v>14.16666666666657</v>
      </c>
      <c r="AI37" s="26">
        <f t="shared" si="7"/>
        <v>10.766666666666943</v>
      </c>
      <c r="AJ37" s="26">
        <f t="shared" si="7"/>
        <v>12.277777777776944</v>
      </c>
      <c r="AK37" s="26">
        <f t="shared" si="7"/>
        <v>13.222222222223078</v>
      </c>
    </row>
    <row r="38" spans="4:37" ht="20.100000000000001" customHeight="1">
      <c r="D38" s="27">
        <f t="shared" si="3"/>
        <v>9.7222222222222238E-2</v>
      </c>
      <c r="E38" s="16">
        <f t="shared" si="9"/>
        <v>27.222222222223934</v>
      </c>
      <c r="F38" s="16">
        <f t="shared" si="9"/>
        <v>28.777777777778937</v>
      </c>
      <c r="G38" s="16">
        <f t="shared" si="9"/>
        <v>29.749999999999908</v>
      </c>
      <c r="H38" s="17">
        <f t="shared" si="9"/>
        <v>25.277777777776109</v>
      </c>
      <c r="I38" s="17">
        <f t="shared" si="9"/>
        <v>26.833333333331638</v>
      </c>
      <c r="J38" s="17">
        <f t="shared" si="9"/>
        <v>27.805555555554676</v>
      </c>
      <c r="K38" s="18">
        <f t="shared" si="9"/>
        <v>23.333333333334568</v>
      </c>
      <c r="L38" s="18">
        <f t="shared" si="9"/>
        <v>24.888888888889674</v>
      </c>
      <c r="M38" s="18">
        <f t="shared" si="9"/>
        <v>25.861111111112379</v>
      </c>
      <c r="N38" s="19">
        <f t="shared" si="9"/>
        <v>17.888888888888438</v>
      </c>
      <c r="O38" s="19">
        <f t="shared" si="9"/>
        <v>19.444444444445764</v>
      </c>
      <c r="P38" s="19">
        <f t="shared" si="9"/>
        <v>20.416666666665755</v>
      </c>
      <c r="Q38" s="20">
        <f t="shared" si="9"/>
        <v>16.916666666667709</v>
      </c>
      <c r="R38" s="20">
        <f t="shared" si="9"/>
        <v>18.472222222223657</v>
      </c>
      <c r="S38" s="20">
        <f t="shared" si="9"/>
        <v>19.444444444445764</v>
      </c>
      <c r="T38" s="21">
        <f t="shared" si="8"/>
        <v>15.944444444445949</v>
      </c>
      <c r="U38" s="21">
        <f t="shared" si="8"/>
        <v>17.5</v>
      </c>
      <c r="V38" s="21">
        <f t="shared" si="8"/>
        <v>18.472222222223657</v>
      </c>
      <c r="W38" s="22">
        <f t="shared" si="8"/>
        <v>14.972222222222427</v>
      </c>
      <c r="X38" s="22">
        <f t="shared" si="8"/>
        <v>16.527777777776443</v>
      </c>
      <c r="Y38" s="22">
        <f t="shared" si="8"/>
        <v>17.5</v>
      </c>
      <c r="Z38" s="23">
        <f t="shared" si="8"/>
        <v>13.999999999999037</v>
      </c>
      <c r="AA38" s="23">
        <f t="shared" si="8"/>
        <v>15.555555555555056</v>
      </c>
      <c r="AB38" s="23">
        <f t="shared" si="8"/>
        <v>16.527777777776443</v>
      </c>
      <c r="AC38" s="24">
        <f t="shared" si="8"/>
        <v>13.027777777778102</v>
      </c>
      <c r="AD38" s="24">
        <f t="shared" si="8"/>
        <v>14.583333333333236</v>
      </c>
      <c r="AE38" s="24">
        <f t="shared" si="7"/>
        <v>15.555555555555056</v>
      </c>
      <c r="AF38" s="25">
        <f t="shared" si="7"/>
        <v>12.055555555555088</v>
      </c>
      <c r="AG38" s="25">
        <f t="shared" si="7"/>
        <v>13.611111111111967</v>
      </c>
      <c r="AH38" s="25">
        <f t="shared" si="7"/>
        <v>14.583333333333236</v>
      </c>
      <c r="AI38" s="26">
        <f t="shared" si="7"/>
        <v>11.083333333333609</v>
      </c>
      <c r="AJ38" s="26">
        <f t="shared" si="7"/>
        <v>12.638888888888054</v>
      </c>
      <c r="AK38" s="26">
        <f t="shared" si="7"/>
        <v>13.611111111111967</v>
      </c>
    </row>
    <row r="39" spans="4:37" ht="20.100000000000001" customHeight="1">
      <c r="D39" s="27">
        <f t="shared" si="3"/>
        <v>0.10000000000000002</v>
      </c>
      <c r="E39" s="16">
        <f t="shared" si="9"/>
        <v>28.000000000001712</v>
      </c>
      <c r="F39" s="16">
        <f t="shared" si="9"/>
        <v>29.60000000000116</v>
      </c>
      <c r="G39" s="16">
        <f t="shared" si="9"/>
        <v>30.599999999999909</v>
      </c>
      <c r="H39" s="17">
        <f t="shared" si="9"/>
        <v>25.99999999999833</v>
      </c>
      <c r="I39" s="17">
        <f t="shared" si="9"/>
        <v>27.599999999998303</v>
      </c>
      <c r="J39" s="17">
        <f t="shared" si="9"/>
        <v>28.59999999999912</v>
      </c>
      <c r="K39" s="18">
        <f t="shared" si="9"/>
        <v>24.000000000001236</v>
      </c>
      <c r="L39" s="18">
        <f t="shared" si="9"/>
        <v>25.600000000000787</v>
      </c>
      <c r="M39" s="18">
        <f t="shared" si="9"/>
        <v>26.600000000001266</v>
      </c>
      <c r="N39" s="19">
        <f t="shared" si="9"/>
        <v>18.399999999999551</v>
      </c>
      <c r="O39" s="19">
        <f t="shared" si="9"/>
        <v>20.000000000001322</v>
      </c>
      <c r="P39" s="19">
        <f t="shared" si="9"/>
        <v>20.999999999999087</v>
      </c>
      <c r="Q39" s="20">
        <f t="shared" si="9"/>
        <v>17.400000000001043</v>
      </c>
      <c r="R39" s="20">
        <f t="shared" si="9"/>
        <v>19.000000000001435</v>
      </c>
      <c r="S39" s="20">
        <f t="shared" si="9"/>
        <v>20.000000000001322</v>
      </c>
      <c r="T39" s="21">
        <f t="shared" si="8"/>
        <v>16.400000000001505</v>
      </c>
      <c r="U39" s="21">
        <f t="shared" si="8"/>
        <v>18</v>
      </c>
      <c r="V39" s="21">
        <f t="shared" si="8"/>
        <v>19.000000000001435</v>
      </c>
      <c r="W39" s="22">
        <f t="shared" si="8"/>
        <v>15.400000000000205</v>
      </c>
      <c r="X39" s="22">
        <f t="shared" si="8"/>
        <v>16.999999999998664</v>
      </c>
      <c r="Y39" s="22">
        <f t="shared" si="8"/>
        <v>18</v>
      </c>
      <c r="Z39" s="23">
        <f t="shared" si="8"/>
        <v>14.399999999999038</v>
      </c>
      <c r="AA39" s="23">
        <f t="shared" si="8"/>
        <v>15.999999999999501</v>
      </c>
      <c r="AB39" s="23">
        <f t="shared" si="8"/>
        <v>16.999999999998664</v>
      </c>
      <c r="AC39" s="24">
        <f t="shared" si="8"/>
        <v>13.400000000000324</v>
      </c>
      <c r="AD39" s="24">
        <f t="shared" si="8"/>
        <v>14.999999999999902</v>
      </c>
      <c r="AE39" s="24">
        <f t="shared" si="7"/>
        <v>15.999999999999501</v>
      </c>
      <c r="AF39" s="25">
        <f t="shared" si="7"/>
        <v>12.399999999999533</v>
      </c>
      <c r="AG39" s="25">
        <f t="shared" si="7"/>
        <v>14.000000000000856</v>
      </c>
      <c r="AH39" s="25">
        <f t="shared" si="7"/>
        <v>14.999999999999902</v>
      </c>
      <c r="AI39" s="26">
        <f t="shared" si="7"/>
        <v>11.400000000000276</v>
      </c>
      <c r="AJ39" s="26">
        <f t="shared" si="7"/>
        <v>12.999999999999165</v>
      </c>
      <c r="AK39" s="26">
        <f t="shared" si="7"/>
        <v>14.000000000000856</v>
      </c>
    </row>
    <row r="40" spans="4:37" ht="20.100000000000001" customHeight="1">
      <c r="D40" s="27">
        <f t="shared" si="3"/>
        <v>0.1027777777777778</v>
      </c>
      <c r="E40" s="16">
        <f t="shared" si="9"/>
        <v>28.777777777779491</v>
      </c>
      <c r="F40" s="16">
        <f t="shared" si="9"/>
        <v>30.422222222223382</v>
      </c>
      <c r="G40" s="16">
        <f t="shared" si="9"/>
        <v>31.44999999999991</v>
      </c>
      <c r="H40" s="17">
        <f t="shared" si="9"/>
        <v>26.722222222220552</v>
      </c>
      <c r="I40" s="17">
        <f t="shared" si="9"/>
        <v>28.366666666664969</v>
      </c>
      <c r="J40" s="17">
        <f t="shared" si="9"/>
        <v>29.394444444443565</v>
      </c>
      <c r="K40" s="18">
        <f t="shared" si="9"/>
        <v>24.666666666667904</v>
      </c>
      <c r="L40" s="18">
        <f t="shared" si="9"/>
        <v>26.311111111111899</v>
      </c>
      <c r="M40" s="18">
        <f t="shared" si="9"/>
        <v>27.338888888890153</v>
      </c>
      <c r="N40" s="19">
        <f t="shared" si="9"/>
        <v>18.911111111110664</v>
      </c>
      <c r="O40" s="19">
        <f t="shared" si="9"/>
        <v>20.555555555556879</v>
      </c>
      <c r="P40" s="19">
        <f t="shared" si="9"/>
        <v>21.583333333332419</v>
      </c>
      <c r="Q40" s="20">
        <f t="shared" si="9"/>
        <v>17.883333333334377</v>
      </c>
      <c r="R40" s="20">
        <f t="shared" si="9"/>
        <v>19.527777777779214</v>
      </c>
      <c r="S40" s="20">
        <f t="shared" si="9"/>
        <v>20.555555555556879</v>
      </c>
      <c r="T40" s="21">
        <f t="shared" si="8"/>
        <v>16.855555555557061</v>
      </c>
      <c r="U40" s="21">
        <f t="shared" si="8"/>
        <v>18.5</v>
      </c>
      <c r="V40" s="21">
        <f t="shared" si="8"/>
        <v>19.527777777779214</v>
      </c>
      <c r="W40" s="22">
        <f t="shared" si="8"/>
        <v>15.827777777777982</v>
      </c>
      <c r="X40" s="22">
        <f t="shared" si="8"/>
        <v>17.472222222220886</v>
      </c>
      <c r="Y40" s="22">
        <f t="shared" si="8"/>
        <v>18.5</v>
      </c>
      <c r="Z40" s="23">
        <f t="shared" si="8"/>
        <v>14.799999999999038</v>
      </c>
      <c r="AA40" s="23">
        <f t="shared" si="8"/>
        <v>16.444444444443945</v>
      </c>
      <c r="AB40" s="23">
        <f t="shared" si="8"/>
        <v>17.472222222220886</v>
      </c>
      <c r="AC40" s="24">
        <f t="shared" si="8"/>
        <v>13.772222222222545</v>
      </c>
      <c r="AD40" s="24">
        <f t="shared" si="8"/>
        <v>15.416666666666568</v>
      </c>
      <c r="AE40" s="24">
        <f>AE41-(AE$363/360)</f>
        <v>16.444444444443945</v>
      </c>
      <c r="AF40" s="25">
        <f>AF41-(AF$363/360)</f>
        <v>12.744444444443978</v>
      </c>
      <c r="AG40" s="25">
        <f>AG41-(AG$363/360)</f>
        <v>14.388888888889745</v>
      </c>
      <c r="AH40" s="25">
        <f>AH41-(AH$363/360)</f>
        <v>15.416666666666568</v>
      </c>
      <c r="AI40" s="26">
        <f>AI41-(AI$363/360)</f>
        <v>11.716666666666942</v>
      </c>
      <c r="AJ40" s="26">
        <f t="shared" si="7"/>
        <v>13.361111111110276</v>
      </c>
      <c r="AK40" s="26">
        <f t="shared" si="7"/>
        <v>14.388888888889745</v>
      </c>
    </row>
    <row r="41" spans="4:37" ht="20.100000000000001" customHeight="1">
      <c r="D41" s="27">
        <f t="shared" si="3"/>
        <v>0.10555555555555558</v>
      </c>
      <c r="E41" s="16">
        <f t="shared" si="9"/>
        <v>29.55555555555727</v>
      </c>
      <c r="F41" s="16">
        <f t="shared" si="9"/>
        <v>31.244444444445605</v>
      </c>
      <c r="G41" s="16">
        <f t="shared" si="9"/>
        <v>32.299999999999912</v>
      </c>
      <c r="H41" s="17">
        <f t="shared" si="9"/>
        <v>27.444444444442773</v>
      </c>
      <c r="I41" s="17">
        <f t="shared" si="9"/>
        <v>29.133333333331635</v>
      </c>
      <c r="J41" s="17">
        <f t="shared" si="9"/>
        <v>30.188888888888009</v>
      </c>
      <c r="K41" s="18">
        <f t="shared" si="9"/>
        <v>25.333333333334572</v>
      </c>
      <c r="L41" s="18">
        <f t="shared" si="9"/>
        <v>27.022222222223011</v>
      </c>
      <c r="M41" s="18">
        <f t="shared" si="9"/>
        <v>28.07777777777904</v>
      </c>
      <c r="N41" s="19">
        <f t="shared" si="9"/>
        <v>19.422222222221777</v>
      </c>
      <c r="O41" s="19">
        <f t="shared" si="9"/>
        <v>21.111111111112436</v>
      </c>
      <c r="P41" s="19">
        <f t="shared" si="9"/>
        <v>22.166666666665751</v>
      </c>
      <c r="Q41" s="20">
        <f t="shared" si="9"/>
        <v>18.366666666667712</v>
      </c>
      <c r="R41" s="20">
        <f t="shared" si="9"/>
        <v>20.055555555556992</v>
      </c>
      <c r="S41" s="20">
        <f t="shared" si="9"/>
        <v>21.111111111112436</v>
      </c>
      <c r="T41" s="21">
        <f t="shared" si="8"/>
        <v>17.311111111112616</v>
      </c>
      <c r="U41" s="21">
        <f t="shared" si="8"/>
        <v>19</v>
      </c>
      <c r="V41" s="21">
        <f t="shared" si="8"/>
        <v>20.055555555556992</v>
      </c>
      <c r="W41" s="22">
        <f t="shared" si="8"/>
        <v>16.255555555555759</v>
      </c>
      <c r="X41" s="22">
        <f t="shared" si="8"/>
        <v>17.944444444443107</v>
      </c>
      <c r="Y41" s="22">
        <f t="shared" si="8"/>
        <v>19</v>
      </c>
      <c r="Z41" s="23">
        <f t="shared" si="8"/>
        <v>15.199999999999038</v>
      </c>
      <c r="AA41" s="23">
        <f t="shared" si="8"/>
        <v>16.888888888888388</v>
      </c>
      <c r="AB41" s="23">
        <f t="shared" si="8"/>
        <v>17.944444444443107</v>
      </c>
      <c r="AC41" s="24">
        <f t="shared" si="8"/>
        <v>14.144444444444767</v>
      </c>
      <c r="AD41" s="24">
        <f t="shared" si="8"/>
        <v>15.833333333333234</v>
      </c>
      <c r="AE41" s="24">
        <f t="shared" si="8"/>
        <v>16.888888888888388</v>
      </c>
      <c r="AF41" s="25">
        <f t="shared" si="8"/>
        <v>13.088888888888423</v>
      </c>
      <c r="AG41" s="25">
        <f t="shared" si="8"/>
        <v>14.777777777778635</v>
      </c>
      <c r="AH41" s="25">
        <f t="shared" si="7"/>
        <v>15.833333333333234</v>
      </c>
      <c r="AI41" s="26">
        <f t="shared" si="7"/>
        <v>12.033333333333609</v>
      </c>
      <c r="AJ41" s="26">
        <f t="shared" si="7"/>
        <v>13.722222222221387</v>
      </c>
      <c r="AK41" s="26">
        <f t="shared" si="7"/>
        <v>14.777777777778635</v>
      </c>
    </row>
    <row r="42" spans="4:37" ht="20.100000000000001" customHeight="1">
      <c r="D42" s="27">
        <f t="shared" si="3"/>
        <v>0.10833333333333336</v>
      </c>
      <c r="E42" s="16">
        <f t="shared" si="9"/>
        <v>30.333333333335048</v>
      </c>
      <c r="F42" s="16">
        <f t="shared" si="9"/>
        <v>32.066666666667828</v>
      </c>
      <c r="G42" s="16">
        <f t="shared" si="9"/>
        <v>33.149999999999913</v>
      </c>
      <c r="H42" s="17">
        <f t="shared" si="9"/>
        <v>28.166666666664995</v>
      </c>
      <c r="I42" s="17">
        <f t="shared" si="9"/>
        <v>29.8999999999983</v>
      </c>
      <c r="J42" s="17">
        <f t="shared" si="9"/>
        <v>30.983333333332453</v>
      </c>
      <c r="K42" s="18">
        <f t="shared" si="9"/>
        <v>26.00000000000124</v>
      </c>
      <c r="L42" s="18">
        <f t="shared" si="9"/>
        <v>27.733333333334123</v>
      </c>
      <c r="M42" s="18">
        <f t="shared" si="9"/>
        <v>28.816666666667928</v>
      </c>
      <c r="N42" s="19">
        <f t="shared" si="9"/>
        <v>19.933333333332889</v>
      </c>
      <c r="O42" s="19">
        <f t="shared" si="9"/>
        <v>21.666666666667993</v>
      </c>
      <c r="P42" s="19">
        <f t="shared" si="9"/>
        <v>22.749999999999083</v>
      </c>
      <c r="Q42" s="20">
        <f t="shared" si="9"/>
        <v>18.850000000001046</v>
      </c>
      <c r="R42" s="20">
        <f t="shared" si="9"/>
        <v>20.583333333334771</v>
      </c>
      <c r="S42" s="20">
        <f t="shared" si="9"/>
        <v>21.666666666667993</v>
      </c>
      <c r="T42" s="21">
        <f t="shared" si="9"/>
        <v>17.766666666668172</v>
      </c>
      <c r="U42" s="21">
        <f t="shared" si="8"/>
        <v>19.5</v>
      </c>
      <c r="V42" s="21">
        <f t="shared" si="8"/>
        <v>20.583333333334771</v>
      </c>
      <c r="W42" s="22">
        <f t="shared" si="8"/>
        <v>16.683333333333536</v>
      </c>
      <c r="X42" s="22">
        <f t="shared" si="8"/>
        <v>18.416666666665328</v>
      </c>
      <c r="Y42" s="22">
        <f t="shared" si="8"/>
        <v>19.5</v>
      </c>
      <c r="Z42" s="23">
        <f t="shared" si="8"/>
        <v>15.599999999999039</v>
      </c>
      <c r="AA42" s="23">
        <f t="shared" si="8"/>
        <v>17.333333333332831</v>
      </c>
      <c r="AB42" s="23">
        <f t="shared" si="8"/>
        <v>18.416666666665328</v>
      </c>
      <c r="AC42" s="24">
        <f t="shared" si="8"/>
        <v>14.516666666666989</v>
      </c>
      <c r="AD42" s="24">
        <f t="shared" si="8"/>
        <v>16.249999999999901</v>
      </c>
      <c r="AE42" s="24">
        <f t="shared" si="8"/>
        <v>17.333333333332831</v>
      </c>
      <c r="AF42" s="25">
        <f t="shared" si="8"/>
        <v>13.433333333332868</v>
      </c>
      <c r="AG42" s="25">
        <f t="shared" si="8"/>
        <v>15.166666666667524</v>
      </c>
      <c r="AH42" s="25">
        <f t="shared" si="7"/>
        <v>16.249999999999901</v>
      </c>
      <c r="AI42" s="26">
        <f t="shared" si="7"/>
        <v>12.350000000000275</v>
      </c>
      <c r="AJ42" s="26">
        <f t="shared" si="7"/>
        <v>14.083333333332497</v>
      </c>
      <c r="AK42" s="26">
        <f t="shared" si="7"/>
        <v>15.166666666667524</v>
      </c>
    </row>
    <row r="43" spans="4:37" ht="20.100000000000001" customHeight="1">
      <c r="D43" s="27">
        <f t="shared" si="3"/>
        <v>0.11111111111111115</v>
      </c>
      <c r="E43" s="16">
        <f t="shared" si="9"/>
        <v>31.111111111112827</v>
      </c>
      <c r="F43" s="16">
        <f t="shared" si="9"/>
        <v>32.888888888890051</v>
      </c>
      <c r="G43" s="16">
        <f t="shared" si="9"/>
        <v>33.999999999999915</v>
      </c>
      <c r="H43" s="17">
        <f t="shared" si="9"/>
        <v>28.888888888887216</v>
      </c>
      <c r="I43" s="17">
        <f t="shared" si="9"/>
        <v>30.666666666664966</v>
      </c>
      <c r="J43" s="17">
        <f t="shared" si="9"/>
        <v>31.777777777776897</v>
      </c>
      <c r="K43" s="18">
        <f t="shared" si="9"/>
        <v>26.666666666667908</v>
      </c>
      <c r="L43" s="18">
        <f t="shared" si="9"/>
        <v>28.444444444445235</v>
      </c>
      <c r="M43" s="18">
        <f t="shared" si="9"/>
        <v>29.555555555556815</v>
      </c>
      <c r="N43" s="19">
        <f t="shared" si="9"/>
        <v>20.444444444444002</v>
      </c>
      <c r="O43" s="19">
        <f t="shared" si="9"/>
        <v>22.22222222222355</v>
      </c>
      <c r="P43" s="19">
        <f t="shared" si="9"/>
        <v>23.333333333332416</v>
      </c>
      <c r="Q43" s="20">
        <f t="shared" si="9"/>
        <v>19.33333333333438</v>
      </c>
      <c r="R43" s="20">
        <f t="shared" si="9"/>
        <v>21.11111111111255</v>
      </c>
      <c r="S43" s="20">
        <f t="shared" si="9"/>
        <v>22.22222222222355</v>
      </c>
      <c r="T43" s="21">
        <f t="shared" si="9"/>
        <v>18.222222222223728</v>
      </c>
      <c r="U43" s="21">
        <f t="shared" si="8"/>
        <v>20</v>
      </c>
      <c r="V43" s="21">
        <f t="shared" si="8"/>
        <v>21.11111111111255</v>
      </c>
      <c r="W43" s="22">
        <f t="shared" si="8"/>
        <v>17.111111111111313</v>
      </c>
      <c r="X43" s="22">
        <f t="shared" si="8"/>
        <v>18.88888888888755</v>
      </c>
      <c r="Y43" s="22">
        <f t="shared" si="8"/>
        <v>20</v>
      </c>
      <c r="Z43" s="23">
        <f t="shared" si="8"/>
        <v>15.999999999999039</v>
      </c>
      <c r="AA43" s="23">
        <f t="shared" si="8"/>
        <v>17.777777777777274</v>
      </c>
      <c r="AB43" s="23">
        <f t="shared" si="8"/>
        <v>18.88888888888755</v>
      </c>
      <c r="AC43" s="24">
        <f t="shared" si="8"/>
        <v>14.888888888889211</v>
      </c>
      <c r="AD43" s="24">
        <f t="shared" si="8"/>
        <v>16.666666666666568</v>
      </c>
      <c r="AE43" s="24">
        <f t="shared" si="8"/>
        <v>17.777777777777274</v>
      </c>
      <c r="AF43" s="25">
        <f t="shared" si="8"/>
        <v>13.777777777777313</v>
      </c>
      <c r="AG43" s="25">
        <f t="shared" si="8"/>
        <v>15.555555555556413</v>
      </c>
      <c r="AH43" s="25">
        <f t="shared" si="7"/>
        <v>16.666666666666568</v>
      </c>
      <c r="AI43" s="26">
        <f t="shared" si="7"/>
        <v>12.666666666666941</v>
      </c>
      <c r="AJ43" s="26">
        <f t="shared" si="7"/>
        <v>14.444444444443608</v>
      </c>
      <c r="AK43" s="26">
        <f t="shared" si="7"/>
        <v>15.555555555556413</v>
      </c>
    </row>
    <row r="44" spans="4:37" ht="20.100000000000001" customHeight="1">
      <c r="D44" s="27">
        <f t="shared" si="3"/>
        <v>0.11388888888888893</v>
      </c>
      <c r="E44" s="16">
        <f t="shared" si="9"/>
        <v>31.888888888890605</v>
      </c>
      <c r="F44" s="16">
        <f t="shared" si="9"/>
        <v>33.711111111112274</v>
      </c>
      <c r="G44" s="16">
        <f t="shared" si="9"/>
        <v>34.849999999999916</v>
      </c>
      <c r="H44" s="17">
        <f t="shared" si="9"/>
        <v>29.611111111109437</v>
      </c>
      <c r="I44" s="17">
        <f t="shared" si="9"/>
        <v>31.433333333331632</v>
      </c>
      <c r="J44" s="17">
        <f t="shared" si="9"/>
        <v>32.572222222221342</v>
      </c>
      <c r="K44" s="18">
        <f t="shared" si="9"/>
        <v>27.333333333334576</v>
      </c>
      <c r="L44" s="18">
        <f t="shared" si="9"/>
        <v>29.155555555556347</v>
      </c>
      <c r="M44" s="18">
        <f t="shared" si="9"/>
        <v>30.294444444445702</v>
      </c>
      <c r="N44" s="19">
        <f t="shared" si="9"/>
        <v>20.955555555555115</v>
      </c>
      <c r="O44" s="19">
        <f t="shared" si="9"/>
        <v>22.777777777779107</v>
      </c>
      <c r="P44" s="19">
        <f t="shared" si="9"/>
        <v>23.916666666665748</v>
      </c>
      <c r="Q44" s="20">
        <f t="shared" si="9"/>
        <v>19.816666666667714</v>
      </c>
      <c r="R44" s="20">
        <f t="shared" si="9"/>
        <v>21.638888888890328</v>
      </c>
      <c r="S44" s="20">
        <f t="shared" si="9"/>
        <v>22.777777777779107</v>
      </c>
      <c r="T44" s="21">
        <f t="shared" si="9"/>
        <v>18.677777777779283</v>
      </c>
      <c r="U44" s="21">
        <f t="shared" si="8"/>
        <v>20.5</v>
      </c>
      <c r="V44" s="21">
        <f t="shared" si="8"/>
        <v>21.638888888890328</v>
      </c>
      <c r="W44" s="22">
        <f t="shared" si="8"/>
        <v>17.53888888888909</v>
      </c>
      <c r="X44" s="22">
        <f t="shared" si="8"/>
        <v>19.361111111109771</v>
      </c>
      <c r="Y44" s="22">
        <f t="shared" si="8"/>
        <v>20.5</v>
      </c>
      <c r="Z44" s="23">
        <f t="shared" si="8"/>
        <v>16.399999999999039</v>
      </c>
      <c r="AA44" s="23">
        <f t="shared" si="8"/>
        <v>18.222222222221717</v>
      </c>
      <c r="AB44" s="23">
        <f t="shared" si="8"/>
        <v>19.361111111109771</v>
      </c>
      <c r="AC44" s="24">
        <f t="shared" si="8"/>
        <v>15.261111111111433</v>
      </c>
      <c r="AD44" s="24">
        <f t="shared" si="8"/>
        <v>17.083333333333236</v>
      </c>
      <c r="AE44" s="24">
        <f t="shared" si="8"/>
        <v>18.222222222221717</v>
      </c>
      <c r="AF44" s="25">
        <f t="shared" si="8"/>
        <v>14.122222222221758</v>
      </c>
      <c r="AG44" s="25">
        <f t="shared" si="8"/>
        <v>15.944444444445303</v>
      </c>
      <c r="AH44" s="25">
        <f t="shared" si="7"/>
        <v>17.083333333333236</v>
      </c>
      <c r="AI44" s="26">
        <f t="shared" si="7"/>
        <v>12.983333333333608</v>
      </c>
      <c r="AJ44" s="26">
        <f t="shared" si="7"/>
        <v>14.805555555554719</v>
      </c>
      <c r="AK44" s="26">
        <f t="shared" si="7"/>
        <v>15.944444444445303</v>
      </c>
    </row>
    <row r="45" spans="4:37" ht="20.100000000000001" customHeight="1">
      <c r="D45" s="27">
        <f t="shared" si="3"/>
        <v>0.11666666666666671</v>
      </c>
      <c r="E45" s="16">
        <f t="shared" si="9"/>
        <v>32.666666666668384</v>
      </c>
      <c r="F45" s="16">
        <f t="shared" si="9"/>
        <v>34.533333333334497</v>
      </c>
      <c r="G45" s="16">
        <f t="shared" si="9"/>
        <v>35.699999999999918</v>
      </c>
      <c r="H45" s="17">
        <f t="shared" si="9"/>
        <v>30.333333333331659</v>
      </c>
      <c r="I45" s="17">
        <f t="shared" si="9"/>
        <v>32.199999999998298</v>
      </c>
      <c r="J45" s="17">
        <f t="shared" si="9"/>
        <v>33.366666666665786</v>
      </c>
      <c r="K45" s="18">
        <f t="shared" si="9"/>
        <v>28.000000000001243</v>
      </c>
      <c r="L45" s="18">
        <f t="shared" si="9"/>
        <v>29.866666666667459</v>
      </c>
      <c r="M45" s="18">
        <f t="shared" si="9"/>
        <v>31.033333333334589</v>
      </c>
      <c r="N45" s="19">
        <f t="shared" si="9"/>
        <v>21.466666666666228</v>
      </c>
      <c r="O45" s="19">
        <f t="shared" si="9"/>
        <v>23.333333333334664</v>
      </c>
      <c r="P45" s="19">
        <f t="shared" si="9"/>
        <v>24.49999999999908</v>
      </c>
      <c r="Q45" s="20">
        <f t="shared" si="9"/>
        <v>20.300000000001049</v>
      </c>
      <c r="R45" s="20">
        <f t="shared" si="9"/>
        <v>22.166666666668107</v>
      </c>
      <c r="S45" s="20">
        <f t="shared" si="9"/>
        <v>23.333333333334664</v>
      </c>
      <c r="T45" s="21">
        <f t="shared" si="9"/>
        <v>19.133333333334839</v>
      </c>
      <c r="U45" s="21">
        <f t="shared" si="8"/>
        <v>21</v>
      </c>
      <c r="V45" s="21">
        <f t="shared" si="8"/>
        <v>22.166666666668107</v>
      </c>
      <c r="W45" s="22">
        <f t="shared" si="8"/>
        <v>17.966666666666868</v>
      </c>
      <c r="X45" s="22">
        <f t="shared" si="8"/>
        <v>19.833333333331993</v>
      </c>
      <c r="Y45" s="22">
        <f t="shared" si="8"/>
        <v>21</v>
      </c>
      <c r="Z45" s="23">
        <f t="shared" si="8"/>
        <v>16.799999999999038</v>
      </c>
      <c r="AA45" s="23">
        <f t="shared" si="8"/>
        <v>18.66666666666616</v>
      </c>
      <c r="AB45" s="23">
        <f t="shared" si="8"/>
        <v>19.833333333331993</v>
      </c>
      <c r="AC45" s="24">
        <f t="shared" si="8"/>
        <v>15.633333333333654</v>
      </c>
      <c r="AD45" s="24">
        <f t="shared" si="8"/>
        <v>17.499999999999904</v>
      </c>
      <c r="AE45" s="24">
        <f t="shared" si="8"/>
        <v>18.66666666666616</v>
      </c>
      <c r="AF45" s="25">
        <f t="shared" si="8"/>
        <v>14.466666666666203</v>
      </c>
      <c r="AG45" s="25">
        <f t="shared" si="8"/>
        <v>16.333333333334192</v>
      </c>
      <c r="AH45" s="25">
        <f t="shared" si="7"/>
        <v>17.499999999999904</v>
      </c>
      <c r="AI45" s="26">
        <f t="shared" si="7"/>
        <v>13.300000000000274</v>
      </c>
      <c r="AJ45" s="26">
        <f t="shared" si="7"/>
        <v>15.166666666665829</v>
      </c>
      <c r="AK45" s="26">
        <f t="shared" si="7"/>
        <v>16.333333333334192</v>
      </c>
    </row>
    <row r="46" spans="4:37" ht="20.100000000000001" customHeight="1">
      <c r="D46" s="27">
        <f t="shared" si="3"/>
        <v>0.11944444444444449</v>
      </c>
      <c r="E46" s="16">
        <f t="shared" si="9"/>
        <v>33.444444444446162</v>
      </c>
      <c r="F46" s="16">
        <f t="shared" si="9"/>
        <v>35.35555555555672</v>
      </c>
      <c r="G46" s="16">
        <f t="shared" si="9"/>
        <v>36.549999999999919</v>
      </c>
      <c r="H46" s="17">
        <f t="shared" si="9"/>
        <v>31.05555555555388</v>
      </c>
      <c r="I46" s="17">
        <f t="shared" si="9"/>
        <v>32.966666666664963</v>
      </c>
      <c r="J46" s="17">
        <f t="shared" si="9"/>
        <v>34.16111111111023</v>
      </c>
      <c r="K46" s="18">
        <f t="shared" si="9"/>
        <v>28.666666666667911</v>
      </c>
      <c r="L46" s="18">
        <f t="shared" si="9"/>
        <v>30.577777777778572</v>
      </c>
      <c r="M46" s="18">
        <f t="shared" si="9"/>
        <v>31.772222222223476</v>
      </c>
      <c r="N46" s="19">
        <f t="shared" si="9"/>
        <v>21.977777777777341</v>
      </c>
      <c r="O46" s="19">
        <f t="shared" si="9"/>
        <v>23.888888888890222</v>
      </c>
      <c r="P46" s="19">
        <f t="shared" si="9"/>
        <v>25.083333333332412</v>
      </c>
      <c r="Q46" s="20">
        <f t="shared" si="9"/>
        <v>20.783333333334383</v>
      </c>
      <c r="R46" s="20">
        <f t="shared" si="9"/>
        <v>22.694444444445885</v>
      </c>
      <c r="S46" s="20">
        <f t="shared" si="9"/>
        <v>23.888888888890222</v>
      </c>
      <c r="T46" s="21">
        <f t="shared" si="9"/>
        <v>19.588888888890395</v>
      </c>
      <c r="U46" s="21">
        <f t="shared" si="8"/>
        <v>21.5</v>
      </c>
      <c r="V46" s="21">
        <f t="shared" si="8"/>
        <v>22.694444444445885</v>
      </c>
      <c r="W46" s="22">
        <f t="shared" si="8"/>
        <v>18.394444444444645</v>
      </c>
      <c r="X46" s="22">
        <f t="shared" si="8"/>
        <v>20.305555555554214</v>
      </c>
      <c r="Y46" s="22">
        <f t="shared" si="8"/>
        <v>21.5</v>
      </c>
      <c r="Z46" s="23">
        <f t="shared" si="8"/>
        <v>17.199999999999037</v>
      </c>
      <c r="AA46" s="23">
        <f t="shared" si="8"/>
        <v>19.111111111110603</v>
      </c>
      <c r="AB46" s="23">
        <f t="shared" si="8"/>
        <v>20.305555555554214</v>
      </c>
      <c r="AC46" s="24">
        <f t="shared" si="8"/>
        <v>16.005555555555876</v>
      </c>
      <c r="AD46" s="24">
        <f t="shared" si="8"/>
        <v>17.916666666666572</v>
      </c>
      <c r="AE46" s="24">
        <f t="shared" si="8"/>
        <v>19.111111111110603</v>
      </c>
      <c r="AF46" s="25">
        <f t="shared" si="8"/>
        <v>14.811111111110648</v>
      </c>
      <c r="AG46" s="25">
        <f t="shared" si="8"/>
        <v>16.722222222223081</v>
      </c>
      <c r="AH46" s="25">
        <f t="shared" si="7"/>
        <v>17.916666666666572</v>
      </c>
      <c r="AI46" s="26">
        <f t="shared" si="7"/>
        <v>13.616666666666941</v>
      </c>
      <c r="AJ46" s="26">
        <f t="shared" si="7"/>
        <v>15.52777777777694</v>
      </c>
      <c r="AK46" s="26">
        <f t="shared" si="7"/>
        <v>16.722222222223081</v>
      </c>
    </row>
    <row r="47" spans="4:37" ht="20.100000000000001" customHeight="1">
      <c r="D47" s="27">
        <f t="shared" si="3"/>
        <v>0.12222222222222227</v>
      </c>
      <c r="E47" s="16">
        <f t="shared" si="9"/>
        <v>34.222222222223941</v>
      </c>
      <c r="F47" s="16">
        <f t="shared" si="9"/>
        <v>36.177777777778942</v>
      </c>
      <c r="G47" s="16">
        <f t="shared" si="9"/>
        <v>37.39999999999992</v>
      </c>
      <c r="H47" s="17">
        <f t="shared" si="9"/>
        <v>31.777777777776102</v>
      </c>
      <c r="I47" s="17">
        <f t="shared" si="9"/>
        <v>33.733333333331629</v>
      </c>
      <c r="J47" s="17">
        <f t="shared" si="9"/>
        <v>34.955555555554675</v>
      </c>
      <c r="K47" s="18">
        <f t="shared" si="9"/>
        <v>29.333333333334579</v>
      </c>
      <c r="L47" s="18">
        <f t="shared" si="9"/>
        <v>31.288888888889684</v>
      </c>
      <c r="M47" s="18">
        <f t="shared" si="9"/>
        <v>32.511111111112363</v>
      </c>
      <c r="N47" s="19">
        <f t="shared" si="9"/>
        <v>22.488888888888454</v>
      </c>
      <c r="O47" s="19">
        <f t="shared" si="9"/>
        <v>24.444444444445779</v>
      </c>
      <c r="P47" s="19">
        <f t="shared" si="9"/>
        <v>25.666666666665744</v>
      </c>
      <c r="Q47" s="20">
        <f t="shared" si="9"/>
        <v>21.266666666667717</v>
      </c>
      <c r="R47" s="20">
        <f t="shared" si="9"/>
        <v>23.222222222223664</v>
      </c>
      <c r="S47" s="20">
        <f t="shared" si="9"/>
        <v>24.444444444445779</v>
      </c>
      <c r="T47" s="21">
        <f t="shared" si="9"/>
        <v>20.044444444445951</v>
      </c>
      <c r="U47" s="21">
        <f t="shared" si="8"/>
        <v>22</v>
      </c>
      <c r="V47" s="21">
        <f t="shared" si="8"/>
        <v>23.222222222223664</v>
      </c>
      <c r="W47" s="22">
        <f t="shared" si="8"/>
        <v>18.822222222222422</v>
      </c>
      <c r="X47" s="22">
        <f t="shared" si="8"/>
        <v>20.777777777776436</v>
      </c>
      <c r="Y47" s="22">
        <f t="shared" si="8"/>
        <v>22</v>
      </c>
      <c r="Z47" s="23">
        <f t="shared" si="8"/>
        <v>17.599999999999035</v>
      </c>
      <c r="AA47" s="23">
        <f t="shared" si="8"/>
        <v>19.555555555555046</v>
      </c>
      <c r="AB47" s="23">
        <f t="shared" si="8"/>
        <v>20.777777777776436</v>
      </c>
      <c r="AC47" s="24">
        <f t="shared" si="8"/>
        <v>16.3777777777781</v>
      </c>
      <c r="AD47" s="24">
        <f t="shared" si="8"/>
        <v>18.33333333333324</v>
      </c>
      <c r="AE47" s="24">
        <f t="shared" si="8"/>
        <v>19.555555555555046</v>
      </c>
      <c r="AF47" s="25">
        <f t="shared" si="8"/>
        <v>15.155555555555093</v>
      </c>
      <c r="AG47" s="25">
        <f t="shared" si="8"/>
        <v>17.11111111111197</v>
      </c>
      <c r="AH47" s="25">
        <f t="shared" si="7"/>
        <v>18.33333333333324</v>
      </c>
      <c r="AI47" s="26">
        <f t="shared" si="7"/>
        <v>13.933333333333607</v>
      </c>
      <c r="AJ47" s="26">
        <f t="shared" si="7"/>
        <v>15.888888888888051</v>
      </c>
      <c r="AK47" s="26">
        <f t="shared" si="7"/>
        <v>17.11111111111197</v>
      </c>
    </row>
    <row r="48" spans="4:37" ht="20.100000000000001" customHeight="1">
      <c r="D48" s="27">
        <f t="shared" si="3"/>
        <v>0.12500000000000006</v>
      </c>
      <c r="E48" s="16">
        <f t="shared" si="9"/>
        <v>35.00000000000172</v>
      </c>
      <c r="F48" s="16">
        <f t="shared" si="9"/>
        <v>37.000000000001165</v>
      </c>
      <c r="G48" s="16">
        <f t="shared" si="9"/>
        <v>38.249999999999922</v>
      </c>
      <c r="H48" s="17">
        <f t="shared" si="9"/>
        <v>32.499999999998323</v>
      </c>
      <c r="I48" s="17">
        <f t="shared" si="9"/>
        <v>34.499999999998295</v>
      </c>
      <c r="J48" s="17">
        <f t="shared" si="9"/>
        <v>35.749999999999119</v>
      </c>
      <c r="K48" s="18">
        <f t="shared" si="9"/>
        <v>30.000000000001247</v>
      </c>
      <c r="L48" s="18">
        <f t="shared" si="9"/>
        <v>32.000000000000796</v>
      </c>
      <c r="M48" s="18">
        <f t="shared" si="9"/>
        <v>33.250000000001251</v>
      </c>
      <c r="N48" s="19">
        <f t="shared" si="9"/>
        <v>22.999999999999567</v>
      </c>
      <c r="O48" s="19">
        <f t="shared" si="9"/>
        <v>25.000000000001336</v>
      </c>
      <c r="P48" s="19">
        <f t="shared" si="9"/>
        <v>26.249999999999076</v>
      </c>
      <c r="Q48" s="20">
        <f t="shared" si="9"/>
        <v>21.750000000001052</v>
      </c>
      <c r="R48" s="20">
        <f t="shared" si="9"/>
        <v>23.750000000001442</v>
      </c>
      <c r="S48" s="20">
        <f t="shared" si="9"/>
        <v>25.000000000001336</v>
      </c>
      <c r="T48" s="21">
        <f t="shared" si="9"/>
        <v>20.500000000001506</v>
      </c>
      <c r="U48" s="21">
        <f t="shared" si="8"/>
        <v>22.5</v>
      </c>
      <c r="V48" s="21">
        <f t="shared" si="8"/>
        <v>23.750000000001442</v>
      </c>
      <c r="W48" s="22">
        <f t="shared" si="8"/>
        <v>19.250000000000199</v>
      </c>
      <c r="X48" s="22">
        <f t="shared" si="8"/>
        <v>21.249999999998657</v>
      </c>
      <c r="Y48" s="22">
        <f t="shared" si="8"/>
        <v>22.5</v>
      </c>
      <c r="Z48" s="23">
        <f t="shared" si="8"/>
        <v>17.999999999999034</v>
      </c>
      <c r="AA48" s="23">
        <f t="shared" si="8"/>
        <v>19.999999999999488</v>
      </c>
      <c r="AB48" s="23">
        <f t="shared" si="8"/>
        <v>21.249999999998657</v>
      </c>
      <c r="AC48" s="24">
        <f t="shared" si="8"/>
        <v>16.750000000000323</v>
      </c>
      <c r="AD48" s="24">
        <f t="shared" si="8"/>
        <v>18.749999999999908</v>
      </c>
      <c r="AE48" s="24">
        <f t="shared" si="8"/>
        <v>19.999999999999488</v>
      </c>
      <c r="AF48" s="25">
        <f t="shared" si="8"/>
        <v>15.499999999999538</v>
      </c>
      <c r="AG48" s="25">
        <f t="shared" si="8"/>
        <v>17.50000000000086</v>
      </c>
      <c r="AH48" s="25">
        <f t="shared" si="7"/>
        <v>18.749999999999908</v>
      </c>
      <c r="AI48" s="26">
        <f t="shared" si="7"/>
        <v>14.250000000000274</v>
      </c>
      <c r="AJ48" s="26">
        <f t="shared" si="7"/>
        <v>16.249999999999162</v>
      </c>
      <c r="AK48" s="26">
        <f t="shared" si="7"/>
        <v>17.50000000000086</v>
      </c>
    </row>
    <row r="49" spans="4:37" ht="20.100000000000001" customHeight="1">
      <c r="D49" s="27">
        <f t="shared" si="3"/>
        <v>0.12777777777777782</v>
      </c>
      <c r="E49" s="16">
        <f t="shared" si="9"/>
        <v>35.777777777779498</v>
      </c>
      <c r="F49" s="16">
        <f t="shared" si="9"/>
        <v>37.822222222223388</v>
      </c>
      <c r="G49" s="16">
        <f t="shared" si="9"/>
        <v>39.099999999999923</v>
      </c>
      <c r="H49" s="17">
        <f t="shared" si="9"/>
        <v>33.222222222220545</v>
      </c>
      <c r="I49" s="17">
        <f t="shared" si="9"/>
        <v>35.26666666666496</v>
      </c>
      <c r="J49" s="17">
        <f t="shared" si="9"/>
        <v>36.544444444443563</v>
      </c>
      <c r="K49" s="18">
        <f t="shared" si="9"/>
        <v>30.666666666667915</v>
      </c>
      <c r="L49" s="18">
        <f t="shared" si="9"/>
        <v>32.711111111111904</v>
      </c>
      <c r="M49" s="18">
        <f t="shared" si="9"/>
        <v>33.988888888890138</v>
      </c>
      <c r="N49" s="19">
        <f t="shared" si="9"/>
        <v>23.511111111110679</v>
      </c>
      <c r="O49" s="19">
        <f t="shared" si="9"/>
        <v>25.555555555556893</v>
      </c>
      <c r="P49" s="19">
        <f t="shared" si="9"/>
        <v>26.833333333332408</v>
      </c>
      <c r="Q49" s="20">
        <f t="shared" si="9"/>
        <v>22.233333333334386</v>
      </c>
      <c r="R49" s="20">
        <f t="shared" si="9"/>
        <v>24.277777777779221</v>
      </c>
      <c r="S49" s="20">
        <f t="shared" si="9"/>
        <v>25.555555555556893</v>
      </c>
      <c r="T49" s="21">
        <f t="shared" si="9"/>
        <v>20.955555555557062</v>
      </c>
      <c r="U49" s="21">
        <f t="shared" si="8"/>
        <v>23</v>
      </c>
      <c r="V49" s="21">
        <f t="shared" si="8"/>
        <v>24.277777777779221</v>
      </c>
      <c r="W49" s="22">
        <f t="shared" si="8"/>
        <v>19.677777777777976</v>
      </c>
      <c r="X49" s="22">
        <f t="shared" si="8"/>
        <v>21.722222222220879</v>
      </c>
      <c r="Y49" s="22">
        <f t="shared" si="8"/>
        <v>23</v>
      </c>
      <c r="Z49" s="23">
        <f t="shared" si="8"/>
        <v>18.399999999999032</v>
      </c>
      <c r="AA49" s="23">
        <f t="shared" si="8"/>
        <v>20.444444444443931</v>
      </c>
      <c r="AB49" s="23">
        <f t="shared" si="8"/>
        <v>21.722222222220879</v>
      </c>
      <c r="AC49" s="24">
        <f t="shared" si="8"/>
        <v>17.122222222222547</v>
      </c>
      <c r="AD49" s="24">
        <f t="shared" si="8"/>
        <v>19.166666666666575</v>
      </c>
      <c r="AE49" s="24">
        <f t="shared" si="8"/>
        <v>20.444444444443931</v>
      </c>
      <c r="AF49" s="25">
        <f t="shared" si="8"/>
        <v>15.844444444443983</v>
      </c>
      <c r="AG49" s="25">
        <f t="shared" si="8"/>
        <v>17.888888888889749</v>
      </c>
      <c r="AH49" s="25">
        <f t="shared" si="7"/>
        <v>19.166666666666575</v>
      </c>
      <c r="AI49" s="26">
        <f t="shared" si="7"/>
        <v>14.56666666666694</v>
      </c>
      <c r="AJ49" s="26">
        <f t="shared" si="7"/>
        <v>16.611111111110272</v>
      </c>
      <c r="AK49" s="26">
        <f t="shared" si="7"/>
        <v>17.888888888889749</v>
      </c>
    </row>
    <row r="50" spans="4:37" ht="20.100000000000001" customHeight="1">
      <c r="D50" s="27">
        <f t="shared" si="3"/>
        <v>0.13055555555555559</v>
      </c>
      <c r="E50" s="16">
        <f t="shared" si="9"/>
        <v>36.555555555557277</v>
      </c>
      <c r="F50" s="16">
        <f t="shared" si="9"/>
        <v>38.644444444445611</v>
      </c>
      <c r="G50" s="16">
        <f t="shared" si="9"/>
        <v>39.949999999999925</v>
      </c>
      <c r="H50" s="17">
        <f t="shared" si="9"/>
        <v>33.944444444442766</v>
      </c>
      <c r="I50" s="17">
        <f t="shared" si="9"/>
        <v>36.033333333331626</v>
      </c>
      <c r="J50" s="17">
        <f t="shared" si="9"/>
        <v>37.338888888888008</v>
      </c>
      <c r="K50" s="18">
        <f t="shared" si="9"/>
        <v>31.333333333334583</v>
      </c>
      <c r="L50" s="18">
        <f t="shared" si="9"/>
        <v>33.422222222223013</v>
      </c>
      <c r="M50" s="18">
        <f t="shared" si="9"/>
        <v>34.727777777779025</v>
      </c>
      <c r="N50" s="19">
        <f t="shared" si="9"/>
        <v>24.022222222221792</v>
      </c>
      <c r="O50" s="19">
        <f t="shared" si="9"/>
        <v>26.11111111111245</v>
      </c>
      <c r="P50" s="19">
        <f t="shared" si="9"/>
        <v>27.416666666665741</v>
      </c>
      <c r="Q50" s="20">
        <f t="shared" si="9"/>
        <v>22.71666666666772</v>
      </c>
      <c r="R50" s="20">
        <f t="shared" si="9"/>
        <v>24.805555555557</v>
      </c>
      <c r="S50" s="20">
        <f t="shared" si="9"/>
        <v>26.11111111111245</v>
      </c>
      <c r="T50" s="21">
        <f t="shared" si="9"/>
        <v>21.411111111112618</v>
      </c>
      <c r="U50" s="21">
        <f t="shared" si="8"/>
        <v>23.5</v>
      </c>
      <c r="V50" s="21">
        <f t="shared" si="8"/>
        <v>24.805555555557</v>
      </c>
      <c r="W50" s="22">
        <f t="shared" si="8"/>
        <v>20.105555555555753</v>
      </c>
      <c r="X50" s="22">
        <f t="shared" si="8"/>
        <v>22.1944444444431</v>
      </c>
      <c r="Y50" s="22">
        <f t="shared" si="8"/>
        <v>23.5</v>
      </c>
      <c r="Z50" s="23">
        <f t="shared" si="8"/>
        <v>18.799999999999031</v>
      </c>
      <c r="AA50" s="23">
        <f t="shared" si="8"/>
        <v>20.888888888888374</v>
      </c>
      <c r="AB50" s="23">
        <f t="shared" si="8"/>
        <v>22.1944444444431</v>
      </c>
      <c r="AC50" s="24">
        <f t="shared" si="8"/>
        <v>17.49444444444477</v>
      </c>
      <c r="AD50" s="24">
        <f t="shared" si="8"/>
        <v>19.583333333333243</v>
      </c>
      <c r="AE50" s="24">
        <f t="shared" si="8"/>
        <v>20.888888888888374</v>
      </c>
      <c r="AF50" s="25">
        <f t="shared" si="8"/>
        <v>16.188888888888428</v>
      </c>
      <c r="AG50" s="25">
        <f t="shared" si="8"/>
        <v>18.277777777778638</v>
      </c>
      <c r="AH50" s="25">
        <f t="shared" si="7"/>
        <v>19.583333333333243</v>
      </c>
      <c r="AI50" s="26">
        <f t="shared" si="7"/>
        <v>14.883333333333606</v>
      </c>
      <c r="AJ50" s="26">
        <f t="shared" si="7"/>
        <v>16.972222222221383</v>
      </c>
      <c r="AK50" s="26">
        <f t="shared" si="7"/>
        <v>18.277777777778638</v>
      </c>
    </row>
    <row r="51" spans="4:37" ht="20.100000000000001" customHeight="1">
      <c r="D51" s="27">
        <f t="shared" si="3"/>
        <v>0.13333333333333336</v>
      </c>
      <c r="E51" s="16">
        <f t="shared" si="9"/>
        <v>37.333333333335055</v>
      </c>
      <c r="F51" s="16">
        <f t="shared" si="9"/>
        <v>39.466666666667834</v>
      </c>
      <c r="G51" s="16">
        <f t="shared" si="9"/>
        <v>40.799999999999926</v>
      </c>
      <c r="H51" s="17">
        <f t="shared" si="9"/>
        <v>34.666666666664987</v>
      </c>
      <c r="I51" s="17">
        <f t="shared" si="9"/>
        <v>36.799999999998292</v>
      </c>
      <c r="J51" s="17">
        <f t="shared" si="9"/>
        <v>38.133333333332452</v>
      </c>
      <c r="K51" s="18">
        <f t="shared" si="9"/>
        <v>32.000000000001251</v>
      </c>
      <c r="L51" s="18">
        <f t="shared" si="9"/>
        <v>34.133333333334122</v>
      </c>
      <c r="M51" s="18">
        <f t="shared" si="9"/>
        <v>35.466666666667912</v>
      </c>
      <c r="N51" s="19">
        <f t="shared" si="9"/>
        <v>24.533333333332905</v>
      </c>
      <c r="O51" s="19">
        <f t="shared" si="9"/>
        <v>26.666666666668007</v>
      </c>
      <c r="P51" s="19">
        <f t="shared" si="9"/>
        <v>27.999999999999073</v>
      </c>
      <c r="Q51" s="20">
        <f t="shared" si="9"/>
        <v>23.200000000001054</v>
      </c>
      <c r="R51" s="20">
        <f t="shared" si="9"/>
        <v>25.333333333334778</v>
      </c>
      <c r="S51" s="20">
        <f t="shared" si="9"/>
        <v>26.666666666668007</v>
      </c>
      <c r="T51" s="21">
        <f t="shared" si="9"/>
        <v>21.866666666668173</v>
      </c>
      <c r="U51" s="21">
        <f t="shared" si="8"/>
        <v>24</v>
      </c>
      <c r="V51" s="21">
        <f t="shared" si="8"/>
        <v>25.333333333334778</v>
      </c>
      <c r="W51" s="22">
        <f t="shared" si="8"/>
        <v>20.53333333333353</v>
      </c>
      <c r="X51" s="22">
        <f t="shared" si="8"/>
        <v>22.666666666665321</v>
      </c>
      <c r="Y51" s="22">
        <f t="shared" si="8"/>
        <v>24</v>
      </c>
      <c r="Z51" s="23">
        <f t="shared" si="8"/>
        <v>19.199999999999029</v>
      </c>
      <c r="AA51" s="23">
        <f t="shared" si="8"/>
        <v>21.333333333332817</v>
      </c>
      <c r="AB51" s="23">
        <f t="shared" si="8"/>
        <v>22.666666666665321</v>
      </c>
      <c r="AC51" s="24">
        <f t="shared" si="8"/>
        <v>17.866666666666994</v>
      </c>
      <c r="AD51" s="24">
        <f t="shared" si="8"/>
        <v>19.999999999999911</v>
      </c>
      <c r="AE51" s="24">
        <f t="shared" si="8"/>
        <v>21.333333333332817</v>
      </c>
      <c r="AF51" s="25">
        <f t="shared" si="8"/>
        <v>16.533333333332873</v>
      </c>
      <c r="AG51" s="25">
        <f t="shared" si="8"/>
        <v>18.666666666667528</v>
      </c>
      <c r="AH51" s="25">
        <f t="shared" si="7"/>
        <v>19.999999999999911</v>
      </c>
      <c r="AI51" s="26">
        <f t="shared" si="7"/>
        <v>15.200000000000273</v>
      </c>
      <c r="AJ51" s="26">
        <f t="shared" si="7"/>
        <v>17.333333333332494</v>
      </c>
      <c r="AK51" s="26">
        <f t="shared" si="7"/>
        <v>18.666666666667528</v>
      </c>
    </row>
    <row r="52" spans="4:37" ht="20.100000000000001" customHeight="1">
      <c r="D52" s="27">
        <f t="shared" si="3"/>
        <v>0.13611111111111113</v>
      </c>
      <c r="E52" s="16">
        <f t="shared" si="9"/>
        <v>38.111111111112834</v>
      </c>
      <c r="F52" s="16">
        <f t="shared" si="9"/>
        <v>40.288888888890057</v>
      </c>
      <c r="G52" s="16">
        <f t="shared" si="9"/>
        <v>41.649999999999928</v>
      </c>
      <c r="H52" s="17">
        <f t="shared" si="9"/>
        <v>35.388888888887209</v>
      </c>
      <c r="I52" s="17">
        <f t="shared" si="9"/>
        <v>37.566666666664958</v>
      </c>
      <c r="J52" s="17">
        <f t="shared" ref="J52:Y69" si="10">J53-(J$363/360)</f>
        <v>38.927777777776896</v>
      </c>
      <c r="K52" s="18">
        <f t="shared" si="10"/>
        <v>32.666666666667915</v>
      </c>
      <c r="L52" s="18">
        <f t="shared" si="10"/>
        <v>34.84444444444523</v>
      </c>
      <c r="M52" s="18">
        <f t="shared" si="10"/>
        <v>36.205555555556799</v>
      </c>
      <c r="N52" s="19">
        <f t="shared" si="10"/>
        <v>25.044444444444018</v>
      </c>
      <c r="O52" s="19">
        <f t="shared" si="10"/>
        <v>27.222222222223564</v>
      </c>
      <c r="P52" s="19">
        <f t="shared" si="10"/>
        <v>28.583333333332405</v>
      </c>
      <c r="Q52" s="20">
        <f t="shared" si="10"/>
        <v>23.683333333334389</v>
      </c>
      <c r="R52" s="20">
        <f t="shared" si="10"/>
        <v>25.861111111112557</v>
      </c>
      <c r="S52" s="20">
        <f t="shared" si="10"/>
        <v>27.222222222223564</v>
      </c>
      <c r="T52" s="21">
        <f t="shared" si="10"/>
        <v>22.322222222223729</v>
      </c>
      <c r="U52" s="21">
        <f t="shared" si="8"/>
        <v>24.5</v>
      </c>
      <c r="V52" s="21">
        <f t="shared" si="8"/>
        <v>25.861111111112557</v>
      </c>
      <c r="W52" s="22">
        <f t="shared" si="8"/>
        <v>20.961111111111308</v>
      </c>
      <c r="X52" s="22">
        <f t="shared" si="8"/>
        <v>23.138888888887543</v>
      </c>
      <c r="Y52" s="22">
        <f t="shared" si="8"/>
        <v>24.5</v>
      </c>
      <c r="Z52" s="23">
        <f t="shared" si="8"/>
        <v>19.599999999999028</v>
      </c>
      <c r="AA52" s="23">
        <f t="shared" si="8"/>
        <v>21.77777777777726</v>
      </c>
      <c r="AB52" s="23">
        <f t="shared" si="8"/>
        <v>23.138888888887543</v>
      </c>
      <c r="AC52" s="24">
        <f t="shared" si="8"/>
        <v>18.238888888889218</v>
      </c>
      <c r="AD52" s="24">
        <f t="shared" si="8"/>
        <v>20.416666666666579</v>
      </c>
      <c r="AE52" s="24">
        <f t="shared" si="8"/>
        <v>21.77777777777726</v>
      </c>
      <c r="AF52" s="25">
        <f t="shared" si="8"/>
        <v>16.877777777777318</v>
      </c>
      <c r="AG52" s="25">
        <f t="shared" si="8"/>
        <v>19.055555555556417</v>
      </c>
      <c r="AH52" s="25">
        <f t="shared" si="7"/>
        <v>20.416666666666579</v>
      </c>
      <c r="AI52" s="26">
        <f t="shared" si="7"/>
        <v>15.516666666666939</v>
      </c>
      <c r="AJ52" s="26">
        <f t="shared" si="7"/>
        <v>17.694444444443604</v>
      </c>
      <c r="AK52" s="26">
        <f t="shared" si="7"/>
        <v>19.055555555556417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38.888888888890612</v>
      </c>
      <c r="F53" s="16">
        <f t="shared" si="11"/>
        <v>41.11111111111228</v>
      </c>
      <c r="G53" s="16">
        <f t="shared" si="11"/>
        <v>42.499999999999929</v>
      </c>
      <c r="H53" s="17">
        <f t="shared" si="11"/>
        <v>36.11111111110943</v>
      </c>
      <c r="I53" s="17">
        <f t="shared" si="11"/>
        <v>38.333333333331623</v>
      </c>
      <c r="J53" s="17">
        <f t="shared" si="10"/>
        <v>39.72222222222134</v>
      </c>
      <c r="K53" s="18">
        <f t="shared" si="10"/>
        <v>33.333333333334579</v>
      </c>
      <c r="L53" s="18">
        <f t="shared" si="10"/>
        <v>35.555555555556339</v>
      </c>
      <c r="M53" s="18">
        <f t="shared" si="10"/>
        <v>36.944444444445686</v>
      </c>
      <c r="N53" s="19">
        <f t="shared" si="10"/>
        <v>25.555555555555131</v>
      </c>
      <c r="O53" s="19">
        <f t="shared" si="10"/>
        <v>27.777777777779121</v>
      </c>
      <c r="P53" s="19">
        <f t="shared" si="10"/>
        <v>29.166666666665737</v>
      </c>
      <c r="Q53" s="20">
        <f t="shared" si="10"/>
        <v>24.166666666667723</v>
      </c>
      <c r="R53" s="20">
        <f t="shared" si="10"/>
        <v>26.388888888890335</v>
      </c>
      <c r="S53" s="20">
        <f t="shared" si="10"/>
        <v>27.777777777779121</v>
      </c>
      <c r="T53" s="21">
        <f t="shared" si="10"/>
        <v>22.777777777779285</v>
      </c>
      <c r="U53" s="21">
        <f t="shared" si="8"/>
        <v>25</v>
      </c>
      <c r="V53" s="21">
        <f t="shared" si="8"/>
        <v>26.388888888890335</v>
      </c>
      <c r="W53" s="22">
        <f t="shared" si="8"/>
        <v>21.388888888889085</v>
      </c>
      <c r="X53" s="22">
        <f t="shared" si="8"/>
        <v>23.611111111109764</v>
      </c>
      <c r="Y53" s="22">
        <f t="shared" si="8"/>
        <v>25</v>
      </c>
      <c r="Z53" s="23">
        <f t="shared" si="8"/>
        <v>19.999999999999027</v>
      </c>
      <c r="AA53" s="23">
        <f t="shared" si="8"/>
        <v>22.222222222221703</v>
      </c>
      <c r="AB53" s="23">
        <f t="shared" si="8"/>
        <v>23.611111111109764</v>
      </c>
      <c r="AC53" s="24">
        <f t="shared" si="8"/>
        <v>18.611111111111441</v>
      </c>
      <c r="AD53" s="24">
        <f t="shared" si="8"/>
        <v>20.833333333333247</v>
      </c>
      <c r="AE53" s="24">
        <f t="shared" si="8"/>
        <v>22.222222222221703</v>
      </c>
      <c r="AF53" s="25">
        <f t="shared" si="8"/>
        <v>17.222222222221763</v>
      </c>
      <c r="AG53" s="25">
        <f t="shared" si="8"/>
        <v>19.444444444445306</v>
      </c>
      <c r="AH53" s="25">
        <f t="shared" si="7"/>
        <v>20.833333333333247</v>
      </c>
      <c r="AI53" s="26">
        <f t="shared" si="7"/>
        <v>15.833333333333606</v>
      </c>
      <c r="AJ53" s="26">
        <f t="shared" si="7"/>
        <v>18.055555555554715</v>
      </c>
      <c r="AK53" s="26">
        <f t="shared" si="7"/>
        <v>19.444444444445306</v>
      </c>
    </row>
    <row r="54" spans="4:37" ht="20.100000000000001" customHeight="1">
      <c r="D54" s="27">
        <f t="shared" si="3"/>
        <v>0.14166666666666666</v>
      </c>
      <c r="E54" s="16">
        <f t="shared" si="11"/>
        <v>39.666666666668391</v>
      </c>
      <c r="F54" s="16">
        <f t="shared" si="11"/>
        <v>41.933333333334502</v>
      </c>
      <c r="G54" s="16">
        <f t="shared" si="11"/>
        <v>43.34999999999993</v>
      </c>
      <c r="H54" s="17">
        <f t="shared" si="11"/>
        <v>36.833333333331652</v>
      </c>
      <c r="I54" s="17">
        <f t="shared" si="11"/>
        <v>39.099999999998289</v>
      </c>
      <c r="J54" s="17">
        <f t="shared" si="10"/>
        <v>40.516666666665785</v>
      </c>
      <c r="K54" s="18">
        <f t="shared" si="10"/>
        <v>34.000000000001243</v>
      </c>
      <c r="L54" s="18">
        <f t="shared" si="10"/>
        <v>36.266666666667447</v>
      </c>
      <c r="M54" s="18">
        <f t="shared" si="10"/>
        <v>37.683333333334573</v>
      </c>
      <c r="N54" s="19">
        <f t="shared" si="10"/>
        <v>26.066666666666244</v>
      </c>
      <c r="O54" s="19">
        <f t="shared" si="10"/>
        <v>28.333333333334679</v>
      </c>
      <c r="P54" s="19">
        <f t="shared" si="10"/>
        <v>29.749999999999069</v>
      </c>
      <c r="Q54" s="20">
        <f t="shared" si="10"/>
        <v>24.650000000001057</v>
      </c>
      <c r="R54" s="20">
        <f t="shared" si="10"/>
        <v>26.916666666668114</v>
      </c>
      <c r="S54" s="20">
        <f t="shared" si="10"/>
        <v>28.333333333334679</v>
      </c>
      <c r="T54" s="21">
        <f t="shared" si="10"/>
        <v>23.233333333334841</v>
      </c>
      <c r="U54" s="21">
        <f t="shared" si="8"/>
        <v>25.5</v>
      </c>
      <c r="V54" s="21">
        <f t="shared" si="8"/>
        <v>26.916666666668114</v>
      </c>
      <c r="W54" s="22">
        <f t="shared" si="8"/>
        <v>21.816666666666862</v>
      </c>
      <c r="X54" s="22">
        <f t="shared" si="8"/>
        <v>24.083333333331986</v>
      </c>
      <c r="Y54" s="22">
        <f t="shared" si="8"/>
        <v>25.5</v>
      </c>
      <c r="Z54" s="23">
        <f t="shared" si="8"/>
        <v>20.399999999999025</v>
      </c>
      <c r="AA54" s="23">
        <f t="shared" si="8"/>
        <v>22.666666666666146</v>
      </c>
      <c r="AB54" s="23">
        <f t="shared" si="8"/>
        <v>24.083333333331986</v>
      </c>
      <c r="AC54" s="24">
        <f t="shared" si="8"/>
        <v>18.983333333333665</v>
      </c>
      <c r="AD54" s="24">
        <f t="shared" si="8"/>
        <v>21.249999999999915</v>
      </c>
      <c r="AE54" s="24">
        <f t="shared" si="8"/>
        <v>22.666666666666146</v>
      </c>
      <c r="AF54" s="25">
        <f t="shared" si="8"/>
        <v>17.566666666666208</v>
      </c>
      <c r="AG54" s="25">
        <f t="shared" si="8"/>
        <v>19.833333333334195</v>
      </c>
      <c r="AH54" s="25">
        <f t="shared" si="7"/>
        <v>21.249999999999915</v>
      </c>
      <c r="AI54" s="26">
        <f t="shared" si="7"/>
        <v>16.150000000000272</v>
      </c>
      <c r="AJ54" s="26">
        <f t="shared" si="7"/>
        <v>18.416666666665826</v>
      </c>
      <c r="AK54" s="26">
        <f t="shared" si="7"/>
        <v>19.833333333334195</v>
      </c>
    </row>
    <row r="55" spans="4:37" ht="20.100000000000001" customHeight="1">
      <c r="D55" s="27">
        <f t="shared" si="3"/>
        <v>0.14444444444444443</v>
      </c>
      <c r="E55" s="16">
        <f t="shared" si="11"/>
        <v>40.444444444446169</v>
      </c>
      <c r="F55" s="16">
        <f t="shared" si="11"/>
        <v>42.755555555556725</v>
      </c>
      <c r="G55" s="16">
        <f t="shared" si="11"/>
        <v>44.199999999999932</v>
      </c>
      <c r="H55" s="17">
        <f t="shared" si="11"/>
        <v>37.555555555553873</v>
      </c>
      <c r="I55" s="17">
        <f t="shared" si="11"/>
        <v>39.866666666664955</v>
      </c>
      <c r="J55" s="17">
        <f t="shared" si="10"/>
        <v>41.311111111110229</v>
      </c>
      <c r="K55" s="18">
        <f t="shared" si="10"/>
        <v>34.666666666667908</v>
      </c>
      <c r="L55" s="18">
        <f t="shared" si="10"/>
        <v>36.977777777778556</v>
      </c>
      <c r="M55" s="18">
        <f t="shared" si="10"/>
        <v>38.422222222223461</v>
      </c>
      <c r="N55" s="19">
        <f t="shared" si="10"/>
        <v>26.577777777777357</v>
      </c>
      <c r="O55" s="19">
        <f t="shared" si="10"/>
        <v>28.888888888890236</v>
      </c>
      <c r="P55" s="19">
        <f t="shared" si="10"/>
        <v>30.333333333332401</v>
      </c>
      <c r="Q55" s="20">
        <f t="shared" si="10"/>
        <v>25.133333333334392</v>
      </c>
      <c r="R55" s="20">
        <f t="shared" si="10"/>
        <v>27.444444444445892</v>
      </c>
      <c r="S55" s="20">
        <f t="shared" si="10"/>
        <v>28.888888888890236</v>
      </c>
      <c r="T55" s="21">
        <f t="shared" si="10"/>
        <v>23.688888888890396</v>
      </c>
      <c r="U55" s="21">
        <f t="shared" si="8"/>
        <v>26</v>
      </c>
      <c r="V55" s="21">
        <f t="shared" si="8"/>
        <v>27.444444444445892</v>
      </c>
      <c r="W55" s="22">
        <f t="shared" si="8"/>
        <v>22.244444444444639</v>
      </c>
      <c r="X55" s="22">
        <f t="shared" si="8"/>
        <v>24.555555555554207</v>
      </c>
      <c r="Y55" s="22">
        <f t="shared" si="8"/>
        <v>26</v>
      </c>
      <c r="Z55" s="23">
        <f t="shared" si="8"/>
        <v>20.799999999999024</v>
      </c>
      <c r="AA55" s="23">
        <f t="shared" ref="AA55:AK85" si="12">AA56-(AA$363/360)</f>
        <v>23.111111111110588</v>
      </c>
      <c r="AB55" s="23">
        <f t="shared" si="12"/>
        <v>24.555555555554207</v>
      </c>
      <c r="AC55" s="24">
        <f t="shared" si="12"/>
        <v>19.355555555555888</v>
      </c>
      <c r="AD55" s="24">
        <f t="shared" si="12"/>
        <v>21.666666666666583</v>
      </c>
      <c r="AE55" s="24">
        <f t="shared" si="12"/>
        <v>23.111111111110588</v>
      </c>
      <c r="AF55" s="25">
        <f t="shared" si="12"/>
        <v>17.911111111110653</v>
      </c>
      <c r="AG55" s="25">
        <f t="shared" si="12"/>
        <v>20.222222222223085</v>
      </c>
      <c r="AH55" s="25">
        <f t="shared" si="7"/>
        <v>21.666666666666583</v>
      </c>
      <c r="AI55" s="26">
        <f t="shared" si="7"/>
        <v>16.466666666666939</v>
      </c>
      <c r="AJ55" s="26">
        <f t="shared" si="7"/>
        <v>18.777777777776937</v>
      </c>
      <c r="AK55" s="26">
        <f t="shared" si="7"/>
        <v>20.222222222223085</v>
      </c>
    </row>
    <row r="56" spans="4:37" ht="20.100000000000001" customHeight="1">
      <c r="D56" s="27">
        <f t="shared" si="3"/>
        <v>0.1472222222222222</v>
      </c>
      <c r="E56" s="16">
        <f t="shared" si="11"/>
        <v>41.222222222223948</v>
      </c>
      <c r="F56" s="16">
        <f t="shared" si="11"/>
        <v>43.577777777778948</v>
      </c>
      <c r="G56" s="16">
        <f t="shared" si="11"/>
        <v>45.049999999999933</v>
      </c>
      <c r="H56" s="17">
        <f t="shared" si="11"/>
        <v>38.277777777776095</v>
      </c>
      <c r="I56" s="17">
        <f t="shared" si="11"/>
        <v>40.63333333333162</v>
      </c>
      <c r="J56" s="17">
        <f t="shared" si="10"/>
        <v>42.105555555554673</v>
      </c>
      <c r="K56" s="18">
        <f t="shared" si="10"/>
        <v>35.333333333334572</v>
      </c>
      <c r="L56" s="18">
        <f t="shared" si="10"/>
        <v>37.688888888889664</v>
      </c>
      <c r="M56" s="18">
        <f t="shared" si="10"/>
        <v>39.161111111112348</v>
      </c>
      <c r="N56" s="19">
        <f t="shared" si="10"/>
        <v>27.088888888888469</v>
      </c>
      <c r="O56" s="19">
        <f t="shared" si="10"/>
        <v>29.444444444445793</v>
      </c>
      <c r="P56" s="19">
        <f t="shared" si="10"/>
        <v>30.916666666665733</v>
      </c>
      <c r="Q56" s="20">
        <f t="shared" si="10"/>
        <v>25.616666666667726</v>
      </c>
      <c r="R56" s="20">
        <f t="shared" si="10"/>
        <v>27.972222222223671</v>
      </c>
      <c r="S56" s="20">
        <f t="shared" si="10"/>
        <v>29.444444444445793</v>
      </c>
      <c r="T56" s="21">
        <f t="shared" si="10"/>
        <v>24.144444444445952</v>
      </c>
      <c r="U56" s="21">
        <f t="shared" si="10"/>
        <v>26.5</v>
      </c>
      <c r="V56" s="21">
        <f t="shared" si="10"/>
        <v>27.972222222223671</v>
      </c>
      <c r="W56" s="22">
        <f t="shared" si="10"/>
        <v>22.672222222222416</v>
      </c>
      <c r="X56" s="22">
        <f t="shared" si="10"/>
        <v>25.027777777776429</v>
      </c>
      <c r="Y56" s="22">
        <f t="shared" si="10"/>
        <v>26.5</v>
      </c>
      <c r="Z56" s="23">
        <f t="shared" ref="Z56:Z68" si="13">Z57-(Z$363/360)</f>
        <v>21.199999999999022</v>
      </c>
      <c r="AA56" s="23">
        <f t="shared" si="12"/>
        <v>23.555555555555031</v>
      </c>
      <c r="AB56" s="23">
        <f t="shared" si="12"/>
        <v>25.027777777776429</v>
      </c>
      <c r="AC56" s="24">
        <f t="shared" si="12"/>
        <v>19.727777777778112</v>
      </c>
      <c r="AD56" s="24">
        <f t="shared" si="12"/>
        <v>22.08333333333325</v>
      </c>
      <c r="AE56" s="24">
        <f t="shared" si="12"/>
        <v>23.555555555555031</v>
      </c>
      <c r="AF56" s="25">
        <f t="shared" si="12"/>
        <v>18.255555555555098</v>
      </c>
      <c r="AG56" s="25">
        <f t="shared" si="12"/>
        <v>20.611111111111974</v>
      </c>
      <c r="AH56" s="25">
        <f t="shared" si="7"/>
        <v>22.08333333333325</v>
      </c>
      <c r="AI56" s="26">
        <f t="shared" si="7"/>
        <v>16.783333333333605</v>
      </c>
      <c r="AJ56" s="26">
        <f t="shared" si="7"/>
        <v>19.138888888888047</v>
      </c>
      <c r="AK56" s="26">
        <f t="shared" si="7"/>
        <v>20.611111111111974</v>
      </c>
    </row>
    <row r="57" spans="4:37" ht="20.100000000000001" customHeight="1">
      <c r="D57" s="27">
        <f t="shared" si="3"/>
        <v>0.14999999999999997</v>
      </c>
      <c r="E57" s="16">
        <f t="shared" si="11"/>
        <v>42.000000000001727</v>
      </c>
      <c r="F57" s="16">
        <f t="shared" si="11"/>
        <v>44.400000000001171</v>
      </c>
      <c r="G57" s="16">
        <f t="shared" si="11"/>
        <v>45.899999999999935</v>
      </c>
      <c r="H57" s="17">
        <f t="shared" si="11"/>
        <v>38.999999999998316</v>
      </c>
      <c r="I57" s="17">
        <f t="shared" si="11"/>
        <v>41.399999999998286</v>
      </c>
      <c r="J57" s="17">
        <f t="shared" si="10"/>
        <v>42.899999999999118</v>
      </c>
      <c r="K57" s="18">
        <f t="shared" si="10"/>
        <v>36.000000000001236</v>
      </c>
      <c r="L57" s="18">
        <f t="shared" si="10"/>
        <v>38.400000000000773</v>
      </c>
      <c r="M57" s="18">
        <f t="shared" si="10"/>
        <v>39.900000000001235</v>
      </c>
      <c r="N57" s="19">
        <f t="shared" si="10"/>
        <v>27.599999999999582</v>
      </c>
      <c r="O57" s="19">
        <f t="shared" si="10"/>
        <v>30.00000000000135</v>
      </c>
      <c r="P57" s="19">
        <f t="shared" si="10"/>
        <v>31.499999999999066</v>
      </c>
      <c r="Q57" s="20">
        <f t="shared" si="10"/>
        <v>26.10000000000106</v>
      </c>
      <c r="R57" s="20">
        <f t="shared" si="10"/>
        <v>28.50000000000145</v>
      </c>
      <c r="S57" s="20">
        <f t="shared" si="10"/>
        <v>30.00000000000135</v>
      </c>
      <c r="T57" s="21">
        <f t="shared" si="10"/>
        <v>24.600000000001508</v>
      </c>
      <c r="U57" s="21">
        <f t="shared" si="10"/>
        <v>27</v>
      </c>
      <c r="V57" s="21">
        <f t="shared" si="10"/>
        <v>28.50000000000145</v>
      </c>
      <c r="W57" s="22">
        <f t="shared" si="10"/>
        <v>23.100000000000193</v>
      </c>
      <c r="X57" s="22">
        <f t="shared" si="10"/>
        <v>25.49999999999865</v>
      </c>
      <c r="Y57" s="22">
        <f t="shared" si="10"/>
        <v>27</v>
      </c>
      <c r="Z57" s="23">
        <f t="shared" si="13"/>
        <v>21.599999999999021</v>
      </c>
      <c r="AA57" s="23">
        <f t="shared" si="12"/>
        <v>23.999999999999474</v>
      </c>
      <c r="AB57" s="23">
        <f t="shared" si="12"/>
        <v>25.49999999999865</v>
      </c>
      <c r="AC57" s="24">
        <f t="shared" si="12"/>
        <v>20.100000000000335</v>
      </c>
      <c r="AD57" s="24">
        <f t="shared" si="12"/>
        <v>22.499999999999918</v>
      </c>
      <c r="AE57" s="24">
        <f t="shared" si="12"/>
        <v>23.999999999999474</v>
      </c>
      <c r="AF57" s="25">
        <f t="shared" si="12"/>
        <v>18.599999999999543</v>
      </c>
      <c r="AG57" s="25">
        <f t="shared" si="12"/>
        <v>21.000000000000863</v>
      </c>
      <c r="AH57" s="25">
        <f t="shared" si="7"/>
        <v>22.499999999999918</v>
      </c>
      <c r="AI57" s="26">
        <f t="shared" si="7"/>
        <v>17.100000000000271</v>
      </c>
      <c r="AJ57" s="26">
        <f t="shared" si="7"/>
        <v>19.499999999999158</v>
      </c>
      <c r="AK57" s="26">
        <f t="shared" si="7"/>
        <v>21.000000000000863</v>
      </c>
    </row>
    <row r="58" spans="4:37" ht="20.100000000000001" customHeight="1">
      <c r="D58" s="27">
        <f t="shared" si="3"/>
        <v>0.15277777777777773</v>
      </c>
      <c r="E58" s="16">
        <f t="shared" si="11"/>
        <v>42.777777777779505</v>
      </c>
      <c r="F58" s="16">
        <f t="shared" si="11"/>
        <v>45.222222222223394</v>
      </c>
      <c r="G58" s="16">
        <f t="shared" si="11"/>
        <v>46.749999999999936</v>
      </c>
      <c r="H58" s="17">
        <f t="shared" si="11"/>
        <v>39.722222222220537</v>
      </c>
      <c r="I58" s="17">
        <f t="shared" si="11"/>
        <v>42.166666666664952</v>
      </c>
      <c r="J58" s="17">
        <f t="shared" si="10"/>
        <v>43.694444444443562</v>
      </c>
      <c r="K58" s="18">
        <f t="shared" si="10"/>
        <v>36.666666666667901</v>
      </c>
      <c r="L58" s="18">
        <f t="shared" si="10"/>
        <v>39.111111111111882</v>
      </c>
      <c r="M58" s="18">
        <f t="shared" si="10"/>
        <v>40.638888888890122</v>
      </c>
      <c r="N58" s="19">
        <f t="shared" si="10"/>
        <v>28.111111111110695</v>
      </c>
      <c r="O58" s="19">
        <f t="shared" si="10"/>
        <v>30.555555555556907</v>
      </c>
      <c r="P58" s="19">
        <f t="shared" si="10"/>
        <v>32.083333333332398</v>
      </c>
      <c r="Q58" s="20">
        <f t="shared" si="10"/>
        <v>26.583333333334394</v>
      </c>
      <c r="R58" s="20">
        <f t="shared" si="10"/>
        <v>29.027777777779228</v>
      </c>
      <c r="S58" s="20">
        <f t="shared" si="10"/>
        <v>30.555555555556907</v>
      </c>
      <c r="T58" s="21">
        <f t="shared" si="10"/>
        <v>25.055555555557063</v>
      </c>
      <c r="U58" s="21">
        <f t="shared" si="10"/>
        <v>27.5</v>
      </c>
      <c r="V58" s="21">
        <f t="shared" si="10"/>
        <v>29.027777777779228</v>
      </c>
      <c r="W58" s="22">
        <f t="shared" si="10"/>
        <v>23.52777777777797</v>
      </c>
      <c r="X58" s="22">
        <f t="shared" si="10"/>
        <v>25.972222222220871</v>
      </c>
      <c r="Y58" s="22">
        <f t="shared" si="10"/>
        <v>27.5</v>
      </c>
      <c r="Z58" s="23">
        <f t="shared" si="13"/>
        <v>21.999999999999019</v>
      </c>
      <c r="AA58" s="23">
        <f t="shared" si="12"/>
        <v>24.444444444443917</v>
      </c>
      <c r="AB58" s="23">
        <f t="shared" si="12"/>
        <v>25.972222222220871</v>
      </c>
      <c r="AC58" s="24">
        <f t="shared" si="12"/>
        <v>20.472222222222559</v>
      </c>
      <c r="AD58" s="24">
        <f t="shared" si="12"/>
        <v>22.916666666666586</v>
      </c>
      <c r="AE58" s="24">
        <f t="shared" si="12"/>
        <v>24.444444444443917</v>
      </c>
      <c r="AF58" s="25">
        <f t="shared" si="12"/>
        <v>18.944444444443988</v>
      </c>
      <c r="AG58" s="25">
        <f t="shared" si="12"/>
        <v>21.388888888889753</v>
      </c>
      <c r="AH58" s="25">
        <f t="shared" si="7"/>
        <v>22.916666666666586</v>
      </c>
      <c r="AI58" s="26">
        <f t="shared" si="7"/>
        <v>17.416666666666938</v>
      </c>
      <c r="AJ58" s="26">
        <f t="shared" si="7"/>
        <v>19.861111111110269</v>
      </c>
      <c r="AK58" s="26">
        <f t="shared" si="7"/>
        <v>21.388888888889753</v>
      </c>
    </row>
    <row r="59" spans="4:37" ht="20.100000000000001" customHeight="1">
      <c r="D59" s="27">
        <f t="shared" si="3"/>
        <v>0.1555555555555555</v>
      </c>
      <c r="E59" s="16">
        <f t="shared" si="11"/>
        <v>43.555555555557284</v>
      </c>
      <c r="F59" s="16">
        <f t="shared" si="11"/>
        <v>46.044444444445617</v>
      </c>
      <c r="G59" s="16">
        <f t="shared" si="11"/>
        <v>47.599999999999937</v>
      </c>
      <c r="H59" s="17">
        <f t="shared" si="11"/>
        <v>40.444444444442759</v>
      </c>
      <c r="I59" s="17">
        <f t="shared" si="11"/>
        <v>42.933333333331618</v>
      </c>
      <c r="J59" s="17">
        <f t="shared" si="10"/>
        <v>44.488888888888006</v>
      </c>
      <c r="K59" s="18">
        <f t="shared" si="10"/>
        <v>37.333333333334565</v>
      </c>
      <c r="L59" s="18">
        <f t="shared" si="10"/>
        <v>39.82222222222299</v>
      </c>
      <c r="M59" s="18">
        <f t="shared" si="10"/>
        <v>41.377777777779009</v>
      </c>
      <c r="N59" s="19">
        <f t="shared" si="10"/>
        <v>28.622222222221808</v>
      </c>
      <c r="O59" s="19">
        <f t="shared" si="10"/>
        <v>31.111111111112464</v>
      </c>
      <c r="P59" s="19">
        <f t="shared" si="10"/>
        <v>32.666666666665733</v>
      </c>
      <c r="Q59" s="20">
        <f t="shared" si="10"/>
        <v>27.066666666667729</v>
      </c>
      <c r="R59" s="20">
        <f t="shared" si="10"/>
        <v>29.555555555557007</v>
      </c>
      <c r="S59" s="20">
        <f t="shared" si="10"/>
        <v>31.111111111112464</v>
      </c>
      <c r="T59" s="21">
        <f t="shared" si="10"/>
        <v>25.511111111112619</v>
      </c>
      <c r="U59" s="21">
        <f t="shared" si="10"/>
        <v>28</v>
      </c>
      <c r="V59" s="21">
        <f t="shared" si="10"/>
        <v>29.555555555557007</v>
      </c>
      <c r="W59" s="22">
        <f t="shared" si="10"/>
        <v>23.955555555555748</v>
      </c>
      <c r="X59" s="22">
        <f t="shared" si="10"/>
        <v>26.444444444443093</v>
      </c>
      <c r="Y59" s="22">
        <f t="shared" si="10"/>
        <v>28</v>
      </c>
      <c r="Z59" s="23">
        <f t="shared" si="13"/>
        <v>22.399999999999018</v>
      </c>
      <c r="AA59" s="23">
        <f t="shared" si="12"/>
        <v>24.88888888888836</v>
      </c>
      <c r="AB59" s="23">
        <f t="shared" si="12"/>
        <v>26.444444444443093</v>
      </c>
      <c r="AC59" s="24">
        <f t="shared" si="12"/>
        <v>20.844444444444783</v>
      </c>
      <c r="AD59" s="24">
        <f t="shared" si="12"/>
        <v>23.333333333333254</v>
      </c>
      <c r="AE59" s="24">
        <f t="shared" si="12"/>
        <v>24.88888888888836</v>
      </c>
      <c r="AF59" s="25">
        <f t="shared" si="12"/>
        <v>19.288888888888433</v>
      </c>
      <c r="AG59" s="25">
        <f t="shared" si="12"/>
        <v>21.777777777778642</v>
      </c>
      <c r="AH59" s="25">
        <f t="shared" si="7"/>
        <v>23.333333333333254</v>
      </c>
      <c r="AI59" s="26">
        <f t="shared" si="7"/>
        <v>17.733333333333604</v>
      </c>
      <c r="AJ59" s="26">
        <f t="shared" si="7"/>
        <v>20.222222222221379</v>
      </c>
      <c r="AK59" s="26">
        <f t="shared" si="7"/>
        <v>21.777777777778642</v>
      </c>
    </row>
    <row r="60" spans="4:37" ht="20.100000000000001" customHeight="1">
      <c r="D60" s="27">
        <f t="shared" si="3"/>
        <v>0.15833333333333327</v>
      </c>
      <c r="E60" s="16">
        <f t="shared" si="11"/>
        <v>44.333333333335062</v>
      </c>
      <c r="F60" s="16">
        <f t="shared" si="11"/>
        <v>46.86666666666784</v>
      </c>
      <c r="G60" s="16">
        <f t="shared" si="11"/>
        <v>48.449999999999939</v>
      </c>
      <c r="H60" s="17">
        <f t="shared" si="11"/>
        <v>41.16666666666498</v>
      </c>
      <c r="I60" s="17">
        <f t="shared" si="11"/>
        <v>43.699999999998283</v>
      </c>
      <c r="J60" s="17">
        <f t="shared" si="10"/>
        <v>45.28333333333245</v>
      </c>
      <c r="K60" s="18">
        <f t="shared" si="10"/>
        <v>38.000000000001229</v>
      </c>
      <c r="L60" s="18">
        <f t="shared" si="10"/>
        <v>40.533333333334099</v>
      </c>
      <c r="M60" s="18">
        <f t="shared" si="10"/>
        <v>42.116666666667896</v>
      </c>
      <c r="N60" s="19">
        <f t="shared" si="10"/>
        <v>29.133333333332921</v>
      </c>
      <c r="O60" s="19">
        <f t="shared" si="10"/>
        <v>31.666666666668021</v>
      </c>
      <c r="P60" s="19">
        <f t="shared" si="10"/>
        <v>33.249999999999069</v>
      </c>
      <c r="Q60" s="20">
        <f t="shared" si="10"/>
        <v>27.550000000001063</v>
      </c>
      <c r="R60" s="20">
        <f t="shared" si="10"/>
        <v>30.083333333334785</v>
      </c>
      <c r="S60" s="20">
        <f t="shared" si="10"/>
        <v>31.666666666668021</v>
      </c>
      <c r="T60" s="21">
        <f t="shared" si="10"/>
        <v>25.966666666668175</v>
      </c>
      <c r="U60" s="21">
        <f t="shared" si="10"/>
        <v>28.5</v>
      </c>
      <c r="V60" s="21">
        <f t="shared" si="10"/>
        <v>30.083333333334785</v>
      </c>
      <c r="W60" s="22">
        <f t="shared" si="10"/>
        <v>24.383333333333525</v>
      </c>
      <c r="X60" s="22">
        <f t="shared" si="10"/>
        <v>26.916666666665314</v>
      </c>
      <c r="Y60" s="22">
        <f t="shared" si="10"/>
        <v>28.5</v>
      </c>
      <c r="Z60" s="23">
        <f t="shared" si="13"/>
        <v>22.799999999999017</v>
      </c>
      <c r="AA60" s="23">
        <f t="shared" si="12"/>
        <v>25.333333333332803</v>
      </c>
      <c r="AB60" s="23">
        <f t="shared" si="12"/>
        <v>26.916666666665314</v>
      </c>
      <c r="AC60" s="24">
        <f t="shared" si="12"/>
        <v>21.216666666667006</v>
      </c>
      <c r="AD60" s="24">
        <f t="shared" si="12"/>
        <v>23.749999999999922</v>
      </c>
      <c r="AE60" s="24">
        <f t="shared" si="12"/>
        <v>25.333333333332803</v>
      </c>
      <c r="AF60" s="25">
        <f t="shared" si="12"/>
        <v>19.633333333332878</v>
      </c>
      <c r="AG60" s="25">
        <f t="shared" si="12"/>
        <v>22.166666666667531</v>
      </c>
      <c r="AH60" s="25">
        <f t="shared" si="7"/>
        <v>23.749999999999922</v>
      </c>
      <c r="AI60" s="26">
        <f t="shared" si="7"/>
        <v>18.050000000000271</v>
      </c>
      <c r="AJ60" s="26">
        <f t="shared" si="7"/>
        <v>20.58333333333249</v>
      </c>
      <c r="AK60" s="26">
        <f t="shared" si="7"/>
        <v>22.166666666667531</v>
      </c>
    </row>
    <row r="61" spans="4:37" ht="20.100000000000001" customHeight="1">
      <c r="D61" s="27">
        <f t="shared" si="3"/>
        <v>0.16111111111111104</v>
      </c>
      <c r="E61" s="16">
        <f t="shared" si="11"/>
        <v>45.111111111112841</v>
      </c>
      <c r="F61" s="16">
        <f t="shared" si="11"/>
        <v>47.688888888890062</v>
      </c>
      <c r="G61" s="16">
        <f t="shared" si="11"/>
        <v>49.29999999999994</v>
      </c>
      <c r="H61" s="17">
        <f t="shared" si="11"/>
        <v>41.888888888887202</v>
      </c>
      <c r="I61" s="17">
        <f t="shared" si="11"/>
        <v>44.466666666664949</v>
      </c>
      <c r="J61" s="17">
        <f t="shared" si="10"/>
        <v>46.077777777776895</v>
      </c>
      <c r="K61" s="18">
        <f t="shared" si="10"/>
        <v>38.666666666667894</v>
      </c>
      <c r="L61" s="18">
        <f t="shared" si="10"/>
        <v>41.244444444445207</v>
      </c>
      <c r="M61" s="18">
        <f t="shared" si="10"/>
        <v>42.855555555556784</v>
      </c>
      <c r="N61" s="19">
        <f t="shared" si="10"/>
        <v>29.644444444444034</v>
      </c>
      <c r="O61" s="19">
        <f t="shared" si="10"/>
        <v>32.222222222223579</v>
      </c>
      <c r="P61" s="19">
        <f t="shared" si="10"/>
        <v>33.833333333332405</v>
      </c>
      <c r="Q61" s="20">
        <f t="shared" si="10"/>
        <v>28.033333333334397</v>
      </c>
      <c r="R61" s="20">
        <f t="shared" si="10"/>
        <v>30.611111111112564</v>
      </c>
      <c r="S61" s="20">
        <f t="shared" si="10"/>
        <v>32.222222222223579</v>
      </c>
      <c r="T61" s="21">
        <f t="shared" si="10"/>
        <v>26.422222222223731</v>
      </c>
      <c r="U61" s="21">
        <f t="shared" si="10"/>
        <v>29</v>
      </c>
      <c r="V61" s="21">
        <f t="shared" si="10"/>
        <v>30.611111111112564</v>
      </c>
      <c r="W61" s="22">
        <f t="shared" si="10"/>
        <v>24.811111111111302</v>
      </c>
      <c r="X61" s="22">
        <f t="shared" si="10"/>
        <v>27.388888888887536</v>
      </c>
      <c r="Y61" s="22">
        <f t="shared" si="10"/>
        <v>29</v>
      </c>
      <c r="Z61" s="23">
        <f t="shared" si="13"/>
        <v>23.199999999999015</v>
      </c>
      <c r="AA61" s="23">
        <f t="shared" si="12"/>
        <v>25.777777777777246</v>
      </c>
      <c r="AB61" s="23">
        <f t="shared" si="12"/>
        <v>27.388888888887536</v>
      </c>
      <c r="AC61" s="24">
        <f t="shared" si="12"/>
        <v>21.58888888888923</v>
      </c>
      <c r="AD61" s="24">
        <f t="shared" si="12"/>
        <v>24.16666666666659</v>
      </c>
      <c r="AE61" s="24">
        <f t="shared" si="12"/>
        <v>25.777777777777246</v>
      </c>
      <c r="AF61" s="25">
        <f t="shared" si="12"/>
        <v>19.977777777777323</v>
      </c>
      <c r="AG61" s="25">
        <f t="shared" si="12"/>
        <v>22.55555555555642</v>
      </c>
      <c r="AH61" s="25">
        <f t="shared" si="7"/>
        <v>24.16666666666659</v>
      </c>
      <c r="AI61" s="26">
        <f t="shared" si="7"/>
        <v>18.366666666666937</v>
      </c>
      <c r="AJ61" s="26">
        <f t="shared" si="7"/>
        <v>20.944444444443601</v>
      </c>
      <c r="AK61" s="26">
        <f t="shared" si="7"/>
        <v>22.55555555555642</v>
      </c>
    </row>
    <row r="62" spans="4:37" ht="20.100000000000001" customHeight="1">
      <c r="D62" s="27">
        <f t="shared" si="3"/>
        <v>0.16388888888888881</v>
      </c>
      <c r="E62" s="16">
        <f t="shared" si="11"/>
        <v>45.888888888890619</v>
      </c>
      <c r="F62" s="16">
        <f t="shared" si="11"/>
        <v>48.511111111112285</v>
      </c>
      <c r="G62" s="16">
        <f t="shared" si="11"/>
        <v>50.149999999999942</v>
      </c>
      <c r="H62" s="17">
        <f t="shared" si="11"/>
        <v>42.611111111109423</v>
      </c>
      <c r="I62" s="17">
        <f t="shared" si="11"/>
        <v>45.233333333331615</v>
      </c>
      <c r="J62" s="17">
        <f t="shared" si="10"/>
        <v>46.872222222221339</v>
      </c>
      <c r="K62" s="18">
        <f t="shared" si="10"/>
        <v>39.333333333334558</v>
      </c>
      <c r="L62" s="18">
        <f t="shared" si="10"/>
        <v>41.955555555556316</v>
      </c>
      <c r="M62" s="18">
        <f t="shared" si="10"/>
        <v>43.594444444445671</v>
      </c>
      <c r="N62" s="19">
        <f t="shared" si="10"/>
        <v>30.155555555555146</v>
      </c>
      <c r="O62" s="19">
        <f t="shared" si="10"/>
        <v>32.777777777779136</v>
      </c>
      <c r="P62" s="19">
        <f t="shared" si="10"/>
        <v>34.416666666665741</v>
      </c>
      <c r="Q62" s="20">
        <f t="shared" si="10"/>
        <v>28.516666666667732</v>
      </c>
      <c r="R62" s="20">
        <f t="shared" si="10"/>
        <v>31.138888888890342</v>
      </c>
      <c r="S62" s="20">
        <f t="shared" si="10"/>
        <v>32.777777777779136</v>
      </c>
      <c r="T62" s="21">
        <f t="shared" si="10"/>
        <v>26.877777777779286</v>
      </c>
      <c r="U62" s="21">
        <f t="shared" si="10"/>
        <v>29.5</v>
      </c>
      <c r="V62" s="21">
        <f t="shared" si="10"/>
        <v>31.138888888890342</v>
      </c>
      <c r="W62" s="22">
        <f t="shared" si="10"/>
        <v>25.238888888889079</v>
      </c>
      <c r="X62" s="22">
        <f t="shared" si="10"/>
        <v>27.861111111109757</v>
      </c>
      <c r="Y62" s="22">
        <f t="shared" si="10"/>
        <v>29.5</v>
      </c>
      <c r="Z62" s="23">
        <f t="shared" si="13"/>
        <v>23.599999999999014</v>
      </c>
      <c r="AA62" s="23">
        <f t="shared" si="12"/>
        <v>26.222222222221689</v>
      </c>
      <c r="AB62" s="23">
        <f t="shared" si="12"/>
        <v>27.861111111109757</v>
      </c>
      <c r="AC62" s="24">
        <f t="shared" si="12"/>
        <v>21.961111111111453</v>
      </c>
      <c r="AD62" s="24">
        <f t="shared" si="12"/>
        <v>24.583333333333258</v>
      </c>
      <c r="AE62" s="24">
        <f t="shared" si="12"/>
        <v>26.222222222221689</v>
      </c>
      <c r="AF62" s="25">
        <f t="shared" si="12"/>
        <v>20.322222222221768</v>
      </c>
      <c r="AG62" s="25">
        <f t="shared" si="12"/>
        <v>22.94444444444531</v>
      </c>
      <c r="AH62" s="25">
        <f t="shared" si="7"/>
        <v>24.583333333333258</v>
      </c>
      <c r="AI62" s="26">
        <f t="shared" si="7"/>
        <v>18.683333333333604</v>
      </c>
      <c r="AJ62" s="26">
        <f t="shared" si="7"/>
        <v>21.305555555554712</v>
      </c>
      <c r="AK62" s="26">
        <f t="shared" si="7"/>
        <v>22.94444444444531</v>
      </c>
    </row>
    <row r="63" spans="4:37" ht="20.100000000000001" customHeight="1">
      <c r="D63" s="27">
        <f t="shared" si="3"/>
        <v>0.16666666666666657</v>
      </c>
      <c r="E63" s="16">
        <f t="shared" si="11"/>
        <v>46.666666666668398</v>
      </c>
      <c r="F63" s="16">
        <f t="shared" si="11"/>
        <v>49.333333333334508</v>
      </c>
      <c r="G63" s="16">
        <f t="shared" si="11"/>
        <v>50.999999999999943</v>
      </c>
      <c r="H63" s="17">
        <f t="shared" si="11"/>
        <v>43.333333333331645</v>
      </c>
      <c r="I63" s="17">
        <f t="shared" si="11"/>
        <v>45.99999999999828</v>
      </c>
      <c r="J63" s="17">
        <f t="shared" si="10"/>
        <v>47.666666666665783</v>
      </c>
      <c r="K63" s="18">
        <f t="shared" si="10"/>
        <v>40.000000000001222</v>
      </c>
      <c r="L63" s="18">
        <f t="shared" si="10"/>
        <v>42.666666666667425</v>
      </c>
      <c r="M63" s="18">
        <f t="shared" si="10"/>
        <v>44.333333333334558</v>
      </c>
      <c r="N63" s="19">
        <f t="shared" si="10"/>
        <v>30.666666666666259</v>
      </c>
      <c r="O63" s="19">
        <f t="shared" si="10"/>
        <v>33.333333333334693</v>
      </c>
      <c r="P63" s="19">
        <f t="shared" si="10"/>
        <v>34.999999999999076</v>
      </c>
      <c r="Q63" s="20">
        <f t="shared" si="10"/>
        <v>29.000000000001066</v>
      </c>
      <c r="R63" s="20">
        <f t="shared" si="10"/>
        <v>31.666666666668121</v>
      </c>
      <c r="S63" s="20">
        <f t="shared" si="10"/>
        <v>33.333333333334693</v>
      </c>
      <c r="T63" s="21">
        <f t="shared" si="10"/>
        <v>27.333333333334842</v>
      </c>
      <c r="U63" s="21">
        <f t="shared" si="10"/>
        <v>30</v>
      </c>
      <c r="V63" s="21">
        <f t="shared" si="10"/>
        <v>31.666666666668121</v>
      </c>
      <c r="W63" s="22">
        <f t="shared" si="10"/>
        <v>25.666666666666856</v>
      </c>
      <c r="X63" s="22">
        <f t="shared" si="10"/>
        <v>28.333333333331979</v>
      </c>
      <c r="Y63" s="22">
        <f t="shared" si="10"/>
        <v>30</v>
      </c>
      <c r="Z63" s="23">
        <f t="shared" si="13"/>
        <v>23.999999999999012</v>
      </c>
      <c r="AA63" s="23">
        <f t="shared" si="12"/>
        <v>26.666666666666131</v>
      </c>
      <c r="AB63" s="23">
        <f t="shared" si="12"/>
        <v>28.333333333331979</v>
      </c>
      <c r="AC63" s="24">
        <f t="shared" si="12"/>
        <v>22.333333333333677</v>
      </c>
      <c r="AD63" s="24">
        <f t="shared" si="12"/>
        <v>24.999999999999925</v>
      </c>
      <c r="AE63" s="24">
        <f t="shared" si="12"/>
        <v>26.666666666666131</v>
      </c>
      <c r="AF63" s="25">
        <f t="shared" si="12"/>
        <v>20.666666666666213</v>
      </c>
      <c r="AG63" s="25">
        <f t="shared" si="12"/>
        <v>23.333333333334199</v>
      </c>
      <c r="AH63" s="25">
        <f t="shared" si="7"/>
        <v>24.999999999999925</v>
      </c>
      <c r="AI63" s="26">
        <f t="shared" si="7"/>
        <v>19.00000000000027</v>
      </c>
      <c r="AJ63" s="26">
        <f t="shared" si="7"/>
        <v>21.666666666665822</v>
      </c>
      <c r="AK63" s="26">
        <f t="shared" si="7"/>
        <v>23.333333333334199</v>
      </c>
    </row>
    <row r="64" spans="4:37" ht="20.100000000000001" customHeight="1">
      <c r="D64" s="27">
        <f t="shared" si="3"/>
        <v>0.16944444444444434</v>
      </c>
      <c r="E64" s="16">
        <f t="shared" si="11"/>
        <v>47.444444444446177</v>
      </c>
      <c r="F64" s="16">
        <f t="shared" si="11"/>
        <v>50.155555555556731</v>
      </c>
      <c r="G64" s="16">
        <f t="shared" si="11"/>
        <v>51.849999999999945</v>
      </c>
      <c r="H64" s="17">
        <f t="shared" si="11"/>
        <v>44.055555555553866</v>
      </c>
      <c r="I64" s="17">
        <f t="shared" si="11"/>
        <v>46.766666666664946</v>
      </c>
      <c r="J64" s="17">
        <f t="shared" si="10"/>
        <v>48.461111111110228</v>
      </c>
      <c r="K64" s="18">
        <f t="shared" si="10"/>
        <v>40.666666666667886</v>
      </c>
      <c r="L64" s="18">
        <f t="shared" si="10"/>
        <v>43.377777777778533</v>
      </c>
      <c r="M64" s="18">
        <f t="shared" si="10"/>
        <v>45.072222222223445</v>
      </c>
      <c r="N64" s="19">
        <f t="shared" si="10"/>
        <v>31.177777777777372</v>
      </c>
      <c r="O64" s="19">
        <f t="shared" si="10"/>
        <v>33.88888888889025</v>
      </c>
      <c r="P64" s="19">
        <f t="shared" si="10"/>
        <v>35.583333333332412</v>
      </c>
      <c r="Q64" s="20">
        <f t="shared" si="10"/>
        <v>29.4833333333344</v>
      </c>
      <c r="R64" s="20">
        <f t="shared" si="10"/>
        <v>32.194444444445899</v>
      </c>
      <c r="S64" s="20">
        <f t="shared" si="10"/>
        <v>33.88888888889025</v>
      </c>
      <c r="T64" s="21">
        <f t="shared" si="10"/>
        <v>27.788888888890398</v>
      </c>
      <c r="U64" s="21">
        <f t="shared" si="10"/>
        <v>30.5</v>
      </c>
      <c r="V64" s="21">
        <f t="shared" si="10"/>
        <v>32.194444444445899</v>
      </c>
      <c r="W64" s="22">
        <f t="shared" si="10"/>
        <v>26.094444444444633</v>
      </c>
      <c r="X64" s="22">
        <f t="shared" si="10"/>
        <v>28.8055555555542</v>
      </c>
      <c r="Y64" s="22">
        <f t="shared" si="10"/>
        <v>30.5</v>
      </c>
      <c r="Z64" s="23">
        <f t="shared" si="13"/>
        <v>24.399999999999011</v>
      </c>
      <c r="AA64" s="23">
        <f t="shared" si="12"/>
        <v>27.111111111110574</v>
      </c>
      <c r="AB64" s="23">
        <f t="shared" si="12"/>
        <v>28.8055555555542</v>
      </c>
      <c r="AC64" s="24">
        <f t="shared" si="12"/>
        <v>22.7055555555559</v>
      </c>
      <c r="AD64" s="24">
        <f t="shared" si="12"/>
        <v>25.416666666666593</v>
      </c>
      <c r="AE64" s="24">
        <f t="shared" si="12"/>
        <v>27.111111111110574</v>
      </c>
      <c r="AF64" s="25">
        <f t="shared" si="12"/>
        <v>21.011111111110658</v>
      </c>
      <c r="AG64" s="25">
        <f t="shared" si="12"/>
        <v>23.722222222223088</v>
      </c>
      <c r="AH64" s="25">
        <f t="shared" si="7"/>
        <v>25.416666666666593</v>
      </c>
      <c r="AI64" s="26">
        <f t="shared" si="7"/>
        <v>19.316666666666936</v>
      </c>
      <c r="AJ64" s="26">
        <f t="shared" si="7"/>
        <v>22.027777777776933</v>
      </c>
      <c r="AK64" s="26">
        <f t="shared" si="7"/>
        <v>23.722222222223088</v>
      </c>
    </row>
    <row r="65" spans="4:37" ht="20.100000000000001" customHeight="1">
      <c r="D65" s="27">
        <f t="shared" si="3"/>
        <v>0.17222222222222211</v>
      </c>
      <c r="E65" s="16">
        <f t="shared" si="11"/>
        <v>48.222222222223955</v>
      </c>
      <c r="F65" s="16">
        <f t="shared" si="11"/>
        <v>50.977777777778954</v>
      </c>
      <c r="G65" s="16">
        <f t="shared" si="11"/>
        <v>52.699999999999946</v>
      </c>
      <c r="H65" s="17">
        <f t="shared" si="11"/>
        <v>44.777777777776087</v>
      </c>
      <c r="I65" s="17">
        <f t="shared" si="11"/>
        <v>47.533333333331612</v>
      </c>
      <c r="J65" s="17">
        <f t="shared" si="10"/>
        <v>49.255555555554672</v>
      </c>
      <c r="K65" s="18">
        <f t="shared" si="10"/>
        <v>41.333333333334551</v>
      </c>
      <c r="L65" s="18">
        <f t="shared" si="10"/>
        <v>44.088888888889642</v>
      </c>
      <c r="M65" s="18">
        <f t="shared" si="10"/>
        <v>45.811111111112332</v>
      </c>
      <c r="N65" s="19">
        <f t="shared" si="10"/>
        <v>31.688888888888485</v>
      </c>
      <c r="O65" s="19">
        <f t="shared" si="10"/>
        <v>34.444444444445807</v>
      </c>
      <c r="P65" s="19">
        <f t="shared" si="10"/>
        <v>36.166666666665748</v>
      </c>
      <c r="Q65" s="20">
        <f t="shared" si="10"/>
        <v>29.966666666667734</v>
      </c>
      <c r="R65" s="20">
        <f t="shared" si="10"/>
        <v>32.722222222223678</v>
      </c>
      <c r="S65" s="20">
        <f t="shared" si="10"/>
        <v>34.444444444445807</v>
      </c>
      <c r="T65" s="21">
        <f t="shared" si="10"/>
        <v>28.244444444445953</v>
      </c>
      <c r="U65" s="21">
        <f t="shared" si="10"/>
        <v>31</v>
      </c>
      <c r="V65" s="21">
        <f t="shared" si="10"/>
        <v>32.722222222223678</v>
      </c>
      <c r="W65" s="22">
        <f t="shared" si="10"/>
        <v>26.52222222222241</v>
      </c>
      <c r="X65" s="22">
        <f t="shared" si="10"/>
        <v>29.277777777776421</v>
      </c>
      <c r="Y65" s="22">
        <f t="shared" si="10"/>
        <v>31</v>
      </c>
      <c r="Z65" s="23">
        <f t="shared" si="13"/>
        <v>24.79999999999901</v>
      </c>
      <c r="AA65" s="23">
        <f t="shared" si="12"/>
        <v>27.555555555555017</v>
      </c>
      <c r="AB65" s="23">
        <f t="shared" si="12"/>
        <v>29.277777777776421</v>
      </c>
      <c r="AC65" s="24">
        <f t="shared" si="12"/>
        <v>23.077777777778124</v>
      </c>
      <c r="AD65" s="24">
        <f t="shared" si="12"/>
        <v>25.833333333333261</v>
      </c>
      <c r="AE65" s="24">
        <f t="shared" si="12"/>
        <v>27.555555555555017</v>
      </c>
      <c r="AF65" s="25">
        <f t="shared" si="12"/>
        <v>21.355555555555103</v>
      </c>
      <c r="AG65" s="25">
        <f t="shared" si="12"/>
        <v>24.111111111111978</v>
      </c>
      <c r="AH65" s="25">
        <f t="shared" si="7"/>
        <v>25.833333333333261</v>
      </c>
      <c r="AI65" s="26">
        <f t="shared" si="7"/>
        <v>19.633333333333603</v>
      </c>
      <c r="AJ65" s="26">
        <f t="shared" si="7"/>
        <v>22.388888888888044</v>
      </c>
      <c r="AK65" s="26">
        <f t="shared" si="7"/>
        <v>24.111111111111978</v>
      </c>
    </row>
    <row r="66" spans="4:37" ht="20.100000000000001" customHeight="1">
      <c r="D66" s="27">
        <f t="shared" si="3"/>
        <v>0.17499999999999988</v>
      </c>
      <c r="E66" s="16">
        <f t="shared" si="11"/>
        <v>49.000000000001734</v>
      </c>
      <c r="F66" s="16">
        <f t="shared" si="11"/>
        <v>51.800000000001177</v>
      </c>
      <c r="G66" s="16">
        <f t="shared" si="11"/>
        <v>53.549999999999947</v>
      </c>
      <c r="H66" s="17">
        <f t="shared" si="11"/>
        <v>45.499999999998309</v>
      </c>
      <c r="I66" s="17">
        <f t="shared" si="11"/>
        <v>48.299999999998278</v>
      </c>
      <c r="J66" s="17">
        <f t="shared" si="10"/>
        <v>50.049999999999116</v>
      </c>
      <c r="K66" s="18">
        <f t="shared" si="10"/>
        <v>42.000000000001215</v>
      </c>
      <c r="L66" s="18">
        <f t="shared" si="10"/>
        <v>44.80000000000075</v>
      </c>
      <c r="M66" s="18">
        <f t="shared" si="10"/>
        <v>46.550000000001219</v>
      </c>
      <c r="N66" s="19">
        <f t="shared" si="10"/>
        <v>32.199999999999598</v>
      </c>
      <c r="O66" s="19">
        <f t="shared" si="10"/>
        <v>35.000000000001364</v>
      </c>
      <c r="P66" s="19">
        <f t="shared" si="10"/>
        <v>36.749999999999083</v>
      </c>
      <c r="Q66" s="20">
        <f t="shared" si="10"/>
        <v>30.450000000001069</v>
      </c>
      <c r="R66" s="20">
        <f t="shared" si="10"/>
        <v>33.250000000001457</v>
      </c>
      <c r="S66" s="20">
        <f t="shared" si="10"/>
        <v>35.000000000001364</v>
      </c>
      <c r="T66" s="21">
        <f t="shared" si="10"/>
        <v>28.700000000001509</v>
      </c>
      <c r="U66" s="21">
        <f t="shared" si="10"/>
        <v>31.5</v>
      </c>
      <c r="V66" s="21">
        <f t="shared" si="10"/>
        <v>33.250000000001457</v>
      </c>
      <c r="W66" s="22">
        <f t="shared" si="10"/>
        <v>26.950000000000188</v>
      </c>
      <c r="X66" s="22">
        <f t="shared" si="10"/>
        <v>29.749999999998643</v>
      </c>
      <c r="Y66" s="22">
        <f t="shared" si="10"/>
        <v>31.5</v>
      </c>
      <c r="Z66" s="23">
        <f t="shared" si="13"/>
        <v>25.199999999999008</v>
      </c>
      <c r="AA66" s="23">
        <f t="shared" si="12"/>
        <v>27.99999999999946</v>
      </c>
      <c r="AB66" s="23">
        <f t="shared" si="12"/>
        <v>29.749999999998643</v>
      </c>
      <c r="AC66" s="24">
        <f t="shared" si="12"/>
        <v>23.450000000000347</v>
      </c>
      <c r="AD66" s="24">
        <f t="shared" si="12"/>
        <v>26.249999999999929</v>
      </c>
      <c r="AE66" s="24">
        <f t="shared" si="12"/>
        <v>27.99999999999946</v>
      </c>
      <c r="AF66" s="25">
        <f t="shared" si="12"/>
        <v>21.699999999999548</v>
      </c>
      <c r="AG66" s="25">
        <f t="shared" si="12"/>
        <v>24.500000000000867</v>
      </c>
      <c r="AH66" s="25">
        <f t="shared" si="7"/>
        <v>26.249999999999929</v>
      </c>
      <c r="AI66" s="26">
        <f t="shared" si="7"/>
        <v>19.950000000000269</v>
      </c>
      <c r="AJ66" s="26">
        <f t="shared" si="7"/>
        <v>22.749999999999154</v>
      </c>
      <c r="AK66" s="26">
        <f t="shared" si="7"/>
        <v>24.500000000000867</v>
      </c>
    </row>
    <row r="67" spans="4:37" ht="20.100000000000001" customHeight="1">
      <c r="D67" s="27">
        <f t="shared" si="3"/>
        <v>0.17777777777777765</v>
      </c>
      <c r="E67" s="16">
        <f t="shared" si="11"/>
        <v>49.777777777779512</v>
      </c>
      <c r="F67" s="16">
        <f t="shared" si="11"/>
        <v>52.6222222222234</v>
      </c>
      <c r="G67" s="16">
        <f t="shared" si="11"/>
        <v>54.399999999999949</v>
      </c>
      <c r="H67" s="17">
        <f t="shared" si="11"/>
        <v>46.22222222222053</v>
      </c>
      <c r="I67" s="17">
        <f t="shared" si="11"/>
        <v>49.066666666664943</v>
      </c>
      <c r="J67" s="17">
        <f t="shared" si="10"/>
        <v>50.84444444444356</v>
      </c>
      <c r="K67" s="18">
        <f t="shared" si="10"/>
        <v>42.666666666667879</v>
      </c>
      <c r="L67" s="18">
        <f t="shared" si="10"/>
        <v>45.511111111111859</v>
      </c>
      <c r="M67" s="18">
        <f t="shared" si="10"/>
        <v>47.288888888890106</v>
      </c>
      <c r="N67" s="19">
        <f t="shared" si="10"/>
        <v>32.711111111110711</v>
      </c>
      <c r="O67" s="19">
        <f t="shared" si="10"/>
        <v>35.555555555556921</v>
      </c>
      <c r="P67" s="19">
        <f t="shared" si="10"/>
        <v>37.333333333332419</v>
      </c>
      <c r="Q67" s="20">
        <f t="shared" si="10"/>
        <v>30.933333333334403</v>
      </c>
      <c r="R67" s="20">
        <f t="shared" si="10"/>
        <v>33.777777777779235</v>
      </c>
      <c r="S67" s="20">
        <f t="shared" si="10"/>
        <v>35.555555555556921</v>
      </c>
      <c r="T67" s="21">
        <f t="shared" si="10"/>
        <v>29.155555555557065</v>
      </c>
      <c r="U67" s="21">
        <f t="shared" si="10"/>
        <v>32</v>
      </c>
      <c r="V67" s="21">
        <f t="shared" si="10"/>
        <v>33.777777777779235</v>
      </c>
      <c r="W67" s="22">
        <f t="shared" si="10"/>
        <v>27.377777777777965</v>
      </c>
      <c r="X67" s="22">
        <f t="shared" si="10"/>
        <v>30.222222222220864</v>
      </c>
      <c r="Y67" s="22">
        <f t="shared" si="10"/>
        <v>32</v>
      </c>
      <c r="Z67" s="23">
        <f t="shared" si="13"/>
        <v>25.599999999999007</v>
      </c>
      <c r="AA67" s="23">
        <f t="shared" si="12"/>
        <v>28.444444444443903</v>
      </c>
      <c r="AB67" s="23">
        <f t="shared" si="12"/>
        <v>30.222222222220864</v>
      </c>
      <c r="AC67" s="24">
        <f t="shared" si="12"/>
        <v>23.822222222222571</v>
      </c>
      <c r="AD67" s="24">
        <f t="shared" si="12"/>
        <v>26.666666666666597</v>
      </c>
      <c r="AE67" s="24">
        <f t="shared" si="12"/>
        <v>28.444444444443903</v>
      </c>
      <c r="AF67" s="25">
        <f t="shared" si="12"/>
        <v>22.044444444443993</v>
      </c>
      <c r="AG67" s="25">
        <f t="shared" si="12"/>
        <v>24.888888888889756</v>
      </c>
      <c r="AH67" s="25">
        <f t="shared" si="7"/>
        <v>26.666666666666597</v>
      </c>
      <c r="AI67" s="26">
        <f t="shared" si="7"/>
        <v>20.266666666666936</v>
      </c>
      <c r="AJ67" s="26">
        <f t="shared" si="7"/>
        <v>23.111111111110265</v>
      </c>
      <c r="AK67" s="26">
        <f t="shared" si="7"/>
        <v>24.888888888889756</v>
      </c>
    </row>
    <row r="68" spans="4:37" ht="20.100000000000001" customHeight="1">
      <c r="D68" s="27">
        <f t="shared" si="3"/>
        <v>0.18055555555555541</v>
      </c>
      <c r="E68" s="16">
        <f t="shared" si="11"/>
        <v>50.555555555557291</v>
      </c>
      <c r="F68" s="16">
        <f t="shared" si="11"/>
        <v>53.444444444445622</v>
      </c>
      <c r="G68" s="16">
        <f t="shared" si="11"/>
        <v>55.24999999999995</v>
      </c>
      <c r="H68" s="17">
        <f t="shared" si="11"/>
        <v>46.944444444442752</v>
      </c>
      <c r="I68" s="17">
        <f t="shared" si="11"/>
        <v>49.833333333331609</v>
      </c>
      <c r="J68" s="17">
        <f t="shared" si="10"/>
        <v>51.638888888888005</v>
      </c>
      <c r="K68" s="18">
        <f t="shared" si="10"/>
        <v>43.333333333334544</v>
      </c>
      <c r="L68" s="18">
        <f t="shared" si="10"/>
        <v>46.222222222222968</v>
      </c>
      <c r="M68" s="18">
        <f t="shared" si="10"/>
        <v>48.027777777778994</v>
      </c>
      <c r="N68" s="19">
        <f t="shared" si="10"/>
        <v>33.222222222221824</v>
      </c>
      <c r="O68" s="19">
        <f t="shared" si="10"/>
        <v>36.111111111112479</v>
      </c>
      <c r="P68" s="19">
        <f t="shared" si="10"/>
        <v>37.916666666665755</v>
      </c>
      <c r="Q68" s="20">
        <f t="shared" si="10"/>
        <v>31.416666666667737</v>
      </c>
      <c r="R68" s="20">
        <f t="shared" si="10"/>
        <v>34.305555555557014</v>
      </c>
      <c r="S68" s="20">
        <f t="shared" si="10"/>
        <v>36.111111111112479</v>
      </c>
      <c r="T68" s="21">
        <f t="shared" si="10"/>
        <v>29.611111111112621</v>
      </c>
      <c r="U68" s="21">
        <f t="shared" si="10"/>
        <v>32.5</v>
      </c>
      <c r="V68" s="21">
        <f t="shared" si="10"/>
        <v>34.305555555557014</v>
      </c>
      <c r="W68" s="22">
        <f t="shared" si="10"/>
        <v>27.805555555555742</v>
      </c>
      <c r="X68" s="22">
        <f t="shared" si="10"/>
        <v>30.694444444443086</v>
      </c>
      <c r="Y68" s="22">
        <f t="shared" si="10"/>
        <v>32.5</v>
      </c>
      <c r="Z68" s="23">
        <f t="shared" si="13"/>
        <v>25.999999999999005</v>
      </c>
      <c r="AA68" s="23">
        <f t="shared" si="12"/>
        <v>28.888888888888346</v>
      </c>
      <c r="AB68" s="23">
        <f t="shared" si="12"/>
        <v>30.694444444443086</v>
      </c>
      <c r="AC68" s="24">
        <f t="shared" si="12"/>
        <v>24.194444444444795</v>
      </c>
      <c r="AD68" s="24">
        <f t="shared" si="12"/>
        <v>27.083333333333265</v>
      </c>
      <c r="AE68" s="24">
        <f t="shared" si="12"/>
        <v>28.888888888888346</v>
      </c>
      <c r="AF68" s="25">
        <f t="shared" si="12"/>
        <v>22.388888888888438</v>
      </c>
      <c r="AG68" s="25">
        <f t="shared" si="12"/>
        <v>25.277777777778645</v>
      </c>
      <c r="AH68" s="25">
        <f t="shared" si="7"/>
        <v>27.083333333333265</v>
      </c>
      <c r="AI68" s="26">
        <f t="shared" si="7"/>
        <v>20.583333333333602</v>
      </c>
      <c r="AJ68" s="26">
        <f t="shared" si="7"/>
        <v>23.472222222221376</v>
      </c>
      <c r="AK68" s="26">
        <f t="shared" si="7"/>
        <v>25.277777777778645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51.333333333335069</v>
      </c>
      <c r="F69" s="16">
        <f t="shared" si="11"/>
        <v>54.266666666667845</v>
      </c>
      <c r="G69" s="16">
        <f t="shared" si="11"/>
        <v>56.099999999999952</v>
      </c>
      <c r="H69" s="17">
        <f t="shared" si="11"/>
        <v>47.666666666664973</v>
      </c>
      <c r="I69" s="17">
        <f t="shared" si="11"/>
        <v>50.599999999998275</v>
      </c>
      <c r="J69" s="17">
        <f t="shared" si="10"/>
        <v>52.433333333332449</v>
      </c>
      <c r="K69" s="18">
        <f t="shared" si="10"/>
        <v>44.000000000001208</v>
      </c>
      <c r="L69" s="18">
        <f t="shared" si="10"/>
        <v>46.933333333334076</v>
      </c>
      <c r="M69" s="18">
        <f t="shared" ref="M69:Z69" si="15">M70-(M$363/360)</f>
        <v>48.766666666667881</v>
      </c>
      <c r="N69" s="19">
        <f t="shared" si="15"/>
        <v>33.733333333332936</v>
      </c>
      <c r="O69" s="19">
        <f t="shared" si="15"/>
        <v>36.666666666668036</v>
      </c>
      <c r="P69" s="19">
        <f t="shared" si="15"/>
        <v>38.499999999999091</v>
      </c>
      <c r="Q69" s="20">
        <f t="shared" si="15"/>
        <v>31.900000000001071</v>
      </c>
      <c r="R69" s="20">
        <f t="shared" si="15"/>
        <v>34.833333333334792</v>
      </c>
      <c r="S69" s="20">
        <f t="shared" si="15"/>
        <v>36.666666666668036</v>
      </c>
      <c r="T69" s="21">
        <f t="shared" si="15"/>
        <v>30.066666666668176</v>
      </c>
      <c r="U69" s="21">
        <f t="shared" si="15"/>
        <v>33</v>
      </c>
      <c r="V69" s="21">
        <f t="shared" si="15"/>
        <v>34.833333333334792</v>
      </c>
      <c r="W69" s="22">
        <f t="shared" si="15"/>
        <v>28.233333333333519</v>
      </c>
      <c r="X69" s="22">
        <f t="shared" si="15"/>
        <v>31.166666666665307</v>
      </c>
      <c r="Y69" s="22">
        <f t="shared" si="15"/>
        <v>33</v>
      </c>
      <c r="Z69" s="23">
        <f t="shared" si="15"/>
        <v>26.399999999999004</v>
      </c>
      <c r="AA69" s="23">
        <f t="shared" si="12"/>
        <v>29.333333333332789</v>
      </c>
      <c r="AB69" s="23">
        <f t="shared" si="12"/>
        <v>31.166666666665307</v>
      </c>
      <c r="AC69" s="24">
        <f t="shared" si="12"/>
        <v>24.566666666667018</v>
      </c>
      <c r="AD69" s="24">
        <f t="shared" si="12"/>
        <v>27.499999999999932</v>
      </c>
      <c r="AE69" s="24">
        <f t="shared" si="12"/>
        <v>29.333333333332789</v>
      </c>
      <c r="AF69" s="25">
        <f t="shared" si="12"/>
        <v>22.733333333332883</v>
      </c>
      <c r="AG69" s="25">
        <f t="shared" si="12"/>
        <v>25.666666666667535</v>
      </c>
      <c r="AH69" s="25">
        <f t="shared" si="7"/>
        <v>27.499999999999932</v>
      </c>
      <c r="AI69" s="26">
        <f t="shared" si="7"/>
        <v>20.900000000000269</v>
      </c>
      <c r="AJ69" s="26">
        <f t="shared" si="7"/>
        <v>23.833333333332487</v>
      </c>
      <c r="AK69" s="26">
        <f t="shared" si="7"/>
        <v>25.666666666667535</v>
      </c>
    </row>
    <row r="70" spans="4:37" ht="20.100000000000001" customHeight="1">
      <c r="D70" s="27">
        <f t="shared" si="14"/>
        <v>0.18611111111111095</v>
      </c>
      <c r="E70" s="16">
        <f t="shared" si="11"/>
        <v>52.111111111112848</v>
      </c>
      <c r="F70" s="16">
        <f t="shared" si="11"/>
        <v>55.088888888890068</v>
      </c>
      <c r="G70" s="16">
        <f t="shared" si="11"/>
        <v>56.949999999999953</v>
      </c>
      <c r="H70" s="17">
        <f t="shared" si="11"/>
        <v>48.388888888887195</v>
      </c>
      <c r="I70" s="17">
        <f t="shared" si="11"/>
        <v>51.366666666664941</v>
      </c>
      <c r="J70" s="17">
        <f t="shared" si="11"/>
        <v>53.227777777776893</v>
      </c>
      <c r="K70" s="18">
        <f t="shared" si="11"/>
        <v>44.666666666667872</v>
      </c>
      <c r="L70" s="18">
        <f t="shared" si="11"/>
        <v>47.644444444445185</v>
      </c>
      <c r="M70" s="18">
        <f t="shared" si="11"/>
        <v>49.505555555556768</v>
      </c>
      <c r="N70" s="19">
        <f t="shared" si="11"/>
        <v>34.244444444444049</v>
      </c>
      <c r="O70" s="19">
        <f t="shared" si="11"/>
        <v>37.222222222223593</v>
      </c>
      <c r="P70" s="19">
        <f t="shared" si="11"/>
        <v>39.083333333332426</v>
      </c>
      <c r="Q70" s="20">
        <f t="shared" si="11"/>
        <v>32.383333333334406</v>
      </c>
      <c r="R70" s="20">
        <f t="shared" si="11"/>
        <v>35.361111111112571</v>
      </c>
      <c r="S70" s="20">
        <f t="shared" si="11"/>
        <v>37.222222222223593</v>
      </c>
      <c r="T70" s="21">
        <f t="shared" si="11"/>
        <v>30.522222222223732</v>
      </c>
      <c r="U70" s="21">
        <f t="shared" ref="U70:U91" si="16">U71-(U$363/360)</f>
        <v>33.5</v>
      </c>
      <c r="V70" s="21">
        <f t="shared" ref="V70:V91" si="17">V71-(V$363/360)</f>
        <v>35.361111111112571</v>
      </c>
      <c r="W70" s="22">
        <f t="shared" ref="W70:W91" si="18">W71-(W$363/360)</f>
        <v>28.661111111111296</v>
      </c>
      <c r="X70" s="22">
        <f t="shared" ref="X70:X91" si="19">X71-(X$363/360)</f>
        <v>31.638888888887529</v>
      </c>
      <c r="Y70" s="22">
        <f t="shared" ref="Y70:Y91" si="20">Y71-(Y$363/360)</f>
        <v>33.5</v>
      </c>
      <c r="Z70" s="23">
        <f t="shared" ref="Z70:Z91" si="21">Z71-(Z$363/360)</f>
        <v>26.799999999999002</v>
      </c>
      <c r="AA70" s="23">
        <f t="shared" si="12"/>
        <v>29.777777777777231</v>
      </c>
      <c r="AB70" s="23">
        <f t="shared" si="12"/>
        <v>31.638888888887529</v>
      </c>
      <c r="AC70" s="24">
        <f t="shared" si="12"/>
        <v>24.938888888889242</v>
      </c>
      <c r="AD70" s="24">
        <f t="shared" si="12"/>
        <v>27.9166666666666</v>
      </c>
      <c r="AE70" s="24">
        <f t="shared" si="12"/>
        <v>29.777777777777231</v>
      </c>
      <c r="AF70" s="25">
        <f t="shared" si="12"/>
        <v>23.077777777777328</v>
      </c>
      <c r="AG70" s="25">
        <f t="shared" si="12"/>
        <v>26.055555555556424</v>
      </c>
      <c r="AH70" s="25">
        <f t="shared" si="7"/>
        <v>27.9166666666666</v>
      </c>
      <c r="AI70" s="26">
        <f t="shared" si="7"/>
        <v>21.216666666666935</v>
      </c>
      <c r="AJ70" s="26">
        <f t="shared" si="7"/>
        <v>24.194444444443597</v>
      </c>
      <c r="AK70" s="26">
        <f t="shared" si="7"/>
        <v>26.055555555556424</v>
      </c>
    </row>
    <row r="71" spans="4:37" ht="20.100000000000001" customHeight="1">
      <c r="D71" s="27">
        <f t="shared" si="14"/>
        <v>0.18888888888888872</v>
      </c>
      <c r="E71" s="16">
        <f t="shared" si="11"/>
        <v>52.888888888890627</v>
      </c>
      <c r="F71" s="16">
        <f t="shared" si="11"/>
        <v>55.911111111112291</v>
      </c>
      <c r="G71" s="16">
        <f t="shared" si="11"/>
        <v>57.799999999999955</v>
      </c>
      <c r="H71" s="17">
        <f t="shared" si="11"/>
        <v>49.111111111109416</v>
      </c>
      <c r="I71" s="17">
        <f t="shared" si="11"/>
        <v>52.133333333331606</v>
      </c>
      <c r="J71" s="17">
        <f t="shared" si="11"/>
        <v>54.022222222221338</v>
      </c>
      <c r="K71" s="18">
        <f t="shared" si="11"/>
        <v>45.333333333334537</v>
      </c>
      <c r="L71" s="18">
        <f t="shared" si="11"/>
        <v>48.355555555556293</v>
      </c>
      <c r="M71" s="18">
        <f t="shared" si="11"/>
        <v>50.244444444445655</v>
      </c>
      <c r="N71" s="19">
        <f t="shared" si="11"/>
        <v>34.755555555555162</v>
      </c>
      <c r="O71" s="19">
        <f t="shared" si="11"/>
        <v>37.77777777777915</v>
      </c>
      <c r="P71" s="19">
        <f t="shared" si="11"/>
        <v>39.666666666665762</v>
      </c>
      <c r="Q71" s="20">
        <f t="shared" si="11"/>
        <v>32.86666666666774</v>
      </c>
      <c r="R71" s="20">
        <f t="shared" si="11"/>
        <v>35.888888888890349</v>
      </c>
      <c r="S71" s="20">
        <f t="shared" si="11"/>
        <v>37.77777777777915</v>
      </c>
      <c r="T71" s="21">
        <f t="shared" si="11"/>
        <v>30.977777777779288</v>
      </c>
      <c r="U71" s="21">
        <f t="shared" si="16"/>
        <v>34</v>
      </c>
      <c r="V71" s="21">
        <f t="shared" si="17"/>
        <v>35.888888888890349</v>
      </c>
      <c r="W71" s="22">
        <f t="shared" si="18"/>
        <v>29.088888888889073</v>
      </c>
      <c r="X71" s="22">
        <f t="shared" si="19"/>
        <v>32.11111111110975</v>
      </c>
      <c r="Y71" s="22">
        <f t="shared" si="20"/>
        <v>34</v>
      </c>
      <c r="Z71" s="23">
        <f t="shared" si="21"/>
        <v>27.199999999999001</v>
      </c>
      <c r="AA71" s="23">
        <f t="shared" si="12"/>
        <v>30.222222222221674</v>
      </c>
      <c r="AB71" s="23">
        <f t="shared" si="12"/>
        <v>32.11111111110975</v>
      </c>
      <c r="AC71" s="24">
        <f t="shared" si="12"/>
        <v>25.311111111111465</v>
      </c>
      <c r="AD71" s="24">
        <f t="shared" si="12"/>
        <v>28.333333333333268</v>
      </c>
      <c r="AE71" s="24">
        <f t="shared" si="12"/>
        <v>30.222222222221674</v>
      </c>
      <c r="AF71" s="25">
        <f t="shared" si="12"/>
        <v>23.422222222221773</v>
      </c>
      <c r="AG71" s="25">
        <f t="shared" si="12"/>
        <v>26.444444444445313</v>
      </c>
      <c r="AH71" s="25">
        <f t="shared" si="12"/>
        <v>28.333333333333268</v>
      </c>
      <c r="AI71" s="26">
        <f t="shared" si="12"/>
        <v>21.533333333333601</v>
      </c>
      <c r="AJ71" s="26">
        <f t="shared" si="12"/>
        <v>24.555555555554708</v>
      </c>
      <c r="AK71" s="26">
        <f t="shared" si="12"/>
        <v>26.444444444445313</v>
      </c>
    </row>
    <row r="72" spans="4:37" ht="20.100000000000001" customHeight="1">
      <c r="D72" s="27">
        <f t="shared" si="14"/>
        <v>0.19166666666666649</v>
      </c>
      <c r="E72" s="16">
        <f t="shared" si="11"/>
        <v>53.666666666668405</v>
      </c>
      <c r="F72" s="16">
        <f t="shared" si="11"/>
        <v>56.733333333334514</v>
      </c>
      <c r="G72" s="16">
        <f t="shared" si="11"/>
        <v>58.649999999999956</v>
      </c>
      <c r="H72" s="17">
        <f t="shared" si="11"/>
        <v>49.833333333331638</v>
      </c>
      <c r="I72" s="17">
        <f t="shared" si="11"/>
        <v>52.899999999998272</v>
      </c>
      <c r="J72" s="17">
        <f t="shared" si="11"/>
        <v>54.816666666665782</v>
      </c>
      <c r="K72" s="18">
        <f t="shared" si="11"/>
        <v>46.000000000001201</v>
      </c>
      <c r="L72" s="18">
        <f t="shared" si="11"/>
        <v>49.066666666667402</v>
      </c>
      <c r="M72" s="18">
        <f t="shared" si="11"/>
        <v>50.983333333334542</v>
      </c>
      <c r="N72" s="19">
        <f t="shared" si="11"/>
        <v>35.266666666666275</v>
      </c>
      <c r="O72" s="19">
        <f t="shared" si="11"/>
        <v>38.333333333334707</v>
      </c>
      <c r="P72" s="19">
        <f t="shared" si="11"/>
        <v>40.249999999999098</v>
      </c>
      <c r="Q72" s="20">
        <f t="shared" si="11"/>
        <v>33.350000000001074</v>
      </c>
      <c r="R72" s="20">
        <f t="shared" si="11"/>
        <v>36.416666666668128</v>
      </c>
      <c r="S72" s="20">
        <f t="shared" si="11"/>
        <v>38.333333333334707</v>
      </c>
      <c r="T72" s="21">
        <f t="shared" si="11"/>
        <v>31.433333333334843</v>
      </c>
      <c r="U72" s="21">
        <f t="shared" si="16"/>
        <v>34.5</v>
      </c>
      <c r="V72" s="21">
        <f t="shared" si="17"/>
        <v>36.416666666668128</v>
      </c>
      <c r="W72" s="22">
        <f t="shared" si="18"/>
        <v>29.51666666666685</v>
      </c>
      <c r="X72" s="22">
        <f t="shared" si="19"/>
        <v>32.583333333331971</v>
      </c>
      <c r="Y72" s="22">
        <f t="shared" si="20"/>
        <v>34.5</v>
      </c>
      <c r="Z72" s="23">
        <f t="shared" si="21"/>
        <v>27.599999999999</v>
      </c>
      <c r="AA72" s="23">
        <f t="shared" si="12"/>
        <v>30.666666666666117</v>
      </c>
      <c r="AB72" s="23">
        <f t="shared" si="12"/>
        <v>32.583333333331971</v>
      </c>
      <c r="AC72" s="24">
        <f t="shared" si="12"/>
        <v>25.683333333333689</v>
      </c>
      <c r="AD72" s="24">
        <f t="shared" si="12"/>
        <v>28.749999999999936</v>
      </c>
      <c r="AE72" s="24">
        <f t="shared" si="12"/>
        <v>30.666666666666117</v>
      </c>
      <c r="AF72" s="25">
        <f t="shared" si="12"/>
        <v>23.766666666666218</v>
      </c>
      <c r="AG72" s="25">
        <f t="shared" si="12"/>
        <v>26.833333333334203</v>
      </c>
      <c r="AH72" s="25">
        <f t="shared" si="12"/>
        <v>28.749999999999936</v>
      </c>
      <c r="AI72" s="26">
        <f t="shared" si="12"/>
        <v>21.850000000000268</v>
      </c>
      <c r="AJ72" s="26">
        <f t="shared" si="12"/>
        <v>24.916666666665819</v>
      </c>
      <c r="AK72" s="26">
        <f t="shared" si="12"/>
        <v>26.833333333334203</v>
      </c>
    </row>
    <row r="73" spans="4:37" ht="20.100000000000001" customHeight="1">
      <c r="D73" s="27">
        <f t="shared" si="14"/>
        <v>0.19444444444444425</v>
      </c>
      <c r="E73" s="16">
        <f t="shared" si="11"/>
        <v>54.444444444446184</v>
      </c>
      <c r="F73" s="16">
        <f t="shared" si="11"/>
        <v>57.555555555556737</v>
      </c>
      <c r="G73" s="16">
        <f t="shared" si="11"/>
        <v>59.499999999999957</v>
      </c>
      <c r="H73" s="17">
        <f t="shared" si="11"/>
        <v>50.555555555553859</v>
      </c>
      <c r="I73" s="17">
        <f t="shared" si="11"/>
        <v>53.666666666664938</v>
      </c>
      <c r="J73" s="17">
        <f t="shared" si="11"/>
        <v>55.611111111110226</v>
      </c>
      <c r="K73" s="18">
        <f t="shared" si="11"/>
        <v>46.666666666667865</v>
      </c>
      <c r="L73" s="18">
        <f t="shared" si="11"/>
        <v>49.77777777777851</v>
      </c>
      <c r="M73" s="18">
        <f t="shared" si="11"/>
        <v>51.722222222223429</v>
      </c>
      <c r="N73" s="19">
        <f t="shared" si="11"/>
        <v>35.777777777777388</v>
      </c>
      <c r="O73" s="19">
        <f t="shared" si="11"/>
        <v>38.888888888890264</v>
      </c>
      <c r="P73" s="19">
        <f t="shared" si="11"/>
        <v>40.833333333332433</v>
      </c>
      <c r="Q73" s="20">
        <f t="shared" si="11"/>
        <v>33.833333333334409</v>
      </c>
      <c r="R73" s="20">
        <f t="shared" si="11"/>
        <v>36.944444444445907</v>
      </c>
      <c r="S73" s="20">
        <f t="shared" si="11"/>
        <v>38.888888888890264</v>
      </c>
      <c r="T73" s="21">
        <f t="shared" si="11"/>
        <v>31.888888888890399</v>
      </c>
      <c r="U73" s="21">
        <f t="shared" si="16"/>
        <v>35</v>
      </c>
      <c r="V73" s="21">
        <f t="shared" si="17"/>
        <v>36.944444444445907</v>
      </c>
      <c r="W73" s="22">
        <f t="shared" si="18"/>
        <v>29.944444444444628</v>
      </c>
      <c r="X73" s="22">
        <f t="shared" si="19"/>
        <v>33.055555555554193</v>
      </c>
      <c r="Y73" s="22">
        <f t="shared" si="20"/>
        <v>35</v>
      </c>
      <c r="Z73" s="23">
        <f t="shared" si="21"/>
        <v>27.999999999998998</v>
      </c>
      <c r="AA73" s="23">
        <f t="shared" si="12"/>
        <v>31.11111111111056</v>
      </c>
      <c r="AB73" s="23">
        <f t="shared" si="12"/>
        <v>33.055555555554193</v>
      </c>
      <c r="AC73" s="24">
        <f t="shared" si="12"/>
        <v>26.055555555555912</v>
      </c>
      <c r="AD73" s="24">
        <f t="shared" si="12"/>
        <v>29.166666666666604</v>
      </c>
      <c r="AE73" s="24">
        <f t="shared" si="12"/>
        <v>31.11111111111056</v>
      </c>
      <c r="AF73" s="25">
        <f t="shared" si="12"/>
        <v>24.111111111110663</v>
      </c>
      <c r="AG73" s="25">
        <f t="shared" si="12"/>
        <v>27.222222222223092</v>
      </c>
      <c r="AH73" s="25">
        <f t="shared" si="12"/>
        <v>29.166666666666604</v>
      </c>
      <c r="AI73" s="26">
        <f t="shared" si="12"/>
        <v>22.166666666666934</v>
      </c>
      <c r="AJ73" s="26">
        <f t="shared" si="12"/>
        <v>25.277777777776929</v>
      </c>
      <c r="AK73" s="26">
        <f t="shared" si="12"/>
        <v>27.222222222223092</v>
      </c>
    </row>
    <row r="74" spans="4:37" ht="20.100000000000001" customHeight="1">
      <c r="D74" s="27">
        <f t="shared" si="14"/>
        <v>0.19722222222222202</v>
      </c>
      <c r="E74" s="16">
        <f t="shared" si="11"/>
        <v>55.222222222223962</v>
      </c>
      <c r="F74" s="16">
        <f t="shared" si="11"/>
        <v>58.377777777778959</v>
      </c>
      <c r="G74" s="16">
        <f t="shared" si="11"/>
        <v>60.349999999999959</v>
      </c>
      <c r="H74" s="17">
        <f t="shared" si="11"/>
        <v>51.27777777777608</v>
      </c>
      <c r="I74" s="17">
        <f t="shared" si="11"/>
        <v>54.433333333331603</v>
      </c>
      <c r="J74" s="17">
        <f t="shared" si="11"/>
        <v>56.40555555555467</v>
      </c>
      <c r="K74" s="18">
        <f t="shared" si="11"/>
        <v>47.333333333334529</v>
      </c>
      <c r="L74" s="18">
        <f t="shared" si="11"/>
        <v>50.488888888889619</v>
      </c>
      <c r="M74" s="18">
        <f t="shared" si="11"/>
        <v>52.461111111112317</v>
      </c>
      <c r="N74" s="19">
        <f t="shared" si="11"/>
        <v>36.288888888888501</v>
      </c>
      <c r="O74" s="19">
        <f t="shared" si="11"/>
        <v>39.444444444445821</v>
      </c>
      <c r="P74" s="19">
        <f t="shared" si="11"/>
        <v>41.416666666665769</v>
      </c>
      <c r="Q74" s="20">
        <f t="shared" si="11"/>
        <v>34.316666666667743</v>
      </c>
      <c r="R74" s="20">
        <f t="shared" si="11"/>
        <v>37.472222222223685</v>
      </c>
      <c r="S74" s="20">
        <f t="shared" si="11"/>
        <v>39.444444444445821</v>
      </c>
      <c r="T74" s="21">
        <f t="shared" si="11"/>
        <v>32.344444444445955</v>
      </c>
      <c r="U74" s="21">
        <f t="shared" si="16"/>
        <v>35.5</v>
      </c>
      <c r="V74" s="21">
        <f t="shared" si="17"/>
        <v>37.472222222223685</v>
      </c>
      <c r="W74" s="22">
        <f t="shared" si="18"/>
        <v>30.372222222222405</v>
      </c>
      <c r="X74" s="22">
        <f t="shared" si="19"/>
        <v>33.527777777776414</v>
      </c>
      <c r="Y74" s="22">
        <f t="shared" si="20"/>
        <v>35.5</v>
      </c>
      <c r="Z74" s="23">
        <f t="shared" si="21"/>
        <v>28.399999999998997</v>
      </c>
      <c r="AA74" s="23">
        <f t="shared" si="12"/>
        <v>31.555555555555003</v>
      </c>
      <c r="AB74" s="23">
        <f t="shared" si="12"/>
        <v>33.527777777776414</v>
      </c>
      <c r="AC74" s="24">
        <f t="shared" si="12"/>
        <v>26.427777777778136</v>
      </c>
      <c r="AD74" s="24">
        <f t="shared" si="12"/>
        <v>29.583333333333272</v>
      </c>
      <c r="AE74" s="24">
        <f t="shared" si="12"/>
        <v>31.555555555555003</v>
      </c>
      <c r="AF74" s="25">
        <f t="shared" si="12"/>
        <v>24.455555555555108</v>
      </c>
      <c r="AG74" s="25">
        <f t="shared" si="12"/>
        <v>27.611111111111981</v>
      </c>
      <c r="AH74" s="25">
        <f t="shared" si="12"/>
        <v>29.583333333333272</v>
      </c>
      <c r="AI74" s="26">
        <f t="shared" si="12"/>
        <v>22.483333333333601</v>
      </c>
      <c r="AJ74" s="26">
        <f t="shared" si="12"/>
        <v>25.63888888888804</v>
      </c>
      <c r="AK74" s="26">
        <f t="shared" si="12"/>
        <v>27.611111111111981</v>
      </c>
    </row>
    <row r="75" spans="4:37" ht="20.100000000000001" customHeight="1">
      <c r="D75" s="27">
        <f t="shared" si="14"/>
        <v>0.19999999999999979</v>
      </c>
      <c r="E75" s="16">
        <f t="shared" si="11"/>
        <v>56.000000000001741</v>
      </c>
      <c r="F75" s="16">
        <f t="shared" si="11"/>
        <v>59.200000000001182</v>
      </c>
      <c r="G75" s="16">
        <f t="shared" si="11"/>
        <v>61.19999999999996</v>
      </c>
      <c r="H75" s="17">
        <f t="shared" si="11"/>
        <v>51.999999999998302</v>
      </c>
      <c r="I75" s="17">
        <f t="shared" si="11"/>
        <v>55.199999999998269</v>
      </c>
      <c r="J75" s="17">
        <f t="shared" si="11"/>
        <v>57.199999999999115</v>
      </c>
      <c r="K75" s="18">
        <f t="shared" si="11"/>
        <v>48.000000000001194</v>
      </c>
      <c r="L75" s="18">
        <f t="shared" si="11"/>
        <v>51.200000000000728</v>
      </c>
      <c r="M75" s="18">
        <f t="shared" si="11"/>
        <v>53.200000000001204</v>
      </c>
      <c r="N75" s="19">
        <f t="shared" si="11"/>
        <v>36.799999999999613</v>
      </c>
      <c r="O75" s="19">
        <f t="shared" si="11"/>
        <v>40.000000000001378</v>
      </c>
      <c r="P75" s="19">
        <f t="shared" si="11"/>
        <v>41.999999999999105</v>
      </c>
      <c r="Q75" s="20">
        <f t="shared" si="11"/>
        <v>34.800000000001077</v>
      </c>
      <c r="R75" s="20">
        <f t="shared" si="11"/>
        <v>38.000000000001464</v>
      </c>
      <c r="S75" s="20">
        <f t="shared" si="11"/>
        <v>40.000000000001378</v>
      </c>
      <c r="T75" s="21">
        <f t="shared" si="11"/>
        <v>32.800000000001511</v>
      </c>
      <c r="U75" s="21">
        <f t="shared" si="16"/>
        <v>36</v>
      </c>
      <c r="V75" s="21">
        <f t="shared" si="17"/>
        <v>38.000000000001464</v>
      </c>
      <c r="W75" s="22">
        <f t="shared" si="18"/>
        <v>30.800000000000182</v>
      </c>
      <c r="X75" s="22">
        <f t="shared" si="19"/>
        <v>33.999999999998636</v>
      </c>
      <c r="Y75" s="22">
        <f t="shared" si="20"/>
        <v>36</v>
      </c>
      <c r="Z75" s="23">
        <f t="shared" si="21"/>
        <v>28.799999999998995</v>
      </c>
      <c r="AA75" s="23">
        <f t="shared" si="12"/>
        <v>31.999999999999446</v>
      </c>
      <c r="AB75" s="23">
        <f t="shared" si="12"/>
        <v>33.999999999998636</v>
      </c>
      <c r="AC75" s="24">
        <f t="shared" si="12"/>
        <v>26.80000000000036</v>
      </c>
      <c r="AD75" s="24">
        <f t="shared" si="12"/>
        <v>29.99999999999994</v>
      </c>
      <c r="AE75" s="24">
        <f t="shared" si="12"/>
        <v>31.999999999999446</v>
      </c>
      <c r="AF75" s="25">
        <f t="shared" si="12"/>
        <v>24.799999999999553</v>
      </c>
      <c r="AG75" s="25">
        <f t="shared" si="12"/>
        <v>28.00000000000087</v>
      </c>
      <c r="AH75" s="25">
        <f t="shared" si="12"/>
        <v>29.99999999999994</v>
      </c>
      <c r="AI75" s="26">
        <f t="shared" si="12"/>
        <v>22.800000000000267</v>
      </c>
      <c r="AJ75" s="26">
        <f t="shared" si="12"/>
        <v>25.999999999999151</v>
      </c>
      <c r="AK75" s="26">
        <f t="shared" si="12"/>
        <v>28.00000000000087</v>
      </c>
    </row>
    <row r="76" spans="4:37" ht="20.100000000000001" customHeight="1">
      <c r="D76" s="27">
        <f t="shared" si="14"/>
        <v>0.20277777777777756</v>
      </c>
      <c r="E76" s="16">
        <f t="shared" si="11"/>
        <v>56.777777777779519</v>
      </c>
      <c r="F76" s="16">
        <f t="shared" si="11"/>
        <v>60.022222222223405</v>
      </c>
      <c r="G76" s="16">
        <f t="shared" si="11"/>
        <v>62.049999999999962</v>
      </c>
      <c r="H76" s="17">
        <f t="shared" si="11"/>
        <v>52.722222222220523</v>
      </c>
      <c r="I76" s="17">
        <f t="shared" si="11"/>
        <v>55.966666666664935</v>
      </c>
      <c r="J76" s="17">
        <f t="shared" si="11"/>
        <v>57.994444444443559</v>
      </c>
      <c r="K76" s="18">
        <f t="shared" si="11"/>
        <v>48.666666666667858</v>
      </c>
      <c r="L76" s="18">
        <f t="shared" si="11"/>
        <v>51.911111111111836</v>
      </c>
      <c r="M76" s="18">
        <f t="shared" si="11"/>
        <v>53.938888888890091</v>
      </c>
      <c r="N76" s="19">
        <f t="shared" si="11"/>
        <v>37.311111111110726</v>
      </c>
      <c r="O76" s="19">
        <f t="shared" si="11"/>
        <v>40.555555555556936</v>
      </c>
      <c r="P76" s="19">
        <f t="shared" si="11"/>
        <v>42.58333333333244</v>
      </c>
      <c r="Q76" s="20">
        <f t="shared" si="11"/>
        <v>35.283333333334411</v>
      </c>
      <c r="R76" s="20">
        <f t="shared" si="11"/>
        <v>38.527777777779242</v>
      </c>
      <c r="S76" s="20">
        <f t="shared" si="11"/>
        <v>40.555555555556936</v>
      </c>
      <c r="T76" s="21">
        <f t="shared" si="11"/>
        <v>33.255555555557066</v>
      </c>
      <c r="U76" s="21">
        <f t="shared" si="16"/>
        <v>36.5</v>
      </c>
      <c r="V76" s="21">
        <f t="shared" si="17"/>
        <v>38.527777777779242</v>
      </c>
      <c r="W76" s="22">
        <f t="shared" si="18"/>
        <v>31.227777777777959</v>
      </c>
      <c r="X76" s="22">
        <f t="shared" si="19"/>
        <v>34.472222222220857</v>
      </c>
      <c r="Y76" s="22">
        <f t="shared" si="20"/>
        <v>36.5</v>
      </c>
      <c r="Z76" s="23">
        <f t="shared" si="21"/>
        <v>29.199999999998994</v>
      </c>
      <c r="AA76" s="23">
        <f t="shared" si="12"/>
        <v>32.444444444443889</v>
      </c>
      <c r="AB76" s="23">
        <f t="shared" si="12"/>
        <v>34.472222222220857</v>
      </c>
      <c r="AC76" s="24">
        <f t="shared" si="12"/>
        <v>27.172222222222583</v>
      </c>
      <c r="AD76" s="24">
        <f t="shared" si="12"/>
        <v>30.416666666666607</v>
      </c>
      <c r="AE76" s="24">
        <f t="shared" si="12"/>
        <v>32.444444444443889</v>
      </c>
      <c r="AF76" s="25">
        <f t="shared" si="12"/>
        <v>25.144444444443998</v>
      </c>
      <c r="AG76" s="25">
        <f t="shared" si="12"/>
        <v>28.38888888888976</v>
      </c>
      <c r="AH76" s="25">
        <f t="shared" si="12"/>
        <v>30.416666666666607</v>
      </c>
      <c r="AI76" s="26">
        <f t="shared" si="12"/>
        <v>23.116666666666934</v>
      </c>
      <c r="AJ76" s="26">
        <f t="shared" si="12"/>
        <v>26.361111111110262</v>
      </c>
      <c r="AK76" s="26">
        <f t="shared" si="12"/>
        <v>28.38888888888976</v>
      </c>
    </row>
    <row r="77" spans="4:37" ht="20.100000000000001" customHeight="1">
      <c r="D77" s="27">
        <f t="shared" si="14"/>
        <v>0.20555555555555532</v>
      </c>
      <c r="E77" s="16">
        <f t="shared" si="11"/>
        <v>57.555555555557298</v>
      </c>
      <c r="F77" s="16">
        <f t="shared" si="11"/>
        <v>60.844444444445628</v>
      </c>
      <c r="G77" s="16">
        <f t="shared" si="11"/>
        <v>62.899999999999963</v>
      </c>
      <c r="H77" s="17">
        <f t="shared" si="11"/>
        <v>53.444444444442745</v>
      </c>
      <c r="I77" s="17">
        <f t="shared" si="11"/>
        <v>56.733333333331601</v>
      </c>
      <c r="J77" s="17">
        <f t="shared" si="11"/>
        <v>58.788888888888003</v>
      </c>
      <c r="K77" s="18">
        <f t="shared" si="11"/>
        <v>49.333333333334522</v>
      </c>
      <c r="L77" s="18">
        <f t="shared" si="11"/>
        <v>52.622222222222945</v>
      </c>
      <c r="M77" s="18">
        <f t="shared" si="11"/>
        <v>54.677777777778978</v>
      </c>
      <c r="N77" s="19">
        <f t="shared" si="11"/>
        <v>37.822222222221839</v>
      </c>
      <c r="O77" s="19">
        <f t="shared" si="11"/>
        <v>41.111111111112493</v>
      </c>
      <c r="P77" s="19">
        <f t="shared" si="11"/>
        <v>43.166666666665776</v>
      </c>
      <c r="Q77" s="20">
        <f t="shared" si="11"/>
        <v>35.766666666667746</v>
      </c>
      <c r="R77" s="20">
        <f t="shared" si="11"/>
        <v>39.055555555557021</v>
      </c>
      <c r="S77" s="20">
        <f t="shared" si="11"/>
        <v>41.111111111112493</v>
      </c>
      <c r="T77" s="21">
        <f t="shared" si="11"/>
        <v>33.711111111112622</v>
      </c>
      <c r="U77" s="21">
        <f t="shared" si="16"/>
        <v>37</v>
      </c>
      <c r="V77" s="21">
        <f t="shared" si="17"/>
        <v>39.055555555557021</v>
      </c>
      <c r="W77" s="22">
        <f t="shared" si="18"/>
        <v>31.655555555555736</v>
      </c>
      <c r="X77" s="22">
        <f t="shared" si="19"/>
        <v>34.944444444443079</v>
      </c>
      <c r="Y77" s="22">
        <f t="shared" si="20"/>
        <v>37</v>
      </c>
      <c r="Z77" s="23">
        <f t="shared" si="21"/>
        <v>29.599999999998992</v>
      </c>
      <c r="AA77" s="23">
        <f t="shared" si="12"/>
        <v>32.888888888888332</v>
      </c>
      <c r="AB77" s="23">
        <f t="shared" si="12"/>
        <v>34.944444444443079</v>
      </c>
      <c r="AC77" s="24">
        <f t="shared" si="12"/>
        <v>27.544444444444807</v>
      </c>
      <c r="AD77" s="24">
        <f t="shared" si="12"/>
        <v>30.833333333333275</v>
      </c>
      <c r="AE77" s="24">
        <f t="shared" si="12"/>
        <v>32.888888888888332</v>
      </c>
      <c r="AF77" s="25">
        <f t="shared" si="12"/>
        <v>25.488888888888443</v>
      </c>
      <c r="AG77" s="25">
        <f t="shared" si="12"/>
        <v>28.777777777778649</v>
      </c>
      <c r="AH77" s="25">
        <f t="shared" si="12"/>
        <v>30.833333333333275</v>
      </c>
      <c r="AI77" s="26">
        <f t="shared" si="12"/>
        <v>23.4333333333336</v>
      </c>
      <c r="AJ77" s="26">
        <f t="shared" si="12"/>
        <v>26.722222222221372</v>
      </c>
      <c r="AK77" s="26">
        <f t="shared" si="12"/>
        <v>28.777777777778649</v>
      </c>
    </row>
    <row r="78" spans="4:37" ht="20.100000000000001" customHeight="1">
      <c r="D78" s="27">
        <f t="shared" si="14"/>
        <v>0.20833333333333309</v>
      </c>
      <c r="E78" s="16">
        <f t="shared" si="11"/>
        <v>58.333333333335077</v>
      </c>
      <c r="F78" s="16">
        <f t="shared" si="11"/>
        <v>61.666666666667851</v>
      </c>
      <c r="G78" s="16">
        <f t="shared" si="11"/>
        <v>63.749999999999964</v>
      </c>
      <c r="H78" s="17">
        <f t="shared" si="11"/>
        <v>54.166666666664966</v>
      </c>
      <c r="I78" s="17">
        <f t="shared" si="11"/>
        <v>57.499999999998266</v>
      </c>
      <c r="J78" s="17">
        <f t="shared" si="11"/>
        <v>59.583333333332448</v>
      </c>
      <c r="K78" s="18">
        <f t="shared" si="11"/>
        <v>50.000000000001187</v>
      </c>
      <c r="L78" s="18">
        <f t="shared" si="11"/>
        <v>53.333333333334053</v>
      </c>
      <c r="M78" s="18">
        <f t="shared" si="11"/>
        <v>55.416666666667865</v>
      </c>
      <c r="N78" s="19">
        <f t="shared" si="11"/>
        <v>38.333333333332952</v>
      </c>
      <c r="O78" s="19">
        <f t="shared" si="11"/>
        <v>41.66666666666805</v>
      </c>
      <c r="P78" s="19">
        <f t="shared" si="11"/>
        <v>43.749999999999112</v>
      </c>
      <c r="Q78" s="20">
        <f t="shared" si="11"/>
        <v>36.25000000000108</v>
      </c>
      <c r="R78" s="20">
        <f t="shared" si="11"/>
        <v>39.583333333334799</v>
      </c>
      <c r="S78" s="20">
        <f t="shared" si="11"/>
        <v>41.66666666666805</v>
      </c>
      <c r="T78" s="21">
        <f t="shared" si="11"/>
        <v>34.166666666668178</v>
      </c>
      <c r="U78" s="21">
        <f t="shared" si="16"/>
        <v>37.5</v>
      </c>
      <c r="V78" s="21">
        <f t="shared" si="17"/>
        <v>39.583333333334799</v>
      </c>
      <c r="W78" s="22">
        <f t="shared" si="18"/>
        <v>32.083333333333513</v>
      </c>
      <c r="X78" s="22">
        <f t="shared" si="19"/>
        <v>35.4166666666653</v>
      </c>
      <c r="Y78" s="22">
        <f t="shared" si="20"/>
        <v>37.5</v>
      </c>
      <c r="Z78" s="23">
        <f t="shared" si="21"/>
        <v>29.999999999998991</v>
      </c>
      <c r="AA78" s="23">
        <f t="shared" ref="AA78:AA91" si="22">AA79-(AA$363/360)</f>
        <v>33.333333333332774</v>
      </c>
      <c r="AB78" s="23">
        <f t="shared" ref="AB78:AB91" si="23">AB79-(AB$363/360)</f>
        <v>35.4166666666653</v>
      </c>
      <c r="AC78" s="24">
        <f t="shared" si="12"/>
        <v>27.91666666666703</v>
      </c>
      <c r="AD78" s="24">
        <f t="shared" si="12"/>
        <v>31.249999999999943</v>
      </c>
      <c r="AE78" s="24">
        <f t="shared" si="12"/>
        <v>33.333333333332774</v>
      </c>
      <c r="AF78" s="25">
        <f t="shared" si="12"/>
        <v>25.833333333332888</v>
      </c>
      <c r="AG78" s="25">
        <f t="shared" si="12"/>
        <v>29.166666666667538</v>
      </c>
      <c r="AH78" s="25">
        <f t="shared" si="12"/>
        <v>31.249999999999943</v>
      </c>
      <c r="AI78" s="26">
        <f t="shared" si="12"/>
        <v>23.750000000000266</v>
      </c>
      <c r="AJ78" s="26">
        <f t="shared" si="12"/>
        <v>27.083333333332483</v>
      </c>
      <c r="AK78" s="26">
        <f t="shared" si="12"/>
        <v>29.166666666667538</v>
      </c>
    </row>
    <row r="79" spans="4:37" ht="20.100000000000001" customHeight="1">
      <c r="D79" s="27">
        <f t="shared" si="14"/>
        <v>0.21111111111111086</v>
      </c>
      <c r="E79" s="16">
        <f t="shared" si="11"/>
        <v>59.111111111112855</v>
      </c>
      <c r="F79" s="16">
        <f t="shared" si="11"/>
        <v>62.488888888890074</v>
      </c>
      <c r="G79" s="16">
        <f t="shared" si="11"/>
        <v>64.599999999999966</v>
      </c>
      <c r="H79" s="17">
        <f t="shared" si="11"/>
        <v>54.888888888887188</v>
      </c>
      <c r="I79" s="17">
        <f t="shared" si="11"/>
        <v>58.266666666664932</v>
      </c>
      <c r="J79" s="17">
        <f t="shared" si="11"/>
        <v>60.377777777776892</v>
      </c>
      <c r="K79" s="18">
        <f t="shared" si="11"/>
        <v>50.666666666667851</v>
      </c>
      <c r="L79" s="18">
        <f t="shared" si="11"/>
        <v>54.044444444445162</v>
      </c>
      <c r="M79" s="18">
        <f t="shared" si="11"/>
        <v>56.155555555556752</v>
      </c>
      <c r="N79" s="19">
        <f t="shared" si="11"/>
        <v>38.844444444444065</v>
      </c>
      <c r="O79" s="19">
        <f t="shared" si="11"/>
        <v>42.222222222223607</v>
      </c>
      <c r="P79" s="19">
        <f t="shared" si="11"/>
        <v>44.333333333332448</v>
      </c>
      <c r="Q79" s="20">
        <f t="shared" si="11"/>
        <v>36.733333333334414</v>
      </c>
      <c r="R79" s="20">
        <f t="shared" si="11"/>
        <v>40.111111111112578</v>
      </c>
      <c r="S79" s="20">
        <f t="shared" si="11"/>
        <v>42.222222222223607</v>
      </c>
      <c r="T79" s="21">
        <f t="shared" si="11"/>
        <v>34.622222222223733</v>
      </c>
      <c r="U79" s="21">
        <f t="shared" si="16"/>
        <v>38</v>
      </c>
      <c r="V79" s="21">
        <f t="shared" si="17"/>
        <v>40.111111111112578</v>
      </c>
      <c r="W79" s="22">
        <f t="shared" si="18"/>
        <v>32.51111111111129</v>
      </c>
      <c r="X79" s="22">
        <f t="shared" si="19"/>
        <v>35.888888888887521</v>
      </c>
      <c r="Y79" s="22">
        <f t="shared" si="20"/>
        <v>38</v>
      </c>
      <c r="Z79" s="23">
        <f t="shared" si="21"/>
        <v>30.39999999999899</v>
      </c>
      <c r="AA79" s="23">
        <f t="shared" si="22"/>
        <v>33.777777777777217</v>
      </c>
      <c r="AB79" s="23">
        <f t="shared" si="23"/>
        <v>35.888888888887521</v>
      </c>
      <c r="AC79" s="24">
        <f t="shared" si="12"/>
        <v>28.288888888889254</v>
      </c>
      <c r="AD79" s="24">
        <f t="shared" si="12"/>
        <v>31.666666666666611</v>
      </c>
      <c r="AE79" s="24">
        <f t="shared" si="12"/>
        <v>33.777777777777217</v>
      </c>
      <c r="AF79" s="25">
        <f t="shared" si="12"/>
        <v>26.177777777777333</v>
      </c>
      <c r="AG79" s="25">
        <f t="shared" si="12"/>
        <v>29.555555555556428</v>
      </c>
      <c r="AH79" s="25">
        <f t="shared" si="12"/>
        <v>31.666666666666611</v>
      </c>
      <c r="AI79" s="26">
        <f t="shared" si="12"/>
        <v>24.066666666666933</v>
      </c>
      <c r="AJ79" s="26">
        <f t="shared" si="12"/>
        <v>27.444444444443594</v>
      </c>
      <c r="AK79" s="26">
        <f t="shared" si="12"/>
        <v>29.555555555556428</v>
      </c>
    </row>
    <row r="80" spans="4:37" ht="20.100000000000001" customHeight="1">
      <c r="D80" s="27">
        <f t="shared" si="14"/>
        <v>0.21388888888888863</v>
      </c>
      <c r="E80" s="16">
        <f t="shared" si="11"/>
        <v>59.888888888890634</v>
      </c>
      <c r="F80" s="16">
        <f t="shared" si="11"/>
        <v>63.311111111112297</v>
      </c>
      <c r="G80" s="16">
        <f t="shared" si="11"/>
        <v>65.44999999999996</v>
      </c>
      <c r="H80" s="17">
        <f t="shared" si="11"/>
        <v>55.611111111109409</v>
      </c>
      <c r="I80" s="17">
        <f t="shared" si="11"/>
        <v>59.033333333331598</v>
      </c>
      <c r="J80" s="17">
        <f t="shared" si="11"/>
        <v>61.172222222221336</v>
      </c>
      <c r="K80" s="18">
        <f t="shared" si="11"/>
        <v>51.333333333334515</v>
      </c>
      <c r="L80" s="18">
        <f t="shared" si="11"/>
        <v>54.755555555556271</v>
      </c>
      <c r="M80" s="18">
        <f t="shared" si="11"/>
        <v>56.894444444445639</v>
      </c>
      <c r="N80" s="19">
        <f t="shared" si="11"/>
        <v>39.355555555555178</v>
      </c>
      <c r="O80" s="19">
        <f t="shared" ref="O80:T80" si="24">O81-(O$363/360)</f>
        <v>42.777777777779164</v>
      </c>
      <c r="P80" s="19">
        <f t="shared" si="24"/>
        <v>44.916666666665783</v>
      </c>
      <c r="Q80" s="20">
        <f t="shared" si="24"/>
        <v>37.216666666667749</v>
      </c>
      <c r="R80" s="20">
        <f t="shared" si="24"/>
        <v>40.638888888890357</v>
      </c>
      <c r="S80" s="20">
        <f t="shared" si="24"/>
        <v>42.777777777779164</v>
      </c>
      <c r="T80" s="21">
        <f t="shared" si="24"/>
        <v>35.077777777779289</v>
      </c>
      <c r="U80" s="21">
        <f t="shared" si="16"/>
        <v>38.5</v>
      </c>
      <c r="V80" s="21">
        <f t="shared" si="17"/>
        <v>40.638888888890357</v>
      </c>
      <c r="W80" s="22">
        <f t="shared" si="18"/>
        <v>32.938888888889068</v>
      </c>
      <c r="X80" s="22">
        <f t="shared" si="19"/>
        <v>36.361111111109743</v>
      </c>
      <c r="Y80" s="22">
        <f t="shared" si="20"/>
        <v>38.5</v>
      </c>
      <c r="Z80" s="23">
        <f t="shared" si="21"/>
        <v>30.799999999998988</v>
      </c>
      <c r="AA80" s="23">
        <f t="shared" si="22"/>
        <v>34.22222222222166</v>
      </c>
      <c r="AB80" s="23">
        <f t="shared" si="23"/>
        <v>36.361111111109743</v>
      </c>
      <c r="AC80" s="24">
        <f t="shared" si="12"/>
        <v>28.661111111111477</v>
      </c>
      <c r="AD80" s="24">
        <f t="shared" si="12"/>
        <v>32.083333333333279</v>
      </c>
      <c r="AE80" s="24">
        <f t="shared" si="12"/>
        <v>34.22222222222166</v>
      </c>
      <c r="AF80" s="25">
        <f t="shared" si="12"/>
        <v>26.522222222221778</v>
      </c>
      <c r="AG80" s="25">
        <f t="shared" si="12"/>
        <v>29.944444444445317</v>
      </c>
      <c r="AH80" s="25">
        <f t="shared" si="12"/>
        <v>32.083333333333279</v>
      </c>
      <c r="AI80" s="26">
        <f t="shared" si="12"/>
        <v>24.383333333333599</v>
      </c>
      <c r="AJ80" s="26">
        <f t="shared" si="12"/>
        <v>27.805555555554704</v>
      </c>
      <c r="AK80" s="26">
        <f t="shared" si="12"/>
        <v>29.944444444445317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60.666666666668412</v>
      </c>
      <c r="F81" s="16">
        <f t="shared" si="25"/>
        <v>64.133333333334519</v>
      </c>
      <c r="G81" s="16">
        <f t="shared" si="25"/>
        <v>66.299999999999955</v>
      </c>
      <c r="H81" s="17">
        <f t="shared" si="25"/>
        <v>56.33333333333163</v>
      </c>
      <c r="I81" s="17">
        <f t="shared" si="25"/>
        <v>59.799999999998263</v>
      </c>
      <c r="J81" s="17">
        <f t="shared" si="25"/>
        <v>61.96666666666578</v>
      </c>
      <c r="K81" s="18">
        <f t="shared" si="25"/>
        <v>52.00000000000118</v>
      </c>
      <c r="L81" s="18">
        <f t="shared" si="25"/>
        <v>55.466666666667379</v>
      </c>
      <c r="M81" s="18">
        <f t="shared" si="25"/>
        <v>57.633333333334527</v>
      </c>
      <c r="N81" s="19">
        <f t="shared" si="25"/>
        <v>39.866666666666291</v>
      </c>
      <c r="O81" s="19">
        <f t="shared" si="25"/>
        <v>43.333333333334721</v>
      </c>
      <c r="P81" s="19">
        <f t="shared" si="25"/>
        <v>45.499999999999119</v>
      </c>
      <c r="Q81" s="20">
        <f t="shared" si="25"/>
        <v>37.700000000001083</v>
      </c>
      <c r="R81" s="20">
        <f t="shared" si="25"/>
        <v>41.166666666668135</v>
      </c>
      <c r="S81" s="20">
        <f t="shared" si="25"/>
        <v>43.333333333334721</v>
      </c>
      <c r="T81" s="21">
        <f t="shared" si="25"/>
        <v>35.533333333334845</v>
      </c>
      <c r="U81" s="21">
        <f t="shared" si="16"/>
        <v>39</v>
      </c>
      <c r="V81" s="21">
        <f t="shared" si="17"/>
        <v>41.166666666668135</v>
      </c>
      <c r="W81" s="22">
        <f t="shared" si="18"/>
        <v>33.366666666666845</v>
      </c>
      <c r="X81" s="22">
        <f t="shared" si="19"/>
        <v>36.833333333331964</v>
      </c>
      <c r="Y81" s="22">
        <f t="shared" si="20"/>
        <v>39</v>
      </c>
      <c r="Z81" s="23">
        <f t="shared" si="21"/>
        <v>31.199999999998987</v>
      </c>
      <c r="AA81" s="23">
        <f t="shared" si="22"/>
        <v>34.666666666666103</v>
      </c>
      <c r="AB81" s="23">
        <f t="shared" si="23"/>
        <v>36.833333333331964</v>
      </c>
      <c r="AC81" s="24">
        <f t="shared" si="12"/>
        <v>29.033333333333701</v>
      </c>
      <c r="AD81" s="24">
        <f t="shared" si="12"/>
        <v>32.499999999999943</v>
      </c>
      <c r="AE81" s="24">
        <f t="shared" si="12"/>
        <v>34.666666666666103</v>
      </c>
      <c r="AF81" s="25">
        <f t="shared" si="12"/>
        <v>26.866666666666223</v>
      </c>
      <c r="AG81" s="25">
        <f t="shared" si="12"/>
        <v>30.333333333334206</v>
      </c>
      <c r="AH81" s="25">
        <f t="shared" si="12"/>
        <v>32.499999999999943</v>
      </c>
      <c r="AI81" s="26">
        <f t="shared" si="12"/>
        <v>24.700000000000266</v>
      </c>
      <c r="AJ81" s="26">
        <f t="shared" si="12"/>
        <v>28.166666666665815</v>
      </c>
      <c r="AK81" s="26">
        <f t="shared" si="12"/>
        <v>30.333333333334206</v>
      </c>
    </row>
    <row r="82" spans="4:37" ht="20.100000000000001" customHeight="1">
      <c r="D82" s="27">
        <f t="shared" si="14"/>
        <v>0.21944444444444416</v>
      </c>
      <c r="E82" s="16">
        <f t="shared" si="25"/>
        <v>61.444444444446191</v>
      </c>
      <c r="F82" s="16">
        <f t="shared" si="25"/>
        <v>64.955555555556742</v>
      </c>
      <c r="G82" s="16">
        <f t="shared" si="25"/>
        <v>67.149999999999949</v>
      </c>
      <c r="H82" s="17">
        <f t="shared" si="25"/>
        <v>57.055555555553852</v>
      </c>
      <c r="I82" s="17">
        <f t="shared" si="25"/>
        <v>60.566666666664929</v>
      </c>
      <c r="J82" s="17">
        <f t="shared" si="25"/>
        <v>62.761111111110225</v>
      </c>
      <c r="K82" s="18">
        <f t="shared" si="25"/>
        <v>52.666666666667844</v>
      </c>
      <c r="L82" s="18">
        <f t="shared" si="25"/>
        <v>56.177777777778488</v>
      </c>
      <c r="M82" s="18">
        <f t="shared" si="25"/>
        <v>58.372222222223414</v>
      </c>
      <c r="N82" s="19">
        <f t="shared" si="25"/>
        <v>40.377777777777403</v>
      </c>
      <c r="O82" s="19">
        <f t="shared" si="25"/>
        <v>43.888888888890278</v>
      </c>
      <c r="P82" s="19">
        <f t="shared" si="25"/>
        <v>46.083333333332455</v>
      </c>
      <c r="Q82" s="20">
        <f t="shared" si="25"/>
        <v>38.183333333334417</v>
      </c>
      <c r="R82" s="20">
        <f t="shared" si="25"/>
        <v>41.694444444445914</v>
      </c>
      <c r="S82" s="20">
        <f t="shared" si="25"/>
        <v>43.888888888890278</v>
      </c>
      <c r="T82" s="21">
        <f t="shared" si="25"/>
        <v>35.988888888890401</v>
      </c>
      <c r="U82" s="21">
        <f t="shared" si="16"/>
        <v>39.5</v>
      </c>
      <c r="V82" s="21">
        <f t="shared" si="17"/>
        <v>41.694444444445914</v>
      </c>
      <c r="W82" s="22">
        <f t="shared" si="18"/>
        <v>33.794444444444622</v>
      </c>
      <c r="X82" s="22">
        <f t="shared" si="19"/>
        <v>37.305555555554186</v>
      </c>
      <c r="Y82" s="22">
        <f t="shared" si="20"/>
        <v>39.5</v>
      </c>
      <c r="Z82" s="23">
        <f t="shared" si="21"/>
        <v>31.599999999998985</v>
      </c>
      <c r="AA82" s="23">
        <f t="shared" si="22"/>
        <v>35.111111111110546</v>
      </c>
      <c r="AB82" s="23">
        <f t="shared" si="23"/>
        <v>37.305555555554186</v>
      </c>
      <c r="AC82" s="24">
        <f t="shared" si="12"/>
        <v>29.405555555555924</v>
      </c>
      <c r="AD82" s="24">
        <f t="shared" si="12"/>
        <v>32.916666666666607</v>
      </c>
      <c r="AE82" s="24">
        <f t="shared" si="12"/>
        <v>35.111111111110546</v>
      </c>
      <c r="AF82" s="25">
        <f t="shared" si="12"/>
        <v>27.211111111110668</v>
      </c>
      <c r="AG82" s="25">
        <f t="shared" si="12"/>
        <v>30.722222222223095</v>
      </c>
      <c r="AH82" s="25">
        <f t="shared" si="12"/>
        <v>32.916666666666607</v>
      </c>
      <c r="AI82" s="26">
        <f t="shared" si="12"/>
        <v>25.016666666666932</v>
      </c>
      <c r="AJ82" s="26">
        <f t="shared" si="12"/>
        <v>28.527777777776926</v>
      </c>
      <c r="AK82" s="26">
        <f t="shared" si="12"/>
        <v>30.722222222223095</v>
      </c>
    </row>
    <row r="83" spans="4:37" ht="20.100000000000001" customHeight="1">
      <c r="D83" s="27">
        <f t="shared" si="14"/>
        <v>0.22222222222222193</v>
      </c>
      <c r="E83" s="16">
        <f t="shared" si="25"/>
        <v>62.222222222223969</v>
      </c>
      <c r="F83" s="16">
        <f t="shared" si="25"/>
        <v>65.777777777778965</v>
      </c>
      <c r="G83" s="16">
        <f t="shared" si="25"/>
        <v>67.999999999999943</v>
      </c>
      <c r="H83" s="17">
        <f t="shared" si="25"/>
        <v>57.777777777776073</v>
      </c>
      <c r="I83" s="17">
        <f t="shared" si="25"/>
        <v>61.333333333331595</v>
      </c>
      <c r="J83" s="17">
        <f t="shared" si="25"/>
        <v>63.555555555554669</v>
      </c>
      <c r="K83" s="18">
        <f t="shared" si="25"/>
        <v>53.333333333334508</v>
      </c>
      <c r="L83" s="18">
        <f t="shared" si="25"/>
        <v>56.888888888889596</v>
      </c>
      <c r="M83" s="18">
        <f t="shared" si="25"/>
        <v>59.111111111112301</v>
      </c>
      <c r="N83" s="19">
        <f t="shared" si="25"/>
        <v>40.888888888888516</v>
      </c>
      <c r="O83" s="19">
        <f t="shared" si="25"/>
        <v>44.444444444445836</v>
      </c>
      <c r="P83" s="19">
        <f t="shared" si="25"/>
        <v>46.66666666666579</v>
      </c>
      <c r="Q83" s="20">
        <f t="shared" si="25"/>
        <v>38.666666666667751</v>
      </c>
      <c r="R83" s="20">
        <f t="shared" si="25"/>
        <v>42.222222222223692</v>
      </c>
      <c r="S83" s="20">
        <f t="shared" si="25"/>
        <v>44.444444444445836</v>
      </c>
      <c r="T83" s="21">
        <f t="shared" si="25"/>
        <v>36.444444444445956</v>
      </c>
      <c r="U83" s="21">
        <f t="shared" si="16"/>
        <v>40</v>
      </c>
      <c r="V83" s="21">
        <f t="shared" si="17"/>
        <v>42.222222222223692</v>
      </c>
      <c r="W83" s="22">
        <f t="shared" si="18"/>
        <v>34.222222222222399</v>
      </c>
      <c r="X83" s="22">
        <f t="shared" si="19"/>
        <v>37.777777777776407</v>
      </c>
      <c r="Y83" s="22">
        <f t="shared" si="20"/>
        <v>40</v>
      </c>
      <c r="Z83" s="23">
        <f t="shared" si="21"/>
        <v>31.999999999998984</v>
      </c>
      <c r="AA83" s="23">
        <f t="shared" si="22"/>
        <v>35.555555555554989</v>
      </c>
      <c r="AB83" s="23">
        <f t="shared" si="23"/>
        <v>37.777777777776407</v>
      </c>
      <c r="AC83" s="24">
        <f t="shared" si="12"/>
        <v>29.777777777778148</v>
      </c>
      <c r="AD83" s="24">
        <f t="shared" si="12"/>
        <v>33.333333333333272</v>
      </c>
      <c r="AE83" s="24">
        <f t="shared" si="12"/>
        <v>35.555555555554989</v>
      </c>
      <c r="AF83" s="25">
        <f t="shared" si="12"/>
        <v>27.555555555555113</v>
      </c>
      <c r="AG83" s="25">
        <f t="shared" si="12"/>
        <v>31.111111111111985</v>
      </c>
      <c r="AH83" s="25">
        <f t="shared" si="12"/>
        <v>33.333333333333272</v>
      </c>
      <c r="AI83" s="26">
        <f t="shared" si="12"/>
        <v>25.333333333333599</v>
      </c>
      <c r="AJ83" s="26">
        <f t="shared" si="12"/>
        <v>28.888888888888037</v>
      </c>
      <c r="AK83" s="26">
        <f t="shared" si="12"/>
        <v>31.111111111111985</v>
      </c>
    </row>
    <row r="84" spans="4:37" ht="20.100000000000001" customHeight="1">
      <c r="D84" s="27">
        <f t="shared" si="14"/>
        <v>0.2249999999999997</v>
      </c>
      <c r="E84" s="16">
        <f t="shared" si="25"/>
        <v>63.000000000001748</v>
      </c>
      <c r="F84" s="16">
        <f t="shared" si="25"/>
        <v>66.600000000001188</v>
      </c>
      <c r="G84" s="16">
        <f t="shared" si="25"/>
        <v>68.849999999999937</v>
      </c>
      <c r="H84" s="17">
        <f t="shared" si="25"/>
        <v>58.499999999998295</v>
      </c>
      <c r="I84" s="17">
        <f t="shared" si="25"/>
        <v>62.099999999998261</v>
      </c>
      <c r="J84" s="17">
        <f t="shared" si="25"/>
        <v>64.349999999999113</v>
      </c>
      <c r="K84" s="18">
        <f t="shared" si="25"/>
        <v>54.000000000001172</v>
      </c>
      <c r="L84" s="18">
        <f t="shared" si="25"/>
        <v>57.600000000000705</v>
      </c>
      <c r="M84" s="18">
        <f t="shared" si="25"/>
        <v>59.850000000001188</v>
      </c>
      <c r="N84" s="19">
        <f t="shared" si="25"/>
        <v>41.399999999999629</v>
      </c>
      <c r="O84" s="19">
        <f t="shared" si="25"/>
        <v>45.000000000001393</v>
      </c>
      <c r="P84" s="19">
        <f t="shared" si="25"/>
        <v>47.249999999999126</v>
      </c>
      <c r="Q84" s="20">
        <f t="shared" si="25"/>
        <v>39.150000000001086</v>
      </c>
      <c r="R84" s="20">
        <f t="shared" si="25"/>
        <v>42.750000000001471</v>
      </c>
      <c r="S84" s="20">
        <f t="shared" si="25"/>
        <v>45.000000000001393</v>
      </c>
      <c r="T84" s="21">
        <f t="shared" si="25"/>
        <v>36.900000000001512</v>
      </c>
      <c r="U84" s="21">
        <f t="shared" si="16"/>
        <v>40.5</v>
      </c>
      <c r="V84" s="21">
        <f t="shared" si="17"/>
        <v>42.750000000001471</v>
      </c>
      <c r="W84" s="22">
        <f t="shared" si="18"/>
        <v>34.650000000000176</v>
      </c>
      <c r="X84" s="22">
        <f t="shared" si="19"/>
        <v>38.249999999998629</v>
      </c>
      <c r="Y84" s="22">
        <f t="shared" si="20"/>
        <v>40.5</v>
      </c>
      <c r="Z84" s="23">
        <f t="shared" si="21"/>
        <v>32.399999999998983</v>
      </c>
      <c r="AA84" s="23">
        <f t="shared" si="22"/>
        <v>35.999999999999432</v>
      </c>
      <c r="AB84" s="23">
        <f t="shared" si="23"/>
        <v>38.249999999998629</v>
      </c>
      <c r="AC84" s="24">
        <f t="shared" si="12"/>
        <v>30.150000000000372</v>
      </c>
      <c r="AD84" s="24">
        <f t="shared" si="12"/>
        <v>33.749999999999936</v>
      </c>
      <c r="AE84" s="24">
        <f t="shared" si="12"/>
        <v>35.999999999999432</v>
      </c>
      <c r="AF84" s="25">
        <f t="shared" si="12"/>
        <v>27.899999999999558</v>
      </c>
      <c r="AG84" s="25">
        <f t="shared" si="12"/>
        <v>31.500000000000874</v>
      </c>
      <c r="AH84" s="25">
        <f t="shared" si="12"/>
        <v>33.749999999999936</v>
      </c>
      <c r="AI84" s="26">
        <f t="shared" si="12"/>
        <v>25.650000000000265</v>
      </c>
      <c r="AJ84" s="26">
        <f t="shared" si="12"/>
        <v>29.249999999999147</v>
      </c>
      <c r="AK84" s="26">
        <f t="shared" si="12"/>
        <v>31.500000000000874</v>
      </c>
    </row>
    <row r="85" spans="4:37" ht="20.100000000000001" customHeight="1">
      <c r="D85" s="27">
        <f t="shared" si="14"/>
        <v>0.22777777777777747</v>
      </c>
      <c r="E85" s="16">
        <f t="shared" si="25"/>
        <v>63.777777777779527</v>
      </c>
      <c r="F85" s="16">
        <f t="shared" si="25"/>
        <v>67.422222222223411</v>
      </c>
      <c r="G85" s="16">
        <f t="shared" si="25"/>
        <v>69.699999999999932</v>
      </c>
      <c r="H85" s="17">
        <f t="shared" si="25"/>
        <v>59.222222222220516</v>
      </c>
      <c r="I85" s="17">
        <f t="shared" si="25"/>
        <v>62.866666666664926</v>
      </c>
      <c r="J85" s="17">
        <f t="shared" si="25"/>
        <v>65.144444444443565</v>
      </c>
      <c r="K85" s="18">
        <f t="shared" si="25"/>
        <v>54.666666666667837</v>
      </c>
      <c r="L85" s="18">
        <f t="shared" si="25"/>
        <v>58.311111111111813</v>
      </c>
      <c r="M85" s="18">
        <f t="shared" si="25"/>
        <v>60.588888888890075</v>
      </c>
      <c r="N85" s="19">
        <f t="shared" si="25"/>
        <v>41.911111111110742</v>
      </c>
      <c r="O85" s="19">
        <f t="shared" si="25"/>
        <v>45.55555555555695</v>
      </c>
      <c r="P85" s="19">
        <f t="shared" si="25"/>
        <v>47.833333333332462</v>
      </c>
      <c r="Q85" s="20">
        <f t="shared" si="25"/>
        <v>39.63333333333442</v>
      </c>
      <c r="R85" s="20">
        <f t="shared" si="25"/>
        <v>43.277777777779249</v>
      </c>
      <c r="S85" s="20">
        <f t="shared" si="25"/>
        <v>45.55555555555695</v>
      </c>
      <c r="T85" s="21">
        <f t="shared" si="25"/>
        <v>37.355555555557068</v>
      </c>
      <c r="U85" s="21">
        <f t="shared" si="16"/>
        <v>41</v>
      </c>
      <c r="V85" s="21">
        <f t="shared" si="17"/>
        <v>43.277777777779249</v>
      </c>
      <c r="W85" s="22">
        <f t="shared" si="18"/>
        <v>35.077777777777953</v>
      </c>
      <c r="X85" s="22">
        <f t="shared" si="19"/>
        <v>38.72222222222085</v>
      </c>
      <c r="Y85" s="22">
        <f t="shared" si="20"/>
        <v>41</v>
      </c>
      <c r="Z85" s="23">
        <f t="shared" si="21"/>
        <v>32.799999999998981</v>
      </c>
      <c r="AA85" s="23">
        <f t="shared" si="22"/>
        <v>36.444444444443874</v>
      </c>
      <c r="AB85" s="23">
        <f t="shared" si="23"/>
        <v>38.72222222222085</v>
      </c>
      <c r="AC85" s="24">
        <f t="shared" si="12"/>
        <v>30.522222222222595</v>
      </c>
      <c r="AD85" s="24">
        <f t="shared" si="12"/>
        <v>34.1666666666666</v>
      </c>
      <c r="AE85" s="24">
        <f t="shared" si="12"/>
        <v>36.444444444443874</v>
      </c>
      <c r="AF85" s="25">
        <f t="shared" ref="AF85:AK85" si="26">AF86-(AF$363/360)</f>
        <v>28.244444444444003</v>
      </c>
      <c r="AG85" s="25">
        <f t="shared" si="26"/>
        <v>31.888888888889763</v>
      </c>
      <c r="AH85" s="25">
        <f t="shared" si="26"/>
        <v>34.1666666666666</v>
      </c>
      <c r="AI85" s="26">
        <f t="shared" si="26"/>
        <v>25.966666666666931</v>
      </c>
      <c r="AJ85" s="26">
        <f t="shared" si="26"/>
        <v>29.611111111110258</v>
      </c>
      <c r="AK85" s="26">
        <f t="shared" si="26"/>
        <v>31.888888888889763</v>
      </c>
    </row>
    <row r="86" spans="4:37" ht="20.100000000000001" customHeight="1">
      <c r="D86" s="27">
        <f t="shared" si="14"/>
        <v>0.23055555555555524</v>
      </c>
      <c r="E86" s="16">
        <f t="shared" si="25"/>
        <v>64.555555555557305</v>
      </c>
      <c r="F86" s="16">
        <f t="shared" si="25"/>
        <v>68.244444444445634</v>
      </c>
      <c r="G86" s="16">
        <f t="shared" si="25"/>
        <v>70.549999999999926</v>
      </c>
      <c r="H86" s="17">
        <f t="shared" si="25"/>
        <v>59.944444444442738</v>
      </c>
      <c r="I86" s="17">
        <f t="shared" si="25"/>
        <v>63.633333333331592</v>
      </c>
      <c r="J86" s="17">
        <f t="shared" si="25"/>
        <v>65.938888888888016</v>
      </c>
      <c r="K86" s="18">
        <f t="shared" si="25"/>
        <v>55.333333333334501</v>
      </c>
      <c r="L86" s="18">
        <f t="shared" si="25"/>
        <v>59.022222222222922</v>
      </c>
      <c r="M86" s="18">
        <f t="shared" si="25"/>
        <v>61.327777777778962</v>
      </c>
      <c r="N86" s="19">
        <f t="shared" si="25"/>
        <v>42.422222222221855</v>
      </c>
      <c r="O86" s="19">
        <f t="shared" si="25"/>
        <v>46.111111111112507</v>
      </c>
      <c r="P86" s="19">
        <f t="shared" si="25"/>
        <v>48.416666666665797</v>
      </c>
      <c r="Q86" s="20">
        <f t="shared" si="25"/>
        <v>40.116666666667754</v>
      </c>
      <c r="R86" s="20">
        <f t="shared" si="25"/>
        <v>43.805555555557028</v>
      </c>
      <c r="S86" s="20">
        <f t="shared" si="25"/>
        <v>46.111111111112507</v>
      </c>
      <c r="T86" s="21">
        <f t="shared" si="25"/>
        <v>37.811111111112623</v>
      </c>
      <c r="U86" s="21">
        <f t="shared" si="16"/>
        <v>41.5</v>
      </c>
      <c r="V86" s="21">
        <f t="shared" si="17"/>
        <v>43.805555555557028</v>
      </c>
      <c r="W86" s="22">
        <f t="shared" si="18"/>
        <v>35.505555555555731</v>
      </c>
      <c r="X86" s="22">
        <f t="shared" si="19"/>
        <v>39.194444444443072</v>
      </c>
      <c r="Y86" s="22">
        <f t="shared" si="20"/>
        <v>41.5</v>
      </c>
      <c r="Z86" s="23">
        <f t="shared" si="21"/>
        <v>33.19999999999898</v>
      </c>
      <c r="AA86" s="23">
        <f t="shared" si="22"/>
        <v>36.888888888888317</v>
      </c>
      <c r="AB86" s="23">
        <f t="shared" si="23"/>
        <v>39.194444444443072</v>
      </c>
      <c r="AC86" s="24">
        <f t="shared" ref="AC86:AK117" si="27">AC87-(AC$363/360)</f>
        <v>30.894444444444819</v>
      </c>
      <c r="AD86" s="24">
        <f t="shared" si="27"/>
        <v>34.583333333333265</v>
      </c>
      <c r="AE86" s="24">
        <f t="shared" si="27"/>
        <v>36.888888888888317</v>
      </c>
      <c r="AF86" s="25">
        <f t="shared" si="27"/>
        <v>28.588888888888448</v>
      </c>
      <c r="AG86" s="25">
        <f t="shared" si="27"/>
        <v>32.277777777778653</v>
      </c>
      <c r="AH86" s="25">
        <f t="shared" si="27"/>
        <v>34.583333333333265</v>
      </c>
      <c r="AI86" s="26">
        <f t="shared" si="27"/>
        <v>26.283333333333598</v>
      </c>
      <c r="AJ86" s="26">
        <f t="shared" si="27"/>
        <v>29.972222222221369</v>
      </c>
      <c r="AK86" s="26">
        <f t="shared" si="27"/>
        <v>32.277777777778653</v>
      </c>
    </row>
    <row r="87" spans="4:37" ht="20.100000000000001" customHeight="1">
      <c r="D87" s="27">
        <f t="shared" si="14"/>
        <v>0.233333333333333</v>
      </c>
      <c r="E87" s="16">
        <f t="shared" si="25"/>
        <v>65.333333333335077</v>
      </c>
      <c r="F87" s="16">
        <f t="shared" si="25"/>
        <v>69.066666666667857</v>
      </c>
      <c r="G87" s="16">
        <f t="shared" si="25"/>
        <v>71.39999999999992</v>
      </c>
      <c r="H87" s="17">
        <f t="shared" si="25"/>
        <v>60.666666666664959</v>
      </c>
      <c r="I87" s="17">
        <f t="shared" si="25"/>
        <v>64.399999999998258</v>
      </c>
      <c r="J87" s="17">
        <f t="shared" si="25"/>
        <v>66.733333333332467</v>
      </c>
      <c r="K87" s="18">
        <f t="shared" si="25"/>
        <v>56.000000000001165</v>
      </c>
      <c r="L87" s="18">
        <f t="shared" si="25"/>
        <v>59.733333333334031</v>
      </c>
      <c r="M87" s="18">
        <f t="shared" si="25"/>
        <v>62.066666666667849</v>
      </c>
      <c r="N87" s="19">
        <f t="shared" si="25"/>
        <v>42.933333333332968</v>
      </c>
      <c r="O87" s="19">
        <f t="shared" si="25"/>
        <v>46.666666666668064</v>
      </c>
      <c r="P87" s="19">
        <f t="shared" si="25"/>
        <v>48.999999999999133</v>
      </c>
      <c r="Q87" s="20">
        <f t="shared" si="25"/>
        <v>40.600000000001089</v>
      </c>
      <c r="R87" s="20">
        <f t="shared" si="25"/>
        <v>44.333333333334807</v>
      </c>
      <c r="S87" s="20">
        <f t="shared" si="25"/>
        <v>46.666666666668064</v>
      </c>
      <c r="T87" s="21">
        <f t="shared" si="25"/>
        <v>38.266666666668179</v>
      </c>
      <c r="U87" s="21">
        <f t="shared" si="16"/>
        <v>42</v>
      </c>
      <c r="V87" s="21">
        <f t="shared" si="17"/>
        <v>44.333333333334807</v>
      </c>
      <c r="W87" s="22">
        <f t="shared" si="18"/>
        <v>35.933333333333508</v>
      </c>
      <c r="X87" s="22">
        <f t="shared" si="19"/>
        <v>39.666666666665293</v>
      </c>
      <c r="Y87" s="22">
        <f t="shared" si="20"/>
        <v>42</v>
      </c>
      <c r="Z87" s="23">
        <f t="shared" si="21"/>
        <v>33.599999999998978</v>
      </c>
      <c r="AA87" s="23">
        <f t="shared" si="22"/>
        <v>37.33333333333276</v>
      </c>
      <c r="AB87" s="23">
        <f t="shared" si="23"/>
        <v>39.666666666665293</v>
      </c>
      <c r="AC87" s="24">
        <f t="shared" si="27"/>
        <v>31.266666666667042</v>
      </c>
      <c r="AD87" s="24">
        <f t="shared" si="27"/>
        <v>34.999999999999929</v>
      </c>
      <c r="AE87" s="24">
        <f t="shared" si="27"/>
        <v>37.33333333333276</v>
      </c>
      <c r="AF87" s="25">
        <f t="shared" si="27"/>
        <v>28.933333333332893</v>
      </c>
      <c r="AG87" s="25">
        <f t="shared" si="27"/>
        <v>32.666666666667538</v>
      </c>
      <c r="AH87" s="25">
        <f t="shared" si="27"/>
        <v>34.999999999999929</v>
      </c>
      <c r="AI87" s="26">
        <f t="shared" si="27"/>
        <v>26.600000000000264</v>
      </c>
      <c r="AJ87" s="26">
        <f t="shared" si="27"/>
        <v>30.333333333332479</v>
      </c>
      <c r="AK87" s="26">
        <f t="shared" si="27"/>
        <v>32.666666666667538</v>
      </c>
    </row>
    <row r="88" spans="4:37" ht="20.100000000000001" customHeight="1">
      <c r="D88" s="27">
        <f t="shared" si="14"/>
        <v>0.23611111111111077</v>
      </c>
      <c r="E88" s="16">
        <f t="shared" si="25"/>
        <v>66.111111111112848</v>
      </c>
      <c r="F88" s="16">
        <f t="shared" si="25"/>
        <v>69.888888888890079</v>
      </c>
      <c r="G88" s="16">
        <f t="shared" si="25"/>
        <v>72.249999999999915</v>
      </c>
      <c r="H88" s="17">
        <f t="shared" si="25"/>
        <v>61.38888888888718</v>
      </c>
      <c r="I88" s="17">
        <f t="shared" si="25"/>
        <v>65.166666666664923</v>
      </c>
      <c r="J88" s="17">
        <f t="shared" si="25"/>
        <v>67.527777777776919</v>
      </c>
      <c r="K88" s="18">
        <f t="shared" si="25"/>
        <v>56.66666666666783</v>
      </c>
      <c r="L88" s="18">
        <f t="shared" si="25"/>
        <v>60.444444444445139</v>
      </c>
      <c r="M88" s="18">
        <f t="shared" si="25"/>
        <v>62.805555555556737</v>
      </c>
      <c r="N88" s="19">
        <f t="shared" si="25"/>
        <v>43.44444444444408</v>
      </c>
      <c r="O88" s="19">
        <f t="shared" si="25"/>
        <v>47.222222222223621</v>
      </c>
      <c r="P88" s="19">
        <f t="shared" si="25"/>
        <v>49.583333333332469</v>
      </c>
      <c r="Q88" s="20">
        <f t="shared" si="25"/>
        <v>41.083333333334423</v>
      </c>
      <c r="R88" s="20">
        <f t="shared" si="25"/>
        <v>44.861111111112585</v>
      </c>
      <c r="S88" s="20">
        <f t="shared" si="25"/>
        <v>47.222222222223621</v>
      </c>
      <c r="T88" s="21">
        <f t="shared" si="25"/>
        <v>38.722222222223735</v>
      </c>
      <c r="U88" s="21">
        <f t="shared" si="16"/>
        <v>42.5</v>
      </c>
      <c r="V88" s="21">
        <f t="shared" si="17"/>
        <v>44.861111111112585</v>
      </c>
      <c r="W88" s="22">
        <f t="shared" si="18"/>
        <v>36.361111111111285</v>
      </c>
      <c r="X88" s="22">
        <f t="shared" si="19"/>
        <v>40.138888888887514</v>
      </c>
      <c r="Y88" s="22">
        <f t="shared" si="20"/>
        <v>42.5</v>
      </c>
      <c r="Z88" s="23">
        <f t="shared" si="21"/>
        <v>33.999999999998977</v>
      </c>
      <c r="AA88" s="23">
        <f t="shared" si="22"/>
        <v>37.777777777777203</v>
      </c>
      <c r="AB88" s="23">
        <f t="shared" si="23"/>
        <v>40.138888888887514</v>
      </c>
      <c r="AC88" s="24">
        <f t="shared" si="27"/>
        <v>31.638888888889266</v>
      </c>
      <c r="AD88" s="24">
        <f t="shared" si="27"/>
        <v>35.416666666666593</v>
      </c>
      <c r="AE88" s="24">
        <f t="shared" si="27"/>
        <v>37.777777777777203</v>
      </c>
      <c r="AF88" s="25">
        <f t="shared" si="27"/>
        <v>29.277777777777338</v>
      </c>
      <c r="AG88" s="25">
        <f t="shared" si="27"/>
        <v>33.055555555556424</v>
      </c>
      <c r="AH88" s="25">
        <f t="shared" si="27"/>
        <v>35.416666666666593</v>
      </c>
      <c r="AI88" s="26">
        <f t="shared" si="27"/>
        <v>26.916666666666931</v>
      </c>
      <c r="AJ88" s="26">
        <f t="shared" si="27"/>
        <v>30.69444444444359</v>
      </c>
      <c r="AK88" s="26">
        <f t="shared" si="27"/>
        <v>33.055555555556424</v>
      </c>
    </row>
    <row r="89" spans="4:37" ht="20.100000000000001" customHeight="1">
      <c r="D89" s="27">
        <f t="shared" si="14"/>
        <v>0.23888888888888854</v>
      </c>
      <c r="E89" s="16">
        <f t="shared" si="25"/>
        <v>66.888888888890619</v>
      </c>
      <c r="F89" s="16">
        <f t="shared" si="25"/>
        <v>70.711111111112302</v>
      </c>
      <c r="G89" s="16">
        <f t="shared" si="25"/>
        <v>73.099999999999909</v>
      </c>
      <c r="H89" s="17">
        <f t="shared" si="25"/>
        <v>62.111111111109402</v>
      </c>
      <c r="I89" s="17">
        <f t="shared" si="25"/>
        <v>65.933333333331589</v>
      </c>
      <c r="J89" s="17">
        <f t="shared" si="25"/>
        <v>68.32222222222137</v>
      </c>
      <c r="K89" s="18">
        <f t="shared" si="25"/>
        <v>57.333333333334494</v>
      </c>
      <c r="L89" s="18">
        <f t="shared" si="25"/>
        <v>61.155555555556248</v>
      </c>
      <c r="M89" s="18">
        <f t="shared" si="25"/>
        <v>63.544444444445624</v>
      </c>
      <c r="N89" s="19">
        <f t="shared" si="25"/>
        <v>43.955555555555193</v>
      </c>
      <c r="O89" s="19">
        <f t="shared" si="25"/>
        <v>47.777777777779178</v>
      </c>
      <c r="P89" s="19">
        <f t="shared" si="25"/>
        <v>50.166666666665805</v>
      </c>
      <c r="Q89" s="20">
        <f t="shared" si="25"/>
        <v>41.566666666667757</v>
      </c>
      <c r="R89" s="20">
        <f t="shared" si="25"/>
        <v>45.388888888890364</v>
      </c>
      <c r="S89" s="20">
        <f t="shared" si="25"/>
        <v>47.777777777779178</v>
      </c>
      <c r="T89" s="21">
        <f t="shared" si="25"/>
        <v>39.177777777779291</v>
      </c>
      <c r="U89" s="21">
        <f t="shared" si="16"/>
        <v>43</v>
      </c>
      <c r="V89" s="21">
        <f t="shared" si="17"/>
        <v>45.388888888890364</v>
      </c>
      <c r="W89" s="22">
        <f t="shared" si="18"/>
        <v>36.788888888889062</v>
      </c>
      <c r="X89" s="22">
        <f t="shared" si="19"/>
        <v>40.611111111109736</v>
      </c>
      <c r="Y89" s="22">
        <f t="shared" si="20"/>
        <v>43</v>
      </c>
      <c r="Z89" s="23">
        <f t="shared" si="21"/>
        <v>34.399999999998975</v>
      </c>
      <c r="AA89" s="23">
        <f t="shared" si="22"/>
        <v>38.222222222221646</v>
      </c>
      <c r="AB89" s="23">
        <f t="shared" si="23"/>
        <v>40.611111111109736</v>
      </c>
      <c r="AC89" s="24">
        <f t="shared" si="27"/>
        <v>32.011111111111489</v>
      </c>
      <c r="AD89" s="24">
        <f t="shared" si="27"/>
        <v>35.833333333333258</v>
      </c>
      <c r="AE89" s="24">
        <f t="shared" si="27"/>
        <v>38.222222222221646</v>
      </c>
      <c r="AF89" s="25">
        <f t="shared" si="27"/>
        <v>29.622222222221783</v>
      </c>
      <c r="AG89" s="25">
        <f t="shared" si="27"/>
        <v>33.44444444444531</v>
      </c>
      <c r="AH89" s="25">
        <f t="shared" si="27"/>
        <v>35.833333333333258</v>
      </c>
      <c r="AI89" s="26">
        <f t="shared" si="27"/>
        <v>27.233333333333597</v>
      </c>
      <c r="AJ89" s="26">
        <f t="shared" si="27"/>
        <v>31.055555555554701</v>
      </c>
      <c r="AK89" s="26">
        <f t="shared" si="27"/>
        <v>33.44444444444531</v>
      </c>
    </row>
    <row r="90" spans="4:37" ht="20.100000000000001" customHeight="1">
      <c r="D90" s="27">
        <f t="shared" si="14"/>
        <v>0.24166666666666631</v>
      </c>
      <c r="E90" s="16">
        <f t="shared" si="25"/>
        <v>67.666666666668391</v>
      </c>
      <c r="F90" s="16">
        <f t="shared" si="25"/>
        <v>71.533333333334525</v>
      </c>
      <c r="G90" s="16">
        <f t="shared" si="25"/>
        <v>73.949999999999903</v>
      </c>
      <c r="H90" s="17">
        <f t="shared" si="25"/>
        <v>62.833333333331623</v>
      </c>
      <c r="I90" s="17">
        <f t="shared" si="25"/>
        <v>66.699999999998255</v>
      </c>
      <c r="J90" s="17">
        <f t="shared" si="25"/>
        <v>69.116666666665822</v>
      </c>
      <c r="K90" s="18">
        <f t="shared" si="25"/>
        <v>58.000000000001158</v>
      </c>
      <c r="L90" s="18">
        <f t="shared" si="25"/>
        <v>61.866666666667356</v>
      </c>
      <c r="M90" s="18">
        <f t="shared" si="25"/>
        <v>64.283333333334511</v>
      </c>
      <c r="N90" s="19">
        <f t="shared" si="25"/>
        <v>44.466666666666306</v>
      </c>
      <c r="O90" s="19">
        <f t="shared" si="25"/>
        <v>48.333333333334735</v>
      </c>
      <c r="P90" s="19">
        <f t="shared" si="25"/>
        <v>50.74999999999914</v>
      </c>
      <c r="Q90" s="20">
        <f t="shared" si="25"/>
        <v>42.050000000001091</v>
      </c>
      <c r="R90" s="20">
        <f t="shared" si="25"/>
        <v>45.916666666668142</v>
      </c>
      <c r="S90" s="20">
        <f t="shared" si="25"/>
        <v>48.333333333334735</v>
      </c>
      <c r="T90" s="21">
        <f t="shared" si="25"/>
        <v>39.633333333334846</v>
      </c>
      <c r="U90" s="21">
        <f t="shared" si="16"/>
        <v>43.5</v>
      </c>
      <c r="V90" s="21">
        <f t="shared" si="17"/>
        <v>45.916666666668142</v>
      </c>
      <c r="W90" s="22">
        <f t="shared" si="18"/>
        <v>37.216666666666839</v>
      </c>
      <c r="X90" s="22">
        <f t="shared" si="19"/>
        <v>41.083333333331957</v>
      </c>
      <c r="Y90" s="22">
        <f t="shared" si="20"/>
        <v>43.5</v>
      </c>
      <c r="Z90" s="23">
        <f t="shared" si="21"/>
        <v>34.799999999998974</v>
      </c>
      <c r="AA90" s="23">
        <f t="shared" si="22"/>
        <v>38.666666666666089</v>
      </c>
      <c r="AB90" s="23">
        <f t="shared" si="23"/>
        <v>41.083333333331957</v>
      </c>
      <c r="AC90" s="24">
        <f t="shared" si="27"/>
        <v>32.383333333333709</v>
      </c>
      <c r="AD90" s="24">
        <f t="shared" si="27"/>
        <v>36.249999999999922</v>
      </c>
      <c r="AE90" s="24">
        <f t="shared" si="27"/>
        <v>38.666666666666089</v>
      </c>
      <c r="AF90" s="25">
        <f t="shared" si="27"/>
        <v>29.966666666666228</v>
      </c>
      <c r="AG90" s="25">
        <f t="shared" si="27"/>
        <v>33.833333333334195</v>
      </c>
      <c r="AH90" s="25">
        <f t="shared" si="27"/>
        <v>36.249999999999922</v>
      </c>
      <c r="AI90" s="26">
        <f t="shared" si="27"/>
        <v>27.550000000000264</v>
      </c>
      <c r="AJ90" s="26">
        <f t="shared" si="27"/>
        <v>31.416666666665812</v>
      </c>
      <c r="AK90" s="26">
        <f t="shared" si="27"/>
        <v>33.833333333334195</v>
      </c>
    </row>
    <row r="91" spans="4:37" ht="20.100000000000001" customHeight="1">
      <c r="D91" s="27">
        <f t="shared" si="14"/>
        <v>0.24444444444444408</v>
      </c>
      <c r="E91" s="16">
        <f t="shared" si="25"/>
        <v>68.444444444446162</v>
      </c>
      <c r="F91" s="16">
        <f t="shared" si="25"/>
        <v>72.355555555556748</v>
      </c>
      <c r="G91" s="16">
        <f t="shared" si="25"/>
        <v>74.799999999999898</v>
      </c>
      <c r="H91" s="17">
        <f t="shared" si="25"/>
        <v>63.555555555553845</v>
      </c>
      <c r="I91" s="17">
        <f t="shared" si="25"/>
        <v>67.466666666664921</v>
      </c>
      <c r="J91" s="17">
        <f t="shared" si="25"/>
        <v>69.911111111110273</v>
      </c>
      <c r="K91" s="18">
        <f t="shared" si="25"/>
        <v>58.666666666667822</v>
      </c>
      <c r="L91" s="18">
        <f t="shared" si="25"/>
        <v>62.577777777778465</v>
      </c>
      <c r="M91" s="18">
        <f t="shared" si="25"/>
        <v>65.022222222223405</v>
      </c>
      <c r="N91" s="19">
        <f t="shared" si="25"/>
        <v>44.977777777777419</v>
      </c>
      <c r="O91" s="19">
        <f t="shared" si="25"/>
        <v>48.888888888890293</v>
      </c>
      <c r="P91" s="19">
        <f t="shared" si="25"/>
        <v>51.333333333332476</v>
      </c>
      <c r="Q91" s="20">
        <f t="shared" si="25"/>
        <v>42.533333333334426</v>
      </c>
      <c r="R91" s="20">
        <f t="shared" si="25"/>
        <v>46.444444444445921</v>
      </c>
      <c r="S91" s="20">
        <f t="shared" si="25"/>
        <v>48.888888888890293</v>
      </c>
      <c r="T91" s="21">
        <f t="shared" si="25"/>
        <v>40.088888888890402</v>
      </c>
      <c r="U91" s="21">
        <f t="shared" si="16"/>
        <v>44</v>
      </c>
      <c r="V91" s="21">
        <f t="shared" si="17"/>
        <v>46.444444444445921</v>
      </c>
      <c r="W91" s="22">
        <f t="shared" si="18"/>
        <v>37.644444444444616</v>
      </c>
      <c r="X91" s="22">
        <f t="shared" si="19"/>
        <v>41.555555555554179</v>
      </c>
      <c r="Y91" s="22">
        <f t="shared" si="20"/>
        <v>44</v>
      </c>
      <c r="Z91" s="23">
        <f t="shared" si="21"/>
        <v>35.199999999998973</v>
      </c>
      <c r="AA91" s="23">
        <f t="shared" si="22"/>
        <v>39.111111111110532</v>
      </c>
      <c r="AB91" s="23">
        <f t="shared" si="23"/>
        <v>41.555555555554179</v>
      </c>
      <c r="AC91" s="24">
        <f t="shared" si="27"/>
        <v>32.755555555555929</v>
      </c>
      <c r="AD91" s="24">
        <f t="shared" si="27"/>
        <v>36.666666666666586</v>
      </c>
      <c r="AE91" s="24">
        <f t="shared" si="27"/>
        <v>39.111111111110532</v>
      </c>
      <c r="AF91" s="25">
        <f t="shared" si="27"/>
        <v>30.311111111110673</v>
      </c>
      <c r="AG91" s="25">
        <f t="shared" si="27"/>
        <v>34.222222222223081</v>
      </c>
      <c r="AH91" s="25">
        <f t="shared" si="27"/>
        <v>36.666666666666586</v>
      </c>
      <c r="AI91" s="26">
        <f t="shared" si="27"/>
        <v>27.86666666666693</v>
      </c>
      <c r="AJ91" s="26">
        <f t="shared" si="27"/>
        <v>31.777777777776922</v>
      </c>
      <c r="AK91" s="26">
        <f t="shared" si="27"/>
        <v>34.222222222223081</v>
      </c>
    </row>
    <row r="92" spans="4:37" ht="20.100000000000001" customHeight="1">
      <c r="D92" s="27">
        <f t="shared" si="14"/>
        <v>0.24722222222222184</v>
      </c>
      <c r="E92" s="16">
        <f t="shared" si="25"/>
        <v>69.222222222223934</v>
      </c>
      <c r="F92" s="16">
        <f t="shared" si="25"/>
        <v>73.177777777778971</v>
      </c>
      <c r="G92" s="16">
        <f t="shared" si="25"/>
        <v>75.649999999999892</v>
      </c>
      <c r="H92" s="17">
        <f t="shared" si="25"/>
        <v>64.277777777776066</v>
      </c>
      <c r="I92" s="17">
        <f t="shared" si="25"/>
        <v>68.233333333331586</v>
      </c>
      <c r="J92" s="17">
        <f t="shared" si="25"/>
        <v>70.705555555554724</v>
      </c>
      <c r="K92" s="18">
        <f t="shared" si="25"/>
        <v>59.333333333334487</v>
      </c>
      <c r="L92" s="18">
        <f t="shared" si="25"/>
        <v>63.288888888889574</v>
      </c>
      <c r="M92" s="18">
        <f t="shared" si="25"/>
        <v>65.761111111112299</v>
      </c>
      <c r="N92" s="19">
        <f t="shared" si="25"/>
        <v>45.488888888888532</v>
      </c>
      <c r="O92" s="19">
        <f t="shared" si="25"/>
        <v>49.44444444444585</v>
      </c>
      <c r="P92" s="19">
        <f t="shared" si="25"/>
        <v>51.916666666665812</v>
      </c>
      <c r="Q92" s="20">
        <f t="shared" si="25"/>
        <v>43.01666666666776</v>
      </c>
      <c r="R92" s="20">
        <f t="shared" si="25"/>
        <v>46.972222222223699</v>
      </c>
      <c r="S92" s="20">
        <f t="shared" si="25"/>
        <v>49.44444444444585</v>
      </c>
      <c r="T92" s="21">
        <f t="shared" si="25"/>
        <v>40.544444444445958</v>
      </c>
      <c r="U92" s="21">
        <f t="shared" ref="U92:AJ106" si="28">U93-(U$363/360)</f>
        <v>44.5</v>
      </c>
      <c r="V92" s="21">
        <f t="shared" si="28"/>
        <v>46.972222222223699</v>
      </c>
      <c r="W92" s="22">
        <f t="shared" si="28"/>
        <v>38.072222222222393</v>
      </c>
      <c r="X92" s="22">
        <f t="shared" si="28"/>
        <v>42.0277777777764</v>
      </c>
      <c r="Y92" s="22">
        <f t="shared" si="28"/>
        <v>44.5</v>
      </c>
      <c r="Z92" s="23">
        <f t="shared" si="28"/>
        <v>35.599999999998971</v>
      </c>
      <c r="AA92" s="23">
        <f t="shared" si="28"/>
        <v>39.555555555554974</v>
      </c>
      <c r="AB92" s="23">
        <f t="shared" si="28"/>
        <v>42.0277777777764</v>
      </c>
      <c r="AC92" s="24">
        <f t="shared" si="28"/>
        <v>33.127777777778149</v>
      </c>
      <c r="AD92" s="24">
        <f t="shared" si="28"/>
        <v>37.08333333333325</v>
      </c>
      <c r="AE92" s="24">
        <f t="shared" si="28"/>
        <v>39.555555555554974</v>
      </c>
      <c r="AF92" s="25">
        <f t="shared" si="28"/>
        <v>30.655555555555118</v>
      </c>
      <c r="AG92" s="25">
        <f t="shared" si="28"/>
        <v>34.611111111111967</v>
      </c>
      <c r="AH92" s="25">
        <f t="shared" si="27"/>
        <v>37.08333333333325</v>
      </c>
      <c r="AI92" s="26">
        <f t="shared" si="27"/>
        <v>28.183333333333596</v>
      </c>
      <c r="AJ92" s="26">
        <f t="shared" si="27"/>
        <v>32.138888888888033</v>
      </c>
      <c r="AK92" s="26">
        <f t="shared" si="27"/>
        <v>34.611111111111967</v>
      </c>
    </row>
    <row r="93" spans="4:37" ht="20.100000000000001" customHeight="1">
      <c r="D93" s="27">
        <f t="shared" si="14"/>
        <v>0.24999999999999961</v>
      </c>
      <c r="E93" s="16">
        <f t="shared" si="25"/>
        <v>70.000000000001705</v>
      </c>
      <c r="F93" s="16">
        <f t="shared" si="25"/>
        <v>74.000000000001194</v>
      </c>
      <c r="G93" s="16">
        <f t="shared" si="25"/>
        <v>76.499999999999886</v>
      </c>
      <c r="H93" s="17">
        <f t="shared" si="25"/>
        <v>64.999999999998295</v>
      </c>
      <c r="I93" s="17">
        <f t="shared" si="25"/>
        <v>68.999999999998252</v>
      </c>
      <c r="J93" s="17">
        <f t="shared" si="25"/>
        <v>71.499999999999176</v>
      </c>
      <c r="K93" s="18">
        <f t="shared" si="25"/>
        <v>60.000000000001151</v>
      </c>
      <c r="L93" s="18">
        <f t="shared" si="25"/>
        <v>64.000000000000682</v>
      </c>
      <c r="M93" s="18">
        <f t="shared" si="25"/>
        <v>66.500000000001194</v>
      </c>
      <c r="N93" s="19">
        <f t="shared" si="25"/>
        <v>45.999999999999645</v>
      </c>
      <c r="O93" s="19">
        <f t="shared" si="25"/>
        <v>50.000000000001407</v>
      </c>
      <c r="P93" s="19">
        <f t="shared" si="25"/>
        <v>52.499999999999147</v>
      </c>
      <c r="Q93" s="20">
        <f t="shared" si="25"/>
        <v>43.500000000001094</v>
      </c>
      <c r="R93" s="20">
        <f t="shared" si="25"/>
        <v>47.500000000001478</v>
      </c>
      <c r="S93" s="20">
        <f t="shared" si="25"/>
        <v>50.000000000001407</v>
      </c>
      <c r="T93" s="21">
        <f t="shared" si="25"/>
        <v>41.000000000001513</v>
      </c>
      <c r="U93" s="21">
        <f t="shared" si="28"/>
        <v>45</v>
      </c>
      <c r="V93" s="21">
        <f t="shared" si="28"/>
        <v>47.500000000001478</v>
      </c>
      <c r="W93" s="22">
        <f t="shared" si="28"/>
        <v>38.500000000000171</v>
      </c>
      <c r="X93" s="22">
        <f t="shared" si="28"/>
        <v>42.499999999998622</v>
      </c>
      <c r="Y93" s="22">
        <f t="shared" si="28"/>
        <v>45</v>
      </c>
      <c r="Z93" s="23">
        <f t="shared" si="28"/>
        <v>35.99999999999897</v>
      </c>
      <c r="AA93" s="23">
        <f t="shared" si="28"/>
        <v>39.999999999999417</v>
      </c>
      <c r="AB93" s="23">
        <f t="shared" si="28"/>
        <v>42.499999999998622</v>
      </c>
      <c r="AC93" s="24">
        <f t="shared" si="28"/>
        <v>33.500000000000369</v>
      </c>
      <c r="AD93" s="24">
        <f t="shared" si="28"/>
        <v>37.499999999999915</v>
      </c>
      <c r="AE93" s="24">
        <f t="shared" si="28"/>
        <v>39.999999999999417</v>
      </c>
      <c r="AF93" s="25">
        <f t="shared" si="28"/>
        <v>30.999999999999563</v>
      </c>
      <c r="AG93" s="25">
        <f t="shared" si="28"/>
        <v>35.000000000000853</v>
      </c>
      <c r="AH93" s="25">
        <f t="shared" si="27"/>
        <v>37.499999999999915</v>
      </c>
      <c r="AI93" s="26">
        <f t="shared" si="27"/>
        <v>28.500000000000263</v>
      </c>
      <c r="AJ93" s="26">
        <f t="shared" si="27"/>
        <v>32.499999999999147</v>
      </c>
      <c r="AK93" s="26">
        <f t="shared" si="27"/>
        <v>35.000000000000853</v>
      </c>
    </row>
    <row r="94" spans="4:37" ht="20.100000000000001" customHeight="1">
      <c r="D94" s="27">
        <f t="shared" si="14"/>
        <v>0.25277777777777738</v>
      </c>
      <c r="E94" s="16">
        <f t="shared" si="25"/>
        <v>70.777777777779477</v>
      </c>
      <c r="F94" s="16">
        <f t="shared" si="25"/>
        <v>74.822222222223417</v>
      </c>
      <c r="G94" s="16">
        <f t="shared" si="25"/>
        <v>77.349999999999881</v>
      </c>
      <c r="H94" s="17">
        <f t="shared" si="25"/>
        <v>65.722222222220523</v>
      </c>
      <c r="I94" s="17">
        <f t="shared" si="25"/>
        <v>69.766666666664918</v>
      </c>
      <c r="J94" s="17">
        <f t="shared" si="25"/>
        <v>72.294444444443627</v>
      </c>
      <c r="K94" s="18">
        <f t="shared" si="25"/>
        <v>60.666666666667815</v>
      </c>
      <c r="L94" s="18">
        <f t="shared" si="25"/>
        <v>64.711111111111791</v>
      </c>
      <c r="M94" s="18">
        <f t="shared" si="25"/>
        <v>67.238888888890088</v>
      </c>
      <c r="N94" s="19">
        <f t="shared" si="25"/>
        <v>46.511111111110758</v>
      </c>
      <c r="O94" s="19">
        <f t="shared" si="25"/>
        <v>50.555555555556964</v>
      </c>
      <c r="P94" s="19">
        <f t="shared" si="25"/>
        <v>53.083333333332483</v>
      </c>
      <c r="Q94" s="20">
        <f t="shared" si="25"/>
        <v>43.983333333334429</v>
      </c>
      <c r="R94" s="20">
        <f t="shared" si="25"/>
        <v>48.027777777779256</v>
      </c>
      <c r="S94" s="20">
        <f t="shared" si="25"/>
        <v>50.555555555556964</v>
      </c>
      <c r="T94" s="21">
        <f t="shared" si="25"/>
        <v>41.455555555557069</v>
      </c>
      <c r="U94" s="21">
        <f t="shared" si="28"/>
        <v>45.5</v>
      </c>
      <c r="V94" s="21">
        <f t="shared" si="28"/>
        <v>48.027777777779256</v>
      </c>
      <c r="W94" s="22">
        <f t="shared" si="28"/>
        <v>38.927777777777948</v>
      </c>
      <c r="X94" s="22">
        <f t="shared" si="28"/>
        <v>42.972222222220843</v>
      </c>
      <c r="Y94" s="22">
        <f t="shared" si="28"/>
        <v>45.5</v>
      </c>
      <c r="Z94" s="23">
        <f t="shared" si="28"/>
        <v>36.399999999998968</v>
      </c>
      <c r="AA94" s="23">
        <f t="shared" si="28"/>
        <v>40.44444444444386</v>
      </c>
      <c r="AB94" s="23">
        <f t="shared" si="28"/>
        <v>42.972222222220843</v>
      </c>
      <c r="AC94" s="24">
        <f t="shared" si="28"/>
        <v>33.872222222222589</v>
      </c>
      <c r="AD94" s="24">
        <f t="shared" si="28"/>
        <v>37.916666666666579</v>
      </c>
      <c r="AE94" s="24">
        <f t="shared" si="28"/>
        <v>40.44444444444386</v>
      </c>
      <c r="AF94" s="25">
        <f t="shared" si="28"/>
        <v>31.344444444444008</v>
      </c>
      <c r="AG94" s="25">
        <f t="shared" si="28"/>
        <v>35.388888888889738</v>
      </c>
      <c r="AH94" s="25">
        <f t="shared" si="27"/>
        <v>37.916666666666579</v>
      </c>
      <c r="AI94" s="26">
        <f t="shared" si="27"/>
        <v>28.816666666666929</v>
      </c>
      <c r="AJ94" s="26">
        <f t="shared" si="27"/>
        <v>32.861111111110262</v>
      </c>
      <c r="AK94" s="26">
        <f t="shared" si="27"/>
        <v>35.388888888889738</v>
      </c>
    </row>
    <row r="95" spans="4:37" ht="20.100000000000001" customHeight="1">
      <c r="D95" s="27">
        <f t="shared" si="14"/>
        <v>0.25555555555555515</v>
      </c>
      <c r="E95" s="16">
        <f t="shared" si="25"/>
        <v>71.555555555557248</v>
      </c>
      <c r="F95" s="16">
        <f t="shared" si="25"/>
        <v>75.644444444445639</v>
      </c>
      <c r="G95" s="16">
        <f t="shared" si="25"/>
        <v>78.199999999999875</v>
      </c>
      <c r="H95" s="17">
        <f t="shared" si="25"/>
        <v>66.444444444442752</v>
      </c>
      <c r="I95" s="17">
        <f t="shared" si="25"/>
        <v>70.533333333331584</v>
      </c>
      <c r="J95" s="17">
        <f t="shared" si="25"/>
        <v>73.088888888888079</v>
      </c>
      <c r="K95" s="18">
        <f t="shared" si="25"/>
        <v>61.33333333333448</v>
      </c>
      <c r="L95" s="18">
        <f t="shared" si="25"/>
        <v>65.422222222222899</v>
      </c>
      <c r="M95" s="18">
        <f t="shared" si="25"/>
        <v>67.977777777778982</v>
      </c>
      <c r="N95" s="19">
        <f t="shared" si="25"/>
        <v>47.02222222222187</v>
      </c>
      <c r="O95" s="19">
        <f t="shared" si="25"/>
        <v>51.111111111112521</v>
      </c>
      <c r="P95" s="19">
        <f t="shared" si="25"/>
        <v>53.666666666665819</v>
      </c>
      <c r="Q95" s="20">
        <f t="shared" si="25"/>
        <v>44.466666666667763</v>
      </c>
      <c r="R95" s="20">
        <f t="shared" si="25"/>
        <v>48.555555555557035</v>
      </c>
      <c r="S95" s="20">
        <f t="shared" si="25"/>
        <v>51.111111111112521</v>
      </c>
      <c r="T95" s="21">
        <f t="shared" si="25"/>
        <v>41.911111111112625</v>
      </c>
      <c r="U95" s="21">
        <f t="shared" si="28"/>
        <v>46</v>
      </c>
      <c r="V95" s="21">
        <f t="shared" si="28"/>
        <v>48.555555555557035</v>
      </c>
      <c r="W95" s="22">
        <f t="shared" si="28"/>
        <v>39.355555555555725</v>
      </c>
      <c r="X95" s="22">
        <f t="shared" si="28"/>
        <v>43.444444444443064</v>
      </c>
      <c r="Y95" s="22">
        <f t="shared" si="28"/>
        <v>46</v>
      </c>
      <c r="Z95" s="23">
        <f t="shared" si="28"/>
        <v>36.799999999998967</v>
      </c>
      <c r="AA95" s="23">
        <f t="shared" si="28"/>
        <v>40.888888888888303</v>
      </c>
      <c r="AB95" s="23">
        <f t="shared" si="28"/>
        <v>43.444444444443064</v>
      </c>
      <c r="AC95" s="24">
        <f t="shared" si="28"/>
        <v>34.24444444444481</v>
      </c>
      <c r="AD95" s="24">
        <f t="shared" si="28"/>
        <v>38.333333333333243</v>
      </c>
      <c r="AE95" s="24">
        <f t="shared" si="28"/>
        <v>40.888888888888303</v>
      </c>
      <c r="AF95" s="25">
        <f t="shared" si="28"/>
        <v>31.688888888888453</v>
      </c>
      <c r="AG95" s="25">
        <f t="shared" si="28"/>
        <v>35.777777777778624</v>
      </c>
      <c r="AH95" s="25">
        <f t="shared" si="27"/>
        <v>38.333333333333243</v>
      </c>
      <c r="AI95" s="26">
        <f t="shared" si="27"/>
        <v>29.133333333333596</v>
      </c>
      <c r="AJ95" s="26">
        <f t="shared" si="27"/>
        <v>33.222222222221376</v>
      </c>
      <c r="AK95" s="26">
        <f t="shared" si="27"/>
        <v>35.777777777778624</v>
      </c>
    </row>
    <row r="96" spans="4:37" ht="20.100000000000001" customHeight="1">
      <c r="D96" s="27">
        <f t="shared" si="14"/>
        <v>0.25833333333333292</v>
      </c>
      <c r="E96" s="16">
        <f t="shared" si="25"/>
        <v>72.33333333333502</v>
      </c>
      <c r="F96" s="16">
        <f t="shared" si="25"/>
        <v>76.466666666667862</v>
      </c>
      <c r="G96" s="16">
        <f t="shared" si="25"/>
        <v>79.049999999999869</v>
      </c>
      <c r="H96" s="17">
        <f t="shared" si="25"/>
        <v>67.16666666666498</v>
      </c>
      <c r="I96" s="17">
        <f t="shared" si="25"/>
        <v>71.299999999998249</v>
      </c>
      <c r="J96" s="17">
        <f t="shared" si="25"/>
        <v>73.88333333333253</v>
      </c>
      <c r="K96" s="18">
        <f t="shared" si="25"/>
        <v>62.000000000001144</v>
      </c>
      <c r="L96" s="18">
        <f t="shared" si="25"/>
        <v>66.133333333334008</v>
      </c>
      <c r="M96" s="18">
        <f t="shared" si="25"/>
        <v>68.716666666667876</v>
      </c>
      <c r="N96" s="19">
        <f t="shared" si="25"/>
        <v>47.533333333332983</v>
      </c>
      <c r="O96" s="19">
        <f t="shared" si="25"/>
        <v>51.666666666668078</v>
      </c>
      <c r="P96" s="19">
        <f t="shared" si="25"/>
        <v>54.249999999999154</v>
      </c>
      <c r="Q96" s="20">
        <f t="shared" si="25"/>
        <v>44.950000000001097</v>
      </c>
      <c r="R96" s="20">
        <f t="shared" si="25"/>
        <v>49.083333333334814</v>
      </c>
      <c r="S96" s="20">
        <f t="shared" si="25"/>
        <v>51.666666666668078</v>
      </c>
      <c r="T96" s="21">
        <f>T97-(T$363/360)</f>
        <v>42.366666666668181</v>
      </c>
      <c r="U96" s="21">
        <f>U97-(U$363/360)</f>
        <v>46.5</v>
      </c>
      <c r="V96" s="21">
        <f t="shared" si="28"/>
        <v>49.083333333334814</v>
      </c>
      <c r="W96" s="22">
        <f t="shared" si="28"/>
        <v>39.783333333333502</v>
      </c>
      <c r="X96" s="22">
        <f t="shared" si="28"/>
        <v>43.916666666665286</v>
      </c>
      <c r="Y96" s="22">
        <f t="shared" si="28"/>
        <v>46.5</v>
      </c>
      <c r="Z96" s="23">
        <f t="shared" si="28"/>
        <v>37.199999999998965</v>
      </c>
      <c r="AA96" s="23">
        <f t="shared" si="28"/>
        <v>41.333333333332746</v>
      </c>
      <c r="AB96" s="23">
        <f t="shared" si="28"/>
        <v>43.916666666665286</v>
      </c>
      <c r="AC96" s="24">
        <f t="shared" si="28"/>
        <v>34.61666666666703</v>
      </c>
      <c r="AD96" s="24">
        <f t="shared" si="28"/>
        <v>38.749999999999908</v>
      </c>
      <c r="AE96" s="24">
        <f t="shared" si="28"/>
        <v>41.333333333332746</v>
      </c>
      <c r="AF96" s="25">
        <f t="shared" si="28"/>
        <v>32.033333333332898</v>
      </c>
      <c r="AG96" s="25">
        <f t="shared" si="28"/>
        <v>36.16666666666751</v>
      </c>
      <c r="AH96" s="25">
        <f t="shared" si="27"/>
        <v>38.749999999999908</v>
      </c>
      <c r="AI96" s="26">
        <f t="shared" si="27"/>
        <v>29.450000000000262</v>
      </c>
      <c r="AJ96" s="26">
        <f t="shared" si="27"/>
        <v>33.58333333333249</v>
      </c>
      <c r="AK96" s="26">
        <f t="shared" si="27"/>
        <v>36.16666666666751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73.111111111112791</v>
      </c>
      <c r="F97" s="16">
        <f t="shared" si="29"/>
        <v>77.288888888890085</v>
      </c>
      <c r="G97" s="16">
        <f t="shared" si="29"/>
        <v>79.899999999999864</v>
      </c>
      <c r="H97" s="17">
        <f t="shared" si="29"/>
        <v>67.888888888887209</v>
      </c>
      <c r="I97" s="17">
        <f t="shared" si="29"/>
        <v>72.066666666664915</v>
      </c>
      <c r="J97" s="17">
        <f t="shared" si="29"/>
        <v>74.677777777776981</v>
      </c>
      <c r="K97" s="18">
        <f t="shared" si="29"/>
        <v>62.666666666667808</v>
      </c>
      <c r="L97" s="18">
        <f t="shared" si="29"/>
        <v>66.844444444445116</v>
      </c>
      <c r="M97" s="18">
        <f t="shared" si="29"/>
        <v>69.455555555556771</v>
      </c>
      <c r="N97" s="19">
        <f t="shared" si="29"/>
        <v>48.044444444444096</v>
      </c>
      <c r="O97" s="19">
        <f t="shared" si="29"/>
        <v>52.222222222223635</v>
      </c>
      <c r="P97" s="19">
        <f t="shared" si="29"/>
        <v>54.83333333333249</v>
      </c>
      <c r="Q97" s="20">
        <f t="shared" si="29"/>
        <v>45.433333333334431</v>
      </c>
      <c r="R97" s="20">
        <f t="shared" si="29"/>
        <v>49.611111111112592</v>
      </c>
      <c r="S97" s="20">
        <f t="shared" si="29"/>
        <v>52.222222222223635</v>
      </c>
      <c r="T97" s="21">
        <f t="shared" si="29"/>
        <v>42.822222222223736</v>
      </c>
      <c r="U97" s="21">
        <f t="shared" ref="U97:U111" si="30">U98-(U$363/360)</f>
        <v>47</v>
      </c>
      <c r="V97" s="21">
        <f t="shared" si="28"/>
        <v>49.611111111112592</v>
      </c>
      <c r="W97" s="22">
        <f t="shared" si="28"/>
        <v>40.211111111111279</v>
      </c>
      <c r="X97" s="22">
        <f t="shared" si="28"/>
        <v>44.388888888887507</v>
      </c>
      <c r="Y97" s="22">
        <f t="shared" si="28"/>
        <v>47</v>
      </c>
      <c r="Z97" s="23">
        <f t="shared" si="28"/>
        <v>37.599999999998964</v>
      </c>
      <c r="AA97" s="23">
        <f t="shared" si="28"/>
        <v>41.777777777777189</v>
      </c>
      <c r="AB97" s="23">
        <f t="shared" si="28"/>
        <v>44.388888888887507</v>
      </c>
      <c r="AC97" s="24">
        <f t="shared" si="28"/>
        <v>34.98888888888925</v>
      </c>
      <c r="AD97" s="24">
        <f t="shared" si="28"/>
        <v>39.166666666666572</v>
      </c>
      <c r="AE97" s="24">
        <f t="shared" si="28"/>
        <v>41.777777777777189</v>
      </c>
      <c r="AF97" s="25">
        <f t="shared" si="28"/>
        <v>32.377777777777339</v>
      </c>
      <c r="AG97" s="25">
        <f t="shared" si="28"/>
        <v>36.555555555556396</v>
      </c>
      <c r="AH97" s="25">
        <f t="shared" si="27"/>
        <v>39.166666666666572</v>
      </c>
      <c r="AI97" s="26">
        <f t="shared" si="27"/>
        <v>29.766666666666929</v>
      </c>
      <c r="AJ97" s="26">
        <f t="shared" si="27"/>
        <v>33.944444444443604</v>
      </c>
      <c r="AK97" s="26">
        <f t="shared" si="27"/>
        <v>36.555555555556396</v>
      </c>
    </row>
    <row r="98" spans="4:37" ht="20.100000000000001" customHeight="1">
      <c r="D98" s="27">
        <f t="shared" si="14"/>
        <v>0.26388888888888845</v>
      </c>
      <c r="E98" s="16">
        <f t="shared" si="29"/>
        <v>73.888888888890563</v>
      </c>
      <c r="F98" s="16">
        <f t="shared" si="29"/>
        <v>78.111111111112308</v>
      </c>
      <c r="G98" s="16">
        <f t="shared" si="29"/>
        <v>80.749999999999858</v>
      </c>
      <c r="H98" s="17">
        <f t="shared" si="29"/>
        <v>68.611111111109437</v>
      </c>
      <c r="I98" s="17">
        <f t="shared" si="29"/>
        <v>72.833333333331581</v>
      </c>
      <c r="J98" s="17">
        <f t="shared" si="29"/>
        <v>75.472222222221433</v>
      </c>
      <c r="K98" s="18">
        <f t="shared" si="29"/>
        <v>63.333333333334473</v>
      </c>
      <c r="L98" s="18">
        <f t="shared" si="29"/>
        <v>67.555555555556225</v>
      </c>
      <c r="M98" s="18">
        <f t="shared" si="29"/>
        <v>70.194444444445665</v>
      </c>
      <c r="N98" s="19">
        <f t="shared" si="29"/>
        <v>48.555555555555209</v>
      </c>
      <c r="O98" s="19">
        <f t="shared" si="29"/>
        <v>52.777777777779193</v>
      </c>
      <c r="P98" s="19">
        <f t="shared" si="29"/>
        <v>55.416666666665826</v>
      </c>
      <c r="Q98" s="20">
        <f t="shared" si="29"/>
        <v>45.916666666667766</v>
      </c>
      <c r="R98" s="20">
        <f t="shared" si="29"/>
        <v>50.138888888890371</v>
      </c>
      <c r="S98" s="20">
        <f t="shared" si="29"/>
        <v>52.777777777779193</v>
      </c>
      <c r="T98" s="21">
        <f t="shared" si="29"/>
        <v>43.277777777779292</v>
      </c>
      <c r="U98" s="21">
        <f t="shared" si="30"/>
        <v>47.5</v>
      </c>
      <c r="V98" s="21">
        <f t="shared" si="28"/>
        <v>50.138888888890371</v>
      </c>
      <c r="W98" s="22">
        <f t="shared" si="28"/>
        <v>40.638888888889056</v>
      </c>
      <c r="X98" s="22">
        <f t="shared" si="28"/>
        <v>44.861111111109729</v>
      </c>
      <c r="Y98" s="22">
        <f t="shared" si="28"/>
        <v>47.5</v>
      </c>
      <c r="Z98" s="23">
        <f t="shared" si="28"/>
        <v>37.999999999998963</v>
      </c>
      <c r="AA98" s="23">
        <f t="shared" si="28"/>
        <v>42.222222222221632</v>
      </c>
      <c r="AB98" s="23">
        <f t="shared" si="28"/>
        <v>44.861111111109729</v>
      </c>
      <c r="AC98" s="24">
        <f t="shared" si="28"/>
        <v>35.36111111111147</v>
      </c>
      <c r="AD98" s="24">
        <f t="shared" si="28"/>
        <v>39.583333333333236</v>
      </c>
      <c r="AE98" s="24">
        <f t="shared" si="28"/>
        <v>42.222222222221632</v>
      </c>
      <c r="AF98" s="25">
        <f t="shared" si="28"/>
        <v>32.722222222221781</v>
      </c>
      <c r="AG98" s="25">
        <f t="shared" si="28"/>
        <v>36.944444444445281</v>
      </c>
      <c r="AH98" s="25">
        <f t="shared" si="27"/>
        <v>39.583333333333236</v>
      </c>
      <c r="AI98" s="26">
        <f t="shared" si="27"/>
        <v>30.083333333333595</v>
      </c>
      <c r="AJ98" s="26">
        <f t="shared" si="27"/>
        <v>34.305555555554719</v>
      </c>
      <c r="AK98" s="26">
        <f t="shared" si="27"/>
        <v>36.944444444445281</v>
      </c>
    </row>
    <row r="99" spans="4:37" ht="20.100000000000001" customHeight="1">
      <c r="D99" s="27">
        <f t="shared" si="14"/>
        <v>0.26666666666666622</v>
      </c>
      <c r="E99" s="16">
        <f t="shared" si="29"/>
        <v>74.666666666668334</v>
      </c>
      <c r="F99" s="16">
        <f t="shared" si="29"/>
        <v>78.933333333334531</v>
      </c>
      <c r="G99" s="16">
        <f t="shared" si="29"/>
        <v>81.599999999999852</v>
      </c>
      <c r="H99" s="17">
        <f t="shared" si="29"/>
        <v>69.333333333331666</v>
      </c>
      <c r="I99" s="17">
        <f t="shared" si="29"/>
        <v>73.599999999998246</v>
      </c>
      <c r="J99" s="17">
        <f t="shared" si="29"/>
        <v>76.266666666665884</v>
      </c>
      <c r="K99" s="18">
        <f t="shared" si="29"/>
        <v>64.000000000001137</v>
      </c>
      <c r="L99" s="18">
        <f t="shared" si="29"/>
        <v>68.266666666667334</v>
      </c>
      <c r="M99" s="18">
        <f t="shared" si="29"/>
        <v>70.933333333334559</v>
      </c>
      <c r="N99" s="19">
        <f t="shared" si="29"/>
        <v>49.066666666666322</v>
      </c>
      <c r="O99" s="19">
        <f t="shared" si="29"/>
        <v>53.33333333333475</v>
      </c>
      <c r="P99" s="19">
        <f t="shared" si="29"/>
        <v>55.999999999999162</v>
      </c>
      <c r="Q99" s="20">
        <f t="shared" si="29"/>
        <v>46.4000000000011</v>
      </c>
      <c r="R99" s="20">
        <f t="shared" si="29"/>
        <v>50.666666666668149</v>
      </c>
      <c r="S99" s="20">
        <f t="shared" si="29"/>
        <v>53.33333333333475</v>
      </c>
      <c r="T99" s="21">
        <f t="shared" si="29"/>
        <v>43.733333333334848</v>
      </c>
      <c r="U99" s="21">
        <f t="shared" si="30"/>
        <v>48</v>
      </c>
      <c r="V99" s="21">
        <f t="shared" si="28"/>
        <v>50.666666666668149</v>
      </c>
      <c r="W99" s="22">
        <f t="shared" si="28"/>
        <v>41.066666666666833</v>
      </c>
      <c r="X99" s="22">
        <f t="shared" si="28"/>
        <v>45.33333333333195</v>
      </c>
      <c r="Y99" s="22">
        <f t="shared" si="28"/>
        <v>48</v>
      </c>
      <c r="Z99" s="23">
        <f t="shared" si="28"/>
        <v>38.399999999998961</v>
      </c>
      <c r="AA99" s="23">
        <f t="shared" si="28"/>
        <v>42.666666666666075</v>
      </c>
      <c r="AB99" s="23">
        <f t="shared" si="28"/>
        <v>45.33333333333195</v>
      </c>
      <c r="AC99" s="24">
        <f t="shared" si="28"/>
        <v>35.73333333333369</v>
      </c>
      <c r="AD99" s="24">
        <f t="shared" si="28"/>
        <v>39.999999999999901</v>
      </c>
      <c r="AE99" s="24">
        <f t="shared" si="28"/>
        <v>42.666666666666075</v>
      </c>
      <c r="AF99" s="25">
        <f t="shared" si="28"/>
        <v>33.066666666666222</v>
      </c>
      <c r="AG99" s="25">
        <f t="shared" si="28"/>
        <v>37.333333333334167</v>
      </c>
      <c r="AH99" s="25">
        <f t="shared" si="27"/>
        <v>39.999999999999901</v>
      </c>
      <c r="AI99" s="26">
        <f t="shared" si="27"/>
        <v>30.400000000000261</v>
      </c>
      <c r="AJ99" s="26">
        <f t="shared" si="27"/>
        <v>34.666666666665833</v>
      </c>
      <c r="AK99" s="26">
        <f t="shared" si="27"/>
        <v>37.333333333334167</v>
      </c>
    </row>
    <row r="100" spans="4:37" ht="20.100000000000001" customHeight="1">
      <c r="D100" s="27">
        <f t="shared" si="14"/>
        <v>0.26944444444444399</v>
      </c>
      <c r="E100" s="16">
        <f t="shared" si="29"/>
        <v>75.444444444446106</v>
      </c>
      <c r="F100" s="16">
        <f t="shared" si="29"/>
        <v>79.755555555556754</v>
      </c>
      <c r="G100" s="16">
        <f t="shared" si="29"/>
        <v>82.449999999999847</v>
      </c>
      <c r="H100" s="17">
        <f t="shared" si="29"/>
        <v>70.055555555553894</v>
      </c>
      <c r="I100" s="17">
        <f t="shared" si="29"/>
        <v>74.366666666664912</v>
      </c>
      <c r="J100" s="17">
        <f t="shared" si="29"/>
        <v>77.061111111110336</v>
      </c>
      <c r="K100" s="18">
        <f t="shared" si="29"/>
        <v>64.666666666667808</v>
      </c>
      <c r="L100" s="18">
        <f t="shared" si="29"/>
        <v>68.977777777778442</v>
      </c>
      <c r="M100" s="18">
        <f t="shared" si="29"/>
        <v>71.672222222223454</v>
      </c>
      <c r="N100" s="19">
        <f t="shared" si="29"/>
        <v>49.577777777777435</v>
      </c>
      <c r="O100" s="19">
        <f t="shared" si="29"/>
        <v>53.888888888890307</v>
      </c>
      <c r="P100" s="19">
        <f t="shared" si="29"/>
        <v>56.583333333332497</v>
      </c>
      <c r="Q100" s="20">
        <f t="shared" si="29"/>
        <v>46.883333333334434</v>
      </c>
      <c r="R100" s="20">
        <f t="shared" si="29"/>
        <v>51.194444444445928</v>
      </c>
      <c r="S100" s="20">
        <f t="shared" si="29"/>
        <v>53.888888888890307</v>
      </c>
      <c r="T100" s="21">
        <f t="shared" si="29"/>
        <v>44.188888888890403</v>
      </c>
      <c r="U100" s="21">
        <f t="shared" si="30"/>
        <v>48.5</v>
      </c>
      <c r="V100" s="21">
        <f t="shared" si="28"/>
        <v>51.194444444445928</v>
      </c>
      <c r="W100" s="22">
        <f t="shared" si="28"/>
        <v>41.494444444444611</v>
      </c>
      <c r="X100" s="22">
        <f t="shared" si="28"/>
        <v>45.805555555554172</v>
      </c>
      <c r="Y100" s="22">
        <f t="shared" si="28"/>
        <v>48.5</v>
      </c>
      <c r="Z100" s="23">
        <f t="shared" si="28"/>
        <v>38.79999999999896</v>
      </c>
      <c r="AA100" s="23">
        <f t="shared" si="28"/>
        <v>43.111111111110517</v>
      </c>
      <c r="AB100" s="23">
        <f t="shared" si="28"/>
        <v>45.805555555554172</v>
      </c>
      <c r="AC100" s="24">
        <f t="shared" si="28"/>
        <v>36.10555555555591</v>
      </c>
      <c r="AD100" s="24">
        <f t="shared" si="28"/>
        <v>40.416666666666565</v>
      </c>
      <c r="AE100" s="24">
        <f t="shared" si="28"/>
        <v>43.111111111110517</v>
      </c>
      <c r="AF100" s="25">
        <f t="shared" si="28"/>
        <v>33.411111111110664</v>
      </c>
      <c r="AG100" s="25">
        <f t="shared" si="28"/>
        <v>37.722222222223053</v>
      </c>
      <c r="AH100" s="25">
        <f t="shared" si="27"/>
        <v>40.416666666666565</v>
      </c>
      <c r="AI100" s="26">
        <f t="shared" si="27"/>
        <v>30.716666666666928</v>
      </c>
      <c r="AJ100" s="26">
        <f t="shared" si="27"/>
        <v>35.027777777776947</v>
      </c>
      <c r="AK100" s="26">
        <f t="shared" si="27"/>
        <v>37.722222222223053</v>
      </c>
    </row>
    <row r="101" spans="4:37" ht="20.100000000000001" customHeight="1">
      <c r="D101" s="27">
        <f t="shared" si="14"/>
        <v>0.27222222222222175</v>
      </c>
      <c r="E101" s="16">
        <f t="shared" si="29"/>
        <v>76.222222222223877</v>
      </c>
      <c r="F101" s="16">
        <f t="shared" si="29"/>
        <v>80.577777777778977</v>
      </c>
      <c r="G101" s="16">
        <f t="shared" si="29"/>
        <v>83.299999999999841</v>
      </c>
      <c r="H101" s="17">
        <f t="shared" si="29"/>
        <v>70.777777777776123</v>
      </c>
      <c r="I101" s="17">
        <f t="shared" si="29"/>
        <v>75.133333333331578</v>
      </c>
      <c r="J101" s="17">
        <f t="shared" si="29"/>
        <v>77.855555555554787</v>
      </c>
      <c r="K101" s="18">
        <f t="shared" si="29"/>
        <v>65.33333333333448</v>
      </c>
      <c r="L101" s="18">
        <f t="shared" si="29"/>
        <v>69.688888888889551</v>
      </c>
      <c r="M101" s="18">
        <f t="shared" si="29"/>
        <v>72.411111111112348</v>
      </c>
      <c r="N101" s="19">
        <f t="shared" si="29"/>
        <v>50.088888888888548</v>
      </c>
      <c r="O101" s="19">
        <f t="shared" si="29"/>
        <v>54.444444444445864</v>
      </c>
      <c r="P101" s="19">
        <f t="shared" si="29"/>
        <v>57.166666666665833</v>
      </c>
      <c r="Q101" s="20">
        <f t="shared" si="29"/>
        <v>47.366666666667768</v>
      </c>
      <c r="R101" s="20">
        <f t="shared" si="29"/>
        <v>51.722222222223706</v>
      </c>
      <c r="S101" s="20">
        <f t="shared" si="29"/>
        <v>54.444444444445864</v>
      </c>
      <c r="T101" s="21">
        <f t="shared" si="29"/>
        <v>44.644444444445959</v>
      </c>
      <c r="U101" s="21">
        <f t="shared" si="30"/>
        <v>49</v>
      </c>
      <c r="V101" s="21">
        <f t="shared" si="28"/>
        <v>51.722222222223706</v>
      </c>
      <c r="W101" s="22">
        <f t="shared" si="28"/>
        <v>41.922222222222388</v>
      </c>
      <c r="X101" s="22">
        <f t="shared" si="28"/>
        <v>46.277777777776393</v>
      </c>
      <c r="Y101" s="22">
        <f t="shared" si="28"/>
        <v>49</v>
      </c>
      <c r="Z101" s="23">
        <f t="shared" si="28"/>
        <v>39.199999999998958</v>
      </c>
      <c r="AA101" s="23">
        <f t="shared" si="28"/>
        <v>43.55555555555496</v>
      </c>
      <c r="AB101" s="23">
        <f t="shared" si="28"/>
        <v>46.277777777776393</v>
      </c>
      <c r="AC101" s="24">
        <f t="shared" si="28"/>
        <v>36.47777777777813</v>
      </c>
      <c r="AD101" s="24">
        <f t="shared" si="28"/>
        <v>40.833333333333229</v>
      </c>
      <c r="AE101" s="24">
        <f t="shared" si="28"/>
        <v>43.55555555555496</v>
      </c>
      <c r="AF101" s="25">
        <f t="shared" si="28"/>
        <v>33.755555555555105</v>
      </c>
      <c r="AG101" s="25">
        <f t="shared" si="28"/>
        <v>38.111111111111938</v>
      </c>
      <c r="AH101" s="25">
        <f t="shared" si="27"/>
        <v>40.833333333333229</v>
      </c>
      <c r="AI101" s="26">
        <f t="shared" si="27"/>
        <v>31.033333333333594</v>
      </c>
      <c r="AJ101" s="26">
        <f t="shared" si="27"/>
        <v>35.388888888888062</v>
      </c>
      <c r="AK101" s="26">
        <f t="shared" si="27"/>
        <v>38.111111111111938</v>
      </c>
    </row>
    <row r="102" spans="4:37" ht="20.100000000000001" customHeight="1">
      <c r="D102" s="27">
        <f t="shared" si="14"/>
        <v>0.27499999999999952</v>
      </c>
      <c r="E102" s="16">
        <f t="shared" si="29"/>
        <v>77.000000000001648</v>
      </c>
      <c r="F102" s="16">
        <f t="shared" si="29"/>
        <v>81.400000000001199</v>
      </c>
      <c r="G102" s="16">
        <f t="shared" si="29"/>
        <v>84.149999999999835</v>
      </c>
      <c r="H102" s="17">
        <f t="shared" si="29"/>
        <v>71.499999999998352</v>
      </c>
      <c r="I102" s="17">
        <f t="shared" si="29"/>
        <v>75.899999999998244</v>
      </c>
      <c r="J102" s="17">
        <f t="shared" si="29"/>
        <v>78.649999999999238</v>
      </c>
      <c r="K102" s="18">
        <f t="shared" si="29"/>
        <v>66.000000000001151</v>
      </c>
      <c r="L102" s="18">
        <f t="shared" si="29"/>
        <v>70.400000000000659</v>
      </c>
      <c r="M102" s="18">
        <f t="shared" si="29"/>
        <v>73.150000000001242</v>
      </c>
      <c r="N102" s="19">
        <f t="shared" si="29"/>
        <v>50.59999999999966</v>
      </c>
      <c r="O102" s="19">
        <f t="shared" si="29"/>
        <v>55.000000000001421</v>
      </c>
      <c r="P102" s="19">
        <f t="shared" si="29"/>
        <v>57.749999999999169</v>
      </c>
      <c r="Q102" s="20">
        <f t="shared" si="29"/>
        <v>47.850000000001103</v>
      </c>
      <c r="R102" s="20">
        <f t="shared" si="29"/>
        <v>52.250000000001485</v>
      </c>
      <c r="S102" s="20">
        <f t="shared" si="29"/>
        <v>55.000000000001421</v>
      </c>
      <c r="T102" s="21">
        <f t="shared" si="29"/>
        <v>45.100000000001515</v>
      </c>
      <c r="U102" s="21">
        <f t="shared" si="30"/>
        <v>49.5</v>
      </c>
      <c r="V102" s="21">
        <f t="shared" si="28"/>
        <v>52.250000000001485</v>
      </c>
      <c r="W102" s="22">
        <f t="shared" si="28"/>
        <v>42.350000000000165</v>
      </c>
      <c r="X102" s="22">
        <f t="shared" si="28"/>
        <v>46.749999999998614</v>
      </c>
      <c r="Y102" s="22">
        <f t="shared" si="28"/>
        <v>49.5</v>
      </c>
      <c r="Z102" s="23">
        <f t="shared" si="28"/>
        <v>39.599999999998957</v>
      </c>
      <c r="AA102" s="23">
        <f t="shared" si="28"/>
        <v>43.999999999999403</v>
      </c>
      <c r="AB102" s="23">
        <f t="shared" si="28"/>
        <v>46.749999999998614</v>
      </c>
      <c r="AC102" s="24">
        <f t="shared" si="28"/>
        <v>36.85000000000035</v>
      </c>
      <c r="AD102" s="24">
        <f t="shared" si="28"/>
        <v>41.249999999999893</v>
      </c>
      <c r="AE102" s="24">
        <f t="shared" si="28"/>
        <v>43.999999999999403</v>
      </c>
      <c r="AF102" s="25">
        <f t="shared" si="28"/>
        <v>34.099999999999547</v>
      </c>
      <c r="AG102" s="25">
        <f t="shared" si="28"/>
        <v>38.500000000000824</v>
      </c>
      <c r="AH102" s="25">
        <f t="shared" si="27"/>
        <v>41.249999999999893</v>
      </c>
      <c r="AI102" s="26">
        <f t="shared" si="27"/>
        <v>31.350000000000261</v>
      </c>
      <c r="AJ102" s="26">
        <f t="shared" si="27"/>
        <v>35.749999999999176</v>
      </c>
      <c r="AK102" s="26">
        <f t="shared" si="27"/>
        <v>38.500000000000824</v>
      </c>
    </row>
    <row r="103" spans="4:37" ht="20.100000000000001" customHeight="1">
      <c r="D103" s="27">
        <f t="shared" si="14"/>
        <v>0.27777777777777729</v>
      </c>
      <c r="E103" s="16">
        <f t="shared" si="29"/>
        <v>77.77777777777942</v>
      </c>
      <c r="F103" s="16">
        <f t="shared" si="29"/>
        <v>82.222222222223422</v>
      </c>
      <c r="G103" s="16">
        <f t="shared" si="29"/>
        <v>84.999999999999829</v>
      </c>
      <c r="H103" s="17">
        <f t="shared" si="29"/>
        <v>72.22222222222058</v>
      </c>
      <c r="I103" s="17">
        <f t="shared" si="29"/>
        <v>76.666666666664909</v>
      </c>
      <c r="J103" s="17">
        <f t="shared" si="29"/>
        <v>79.44444444444369</v>
      </c>
      <c r="K103" s="18">
        <f t="shared" si="29"/>
        <v>66.666666666667822</v>
      </c>
      <c r="L103" s="18">
        <f t="shared" si="29"/>
        <v>71.111111111111768</v>
      </c>
      <c r="M103" s="18">
        <f t="shared" si="29"/>
        <v>73.888888888890136</v>
      </c>
      <c r="N103" s="19">
        <f t="shared" si="29"/>
        <v>51.111111111110773</v>
      </c>
      <c r="O103" s="19">
        <f t="shared" si="29"/>
        <v>55.555555555556978</v>
      </c>
      <c r="P103" s="19">
        <f t="shared" si="29"/>
        <v>58.333333333332504</v>
      </c>
      <c r="Q103" s="20">
        <f t="shared" si="29"/>
        <v>48.333333333334437</v>
      </c>
      <c r="R103" s="20">
        <f t="shared" si="29"/>
        <v>52.777777777779264</v>
      </c>
      <c r="S103" s="20">
        <f t="shared" si="29"/>
        <v>55.555555555556978</v>
      </c>
      <c r="T103" s="21">
        <f t="shared" si="29"/>
        <v>45.555555555557071</v>
      </c>
      <c r="U103" s="21">
        <f t="shared" si="30"/>
        <v>50</v>
      </c>
      <c r="V103" s="21">
        <f t="shared" si="28"/>
        <v>52.777777777779264</v>
      </c>
      <c r="W103" s="22">
        <f t="shared" si="28"/>
        <v>42.777777777777942</v>
      </c>
      <c r="X103" s="22">
        <f t="shared" si="28"/>
        <v>47.222222222220836</v>
      </c>
      <c r="Y103" s="22">
        <f t="shared" si="28"/>
        <v>50</v>
      </c>
      <c r="Z103" s="23">
        <f t="shared" si="28"/>
        <v>39.999999999998956</v>
      </c>
      <c r="AA103" s="23">
        <f t="shared" si="28"/>
        <v>44.444444444443846</v>
      </c>
      <c r="AB103" s="23">
        <f t="shared" si="28"/>
        <v>47.222222222220836</v>
      </c>
      <c r="AC103" s="24">
        <f t="shared" si="28"/>
        <v>37.22222222222257</v>
      </c>
      <c r="AD103" s="24">
        <f t="shared" si="28"/>
        <v>41.666666666666558</v>
      </c>
      <c r="AE103" s="24">
        <f t="shared" si="28"/>
        <v>44.444444444443846</v>
      </c>
      <c r="AF103" s="25">
        <f t="shared" si="28"/>
        <v>34.444444444443988</v>
      </c>
      <c r="AG103" s="25">
        <f t="shared" si="28"/>
        <v>38.88888888888971</v>
      </c>
      <c r="AH103" s="25">
        <f t="shared" si="27"/>
        <v>41.666666666666558</v>
      </c>
      <c r="AI103" s="26">
        <f t="shared" si="27"/>
        <v>31.666666666666927</v>
      </c>
      <c r="AJ103" s="26">
        <f t="shared" si="27"/>
        <v>36.11111111111029</v>
      </c>
      <c r="AK103" s="26">
        <f t="shared" si="27"/>
        <v>38.88888888888971</v>
      </c>
    </row>
    <row r="104" spans="4:37" ht="20.100000000000001" customHeight="1">
      <c r="D104" s="27">
        <f t="shared" si="14"/>
        <v>0.28055555555555506</v>
      </c>
      <c r="E104" s="16">
        <f t="shared" si="29"/>
        <v>78.555555555557191</v>
      </c>
      <c r="F104" s="16">
        <f t="shared" si="29"/>
        <v>83.044444444445645</v>
      </c>
      <c r="G104" s="16">
        <f t="shared" si="29"/>
        <v>85.849999999999824</v>
      </c>
      <c r="H104" s="17">
        <f t="shared" si="29"/>
        <v>72.944444444442809</v>
      </c>
      <c r="I104" s="17">
        <f t="shared" si="29"/>
        <v>77.433333333331575</v>
      </c>
      <c r="J104" s="17">
        <f t="shared" si="29"/>
        <v>80.238888888888141</v>
      </c>
      <c r="K104" s="18">
        <f t="shared" si="29"/>
        <v>67.333333333334494</v>
      </c>
      <c r="L104" s="18">
        <f t="shared" si="29"/>
        <v>71.822222222222877</v>
      </c>
      <c r="M104" s="18">
        <f t="shared" si="29"/>
        <v>74.627777777779031</v>
      </c>
      <c r="N104" s="19">
        <f t="shared" si="29"/>
        <v>51.622222222221886</v>
      </c>
      <c r="O104" s="19">
        <f t="shared" si="29"/>
        <v>56.111111111112535</v>
      </c>
      <c r="P104" s="19">
        <f t="shared" si="29"/>
        <v>58.91666666666584</v>
      </c>
      <c r="Q104" s="20">
        <f t="shared" si="29"/>
        <v>48.816666666667771</v>
      </c>
      <c r="R104" s="20">
        <f t="shared" si="29"/>
        <v>53.305555555557042</v>
      </c>
      <c r="S104" s="20">
        <f t="shared" si="29"/>
        <v>56.111111111112535</v>
      </c>
      <c r="T104" s="21">
        <f t="shared" si="29"/>
        <v>46.011111111112626</v>
      </c>
      <c r="U104" s="21">
        <f t="shared" si="30"/>
        <v>50.5</v>
      </c>
      <c r="V104" s="21">
        <f t="shared" si="28"/>
        <v>53.305555555557042</v>
      </c>
      <c r="W104" s="22">
        <f t="shared" si="28"/>
        <v>43.205555555555719</v>
      </c>
      <c r="X104" s="22">
        <f t="shared" si="28"/>
        <v>47.694444444443057</v>
      </c>
      <c r="Y104" s="22">
        <f t="shared" si="28"/>
        <v>50.5</v>
      </c>
      <c r="Z104" s="23">
        <f t="shared" si="28"/>
        <v>40.399999999998954</v>
      </c>
      <c r="AA104" s="23">
        <f t="shared" si="28"/>
        <v>44.888888888888289</v>
      </c>
      <c r="AB104" s="23">
        <f t="shared" si="28"/>
        <v>47.694444444443057</v>
      </c>
      <c r="AC104" s="24">
        <f t="shared" si="28"/>
        <v>37.59444444444479</v>
      </c>
      <c r="AD104" s="24">
        <f t="shared" si="28"/>
        <v>42.083333333333222</v>
      </c>
      <c r="AE104" s="24">
        <f t="shared" si="28"/>
        <v>44.888888888888289</v>
      </c>
      <c r="AF104" s="25">
        <f t="shared" si="28"/>
        <v>34.78888888888843</v>
      </c>
      <c r="AG104" s="25">
        <f t="shared" si="28"/>
        <v>39.277777777778596</v>
      </c>
      <c r="AH104" s="25">
        <f t="shared" si="28"/>
        <v>42.083333333333222</v>
      </c>
      <c r="AI104" s="26">
        <f t="shared" si="28"/>
        <v>31.983333333333594</v>
      </c>
      <c r="AJ104" s="26">
        <f t="shared" si="28"/>
        <v>36.472222222221404</v>
      </c>
      <c r="AK104" s="26">
        <f t="shared" si="27"/>
        <v>39.277777777778596</v>
      </c>
    </row>
    <row r="105" spans="4:37" ht="20.100000000000001" customHeight="1">
      <c r="D105" s="27">
        <f t="shared" si="14"/>
        <v>0.28333333333333283</v>
      </c>
      <c r="E105" s="16">
        <f t="shared" si="29"/>
        <v>79.333333333334963</v>
      </c>
      <c r="F105" s="16">
        <f t="shared" si="29"/>
        <v>83.866666666667868</v>
      </c>
      <c r="G105" s="16">
        <f t="shared" si="29"/>
        <v>86.699999999999818</v>
      </c>
      <c r="H105" s="17">
        <f t="shared" si="29"/>
        <v>73.666666666665037</v>
      </c>
      <c r="I105" s="17">
        <f t="shared" si="29"/>
        <v>78.199999999998241</v>
      </c>
      <c r="J105" s="17">
        <f t="shared" si="29"/>
        <v>81.033333333332592</v>
      </c>
      <c r="K105" s="18">
        <f t="shared" si="29"/>
        <v>68.000000000001165</v>
      </c>
      <c r="L105" s="18">
        <f t="shared" si="29"/>
        <v>72.533333333333985</v>
      </c>
      <c r="M105" s="18">
        <f t="shared" si="29"/>
        <v>75.366666666667925</v>
      </c>
      <c r="N105" s="19">
        <f t="shared" si="29"/>
        <v>52.133333333332999</v>
      </c>
      <c r="O105" s="19">
        <f t="shared" si="29"/>
        <v>56.666666666668092</v>
      </c>
      <c r="P105" s="19">
        <f t="shared" si="29"/>
        <v>59.499999999999176</v>
      </c>
      <c r="Q105" s="20">
        <f t="shared" si="29"/>
        <v>49.300000000001106</v>
      </c>
      <c r="R105" s="20">
        <f t="shared" si="29"/>
        <v>53.833333333334821</v>
      </c>
      <c r="S105" s="20">
        <f t="shared" si="29"/>
        <v>56.666666666668092</v>
      </c>
      <c r="T105" s="21">
        <f t="shared" si="29"/>
        <v>46.466666666668182</v>
      </c>
      <c r="U105" s="21">
        <f t="shared" si="30"/>
        <v>51</v>
      </c>
      <c r="V105" s="21">
        <f t="shared" si="28"/>
        <v>53.833333333334821</v>
      </c>
      <c r="W105" s="22">
        <f t="shared" si="28"/>
        <v>43.633333333333496</v>
      </c>
      <c r="X105" s="22">
        <f t="shared" si="28"/>
        <v>48.166666666665279</v>
      </c>
      <c r="Y105" s="22">
        <f t="shared" si="28"/>
        <v>51</v>
      </c>
      <c r="Z105" s="23">
        <f t="shared" si="28"/>
        <v>40.799999999998953</v>
      </c>
      <c r="AA105" s="23">
        <f t="shared" si="28"/>
        <v>45.333333333332732</v>
      </c>
      <c r="AB105" s="23">
        <f t="shared" si="28"/>
        <v>48.166666666665279</v>
      </c>
      <c r="AC105" s="24">
        <f t="shared" si="28"/>
        <v>37.96666666666701</v>
      </c>
      <c r="AD105" s="24">
        <f t="shared" si="28"/>
        <v>42.499999999999886</v>
      </c>
      <c r="AE105" s="24">
        <f t="shared" si="28"/>
        <v>45.333333333332732</v>
      </c>
      <c r="AF105" s="25">
        <f t="shared" si="28"/>
        <v>35.133333333332871</v>
      </c>
      <c r="AG105" s="25">
        <f t="shared" si="28"/>
        <v>39.666666666667481</v>
      </c>
      <c r="AH105" s="25">
        <f t="shared" si="28"/>
        <v>42.499999999999886</v>
      </c>
      <c r="AI105" s="26">
        <f t="shared" si="28"/>
        <v>32.30000000000026</v>
      </c>
      <c r="AJ105" s="26">
        <f t="shared" si="28"/>
        <v>36.833333333332519</v>
      </c>
      <c r="AK105" s="26">
        <f t="shared" si="27"/>
        <v>39.666666666667481</v>
      </c>
    </row>
    <row r="106" spans="4:37" ht="20.100000000000001" customHeight="1">
      <c r="D106" s="27">
        <f t="shared" si="14"/>
        <v>0.28611111111111059</v>
      </c>
      <c r="E106" s="16">
        <f t="shared" si="29"/>
        <v>80.111111111112734</v>
      </c>
      <c r="F106" s="16">
        <f t="shared" si="29"/>
        <v>84.688888888890091</v>
      </c>
      <c r="G106" s="16">
        <f t="shared" si="29"/>
        <v>87.549999999999812</v>
      </c>
      <c r="H106" s="17">
        <f t="shared" si="29"/>
        <v>74.388888888887266</v>
      </c>
      <c r="I106" s="17">
        <f t="shared" si="29"/>
        <v>78.966666666664906</v>
      </c>
      <c r="J106" s="17">
        <f t="shared" si="29"/>
        <v>81.827777777777044</v>
      </c>
      <c r="K106" s="18">
        <f t="shared" si="29"/>
        <v>68.666666666667837</v>
      </c>
      <c r="L106" s="18">
        <f t="shared" si="29"/>
        <v>73.244444444445094</v>
      </c>
      <c r="M106" s="18">
        <f t="shared" si="29"/>
        <v>76.105555555556819</v>
      </c>
      <c r="N106" s="19">
        <f t="shared" si="29"/>
        <v>52.644444444444112</v>
      </c>
      <c r="O106" s="19">
        <f t="shared" si="29"/>
        <v>57.22222222222365</v>
      </c>
      <c r="P106" s="19">
        <f t="shared" si="29"/>
        <v>60.083333333332511</v>
      </c>
      <c r="Q106" s="20">
        <f t="shared" si="29"/>
        <v>49.78333333333444</v>
      </c>
      <c r="R106" s="20">
        <f t="shared" si="29"/>
        <v>54.361111111112599</v>
      </c>
      <c r="S106" s="20">
        <f t="shared" si="29"/>
        <v>57.22222222222365</v>
      </c>
      <c r="T106" s="21">
        <f t="shared" si="29"/>
        <v>46.922222222223738</v>
      </c>
      <c r="U106" s="21">
        <f t="shared" si="30"/>
        <v>51.5</v>
      </c>
      <c r="V106" s="21">
        <f t="shared" si="28"/>
        <v>54.361111111112599</v>
      </c>
      <c r="W106" s="22">
        <f t="shared" si="28"/>
        <v>44.061111111111273</v>
      </c>
      <c r="X106" s="22">
        <f t="shared" si="28"/>
        <v>48.6388888888875</v>
      </c>
      <c r="Y106" s="22">
        <f t="shared" si="28"/>
        <v>51.5</v>
      </c>
      <c r="Z106" s="23">
        <f t="shared" si="28"/>
        <v>41.199999999998951</v>
      </c>
      <c r="AA106" s="23">
        <f t="shared" si="28"/>
        <v>45.777777777777175</v>
      </c>
      <c r="AB106" s="23">
        <f t="shared" si="28"/>
        <v>48.6388888888875</v>
      </c>
      <c r="AC106" s="24">
        <f t="shared" si="28"/>
        <v>38.33888888888923</v>
      </c>
      <c r="AD106" s="24">
        <f t="shared" si="28"/>
        <v>42.916666666666551</v>
      </c>
      <c r="AE106" s="24">
        <f t="shared" si="28"/>
        <v>45.777777777777175</v>
      </c>
      <c r="AF106" s="25">
        <f t="shared" si="28"/>
        <v>35.477777777777312</v>
      </c>
      <c r="AG106" s="25">
        <f t="shared" si="28"/>
        <v>40.055555555556367</v>
      </c>
      <c r="AH106" s="25">
        <f t="shared" si="28"/>
        <v>42.916666666666551</v>
      </c>
      <c r="AI106" s="26">
        <f t="shared" si="28"/>
        <v>32.61666666666693</v>
      </c>
      <c r="AJ106" s="26">
        <f t="shared" si="28"/>
        <v>37.194444444443633</v>
      </c>
      <c r="AK106" s="26">
        <f t="shared" si="27"/>
        <v>40.055555555556367</v>
      </c>
    </row>
    <row r="107" spans="4:37" ht="20.100000000000001" customHeight="1">
      <c r="D107" s="27">
        <f t="shared" si="14"/>
        <v>0.28888888888888836</v>
      </c>
      <c r="E107" s="16">
        <f t="shared" si="29"/>
        <v>80.888888888890506</v>
      </c>
      <c r="F107" s="16">
        <f t="shared" si="29"/>
        <v>85.511111111112314</v>
      </c>
      <c r="G107" s="16">
        <f t="shared" si="29"/>
        <v>88.399999999999807</v>
      </c>
      <c r="H107" s="17">
        <f t="shared" si="29"/>
        <v>75.111111111109494</v>
      </c>
      <c r="I107" s="17">
        <f t="shared" si="29"/>
        <v>79.733333333331572</v>
      </c>
      <c r="J107" s="17">
        <f t="shared" si="29"/>
        <v>82.622222222221495</v>
      </c>
      <c r="K107" s="18">
        <f t="shared" si="29"/>
        <v>69.333333333334508</v>
      </c>
      <c r="L107" s="18">
        <f t="shared" si="29"/>
        <v>73.955555555556202</v>
      </c>
      <c r="M107" s="18">
        <f t="shared" si="29"/>
        <v>76.844444444445713</v>
      </c>
      <c r="N107" s="19">
        <f t="shared" si="29"/>
        <v>53.155555555555225</v>
      </c>
      <c r="O107" s="19">
        <f t="shared" si="29"/>
        <v>57.777777777779207</v>
      </c>
      <c r="P107" s="19">
        <f t="shared" si="29"/>
        <v>60.666666666665847</v>
      </c>
      <c r="Q107" s="20">
        <f t="shared" si="29"/>
        <v>50.266666666667774</v>
      </c>
      <c r="R107" s="20">
        <f t="shared" si="29"/>
        <v>54.888888888890378</v>
      </c>
      <c r="S107" s="20">
        <f t="shared" si="29"/>
        <v>57.777777777779207</v>
      </c>
      <c r="T107" s="21">
        <f t="shared" si="29"/>
        <v>47.377777777779293</v>
      </c>
      <c r="U107" s="21">
        <f t="shared" si="30"/>
        <v>52</v>
      </c>
      <c r="V107" s="21">
        <f t="shared" ref="V107:AD111" si="31">V108-(V$363/360)</f>
        <v>54.888888888890378</v>
      </c>
      <c r="W107" s="22">
        <f t="shared" si="31"/>
        <v>44.488888888889051</v>
      </c>
      <c r="X107" s="22">
        <f t="shared" si="31"/>
        <v>49.111111111109722</v>
      </c>
      <c r="Y107" s="22">
        <f t="shared" si="31"/>
        <v>52</v>
      </c>
      <c r="Z107" s="23">
        <f t="shared" si="31"/>
        <v>41.59999999999895</v>
      </c>
      <c r="AA107" s="23">
        <f t="shared" si="31"/>
        <v>46.222222222221617</v>
      </c>
      <c r="AB107" s="23">
        <f t="shared" si="31"/>
        <v>49.111111111109722</v>
      </c>
      <c r="AC107" s="24">
        <f t="shared" si="31"/>
        <v>38.71111111111145</v>
      </c>
      <c r="AD107" s="24">
        <f t="shared" si="31"/>
        <v>43.333333333333215</v>
      </c>
      <c r="AE107" s="24">
        <f t="shared" si="27"/>
        <v>46.222222222221617</v>
      </c>
      <c r="AF107" s="25">
        <f t="shared" si="27"/>
        <v>35.822222222221754</v>
      </c>
      <c r="AG107" s="25">
        <f t="shared" si="27"/>
        <v>40.444444444445253</v>
      </c>
      <c r="AH107" s="25">
        <f t="shared" si="27"/>
        <v>43.333333333333215</v>
      </c>
      <c r="AI107" s="26">
        <f t="shared" si="27"/>
        <v>32.9333333333336</v>
      </c>
      <c r="AJ107" s="26">
        <f t="shared" si="27"/>
        <v>37.555555555554747</v>
      </c>
      <c r="AK107" s="26">
        <f t="shared" si="27"/>
        <v>40.444444444445253</v>
      </c>
    </row>
    <row r="108" spans="4:37" ht="20.100000000000001" customHeight="1">
      <c r="D108" s="27">
        <f t="shared" si="14"/>
        <v>0.29166666666666613</v>
      </c>
      <c r="E108" s="16">
        <f t="shared" si="29"/>
        <v>81.666666666668277</v>
      </c>
      <c r="F108" s="16">
        <f t="shared" si="29"/>
        <v>86.333333333334537</v>
      </c>
      <c r="G108" s="16">
        <f t="shared" si="29"/>
        <v>89.249999999999801</v>
      </c>
      <c r="H108" s="17">
        <f t="shared" si="29"/>
        <v>75.833333333331723</v>
      </c>
      <c r="I108" s="17">
        <f t="shared" si="29"/>
        <v>80.499999999998238</v>
      </c>
      <c r="J108" s="17">
        <f t="shared" si="29"/>
        <v>83.416666666665947</v>
      </c>
      <c r="K108" s="18">
        <f t="shared" si="29"/>
        <v>70.00000000000118</v>
      </c>
      <c r="L108" s="18">
        <f t="shared" si="29"/>
        <v>74.666666666667311</v>
      </c>
      <c r="M108" s="18">
        <f t="shared" si="29"/>
        <v>77.583333333334608</v>
      </c>
      <c r="N108" s="19">
        <f t="shared" si="29"/>
        <v>53.666666666666337</v>
      </c>
      <c r="O108" s="19">
        <f t="shared" si="29"/>
        <v>58.333333333334764</v>
      </c>
      <c r="P108" s="19">
        <f t="shared" si="29"/>
        <v>61.249999999999183</v>
      </c>
      <c r="Q108" s="20">
        <f t="shared" si="29"/>
        <v>50.750000000001108</v>
      </c>
      <c r="R108" s="20">
        <f t="shared" si="29"/>
        <v>55.416666666668156</v>
      </c>
      <c r="S108" s="20">
        <f t="shared" si="29"/>
        <v>58.333333333334764</v>
      </c>
      <c r="T108" s="21">
        <f t="shared" si="29"/>
        <v>47.833333333334849</v>
      </c>
      <c r="U108" s="21">
        <f t="shared" si="30"/>
        <v>52.5</v>
      </c>
      <c r="V108" s="21">
        <f t="shared" si="31"/>
        <v>55.416666666668156</v>
      </c>
      <c r="W108" s="22">
        <f t="shared" si="31"/>
        <v>44.916666666666828</v>
      </c>
      <c r="X108" s="22">
        <f t="shared" si="31"/>
        <v>49.583333333331943</v>
      </c>
      <c r="Y108" s="22">
        <f t="shared" si="31"/>
        <v>52.5</v>
      </c>
      <c r="Z108" s="23">
        <f t="shared" si="31"/>
        <v>41.999999999998948</v>
      </c>
      <c r="AA108" s="23">
        <f t="shared" si="31"/>
        <v>46.66666666666606</v>
      </c>
      <c r="AB108" s="23">
        <f t="shared" si="31"/>
        <v>49.583333333331943</v>
      </c>
      <c r="AC108" s="24">
        <f t="shared" si="31"/>
        <v>39.08333333333367</v>
      </c>
      <c r="AD108" s="24">
        <f t="shared" si="31"/>
        <v>43.749999999999879</v>
      </c>
      <c r="AE108" s="24">
        <f t="shared" si="27"/>
        <v>46.66666666666606</v>
      </c>
      <c r="AF108" s="25">
        <f t="shared" si="27"/>
        <v>36.166666666666195</v>
      </c>
      <c r="AG108" s="25">
        <f t="shared" si="27"/>
        <v>40.833333333334139</v>
      </c>
      <c r="AH108" s="25">
        <f t="shared" si="27"/>
        <v>43.749999999999879</v>
      </c>
      <c r="AI108" s="26">
        <f t="shared" si="27"/>
        <v>33.25000000000027</v>
      </c>
      <c r="AJ108" s="26">
        <f t="shared" si="27"/>
        <v>37.916666666665861</v>
      </c>
      <c r="AK108" s="26">
        <f t="shared" si="27"/>
        <v>40.833333333334139</v>
      </c>
    </row>
    <row r="109" spans="4:37" ht="20.100000000000001" customHeight="1">
      <c r="D109" s="27">
        <f t="shared" si="14"/>
        <v>0.2944444444444439</v>
      </c>
      <c r="E109" s="16">
        <f t="shared" si="29"/>
        <v>82.444444444446049</v>
      </c>
      <c r="F109" s="16">
        <f t="shared" si="29"/>
        <v>87.155555555556759</v>
      </c>
      <c r="G109" s="16">
        <f t="shared" si="29"/>
        <v>90.099999999999795</v>
      </c>
      <c r="H109" s="17">
        <f t="shared" si="29"/>
        <v>76.555555555553951</v>
      </c>
      <c r="I109" s="17">
        <f t="shared" si="29"/>
        <v>81.266666666664904</v>
      </c>
      <c r="J109" s="17">
        <f t="shared" si="29"/>
        <v>84.211111111110398</v>
      </c>
      <c r="K109" s="18">
        <f t="shared" si="29"/>
        <v>70.666666666667851</v>
      </c>
      <c r="L109" s="18">
        <f t="shared" si="29"/>
        <v>75.377777777778419</v>
      </c>
      <c r="M109" s="18">
        <f t="shared" si="29"/>
        <v>78.322222222223502</v>
      </c>
      <c r="N109" s="19">
        <f t="shared" si="29"/>
        <v>54.17777777777745</v>
      </c>
      <c r="O109" s="19">
        <f t="shared" si="29"/>
        <v>58.888888888890321</v>
      </c>
      <c r="P109" s="19">
        <f t="shared" si="29"/>
        <v>61.833333333332519</v>
      </c>
      <c r="Q109" s="20">
        <f t="shared" si="29"/>
        <v>51.233333333334443</v>
      </c>
      <c r="R109" s="20">
        <f t="shared" si="29"/>
        <v>55.944444444445935</v>
      </c>
      <c r="S109" s="20">
        <f t="shared" si="29"/>
        <v>58.888888888890321</v>
      </c>
      <c r="T109" s="21">
        <f t="shared" si="29"/>
        <v>48.288888888890405</v>
      </c>
      <c r="U109" s="21">
        <f t="shared" si="30"/>
        <v>53</v>
      </c>
      <c r="V109" s="21">
        <f t="shared" si="31"/>
        <v>55.944444444445935</v>
      </c>
      <c r="W109" s="22">
        <f t="shared" si="31"/>
        <v>45.344444444444605</v>
      </c>
      <c r="X109" s="22">
        <f t="shared" si="31"/>
        <v>50.055555555554164</v>
      </c>
      <c r="Y109" s="22">
        <f t="shared" si="31"/>
        <v>53</v>
      </c>
      <c r="Z109" s="23">
        <f t="shared" si="31"/>
        <v>42.399999999998947</v>
      </c>
      <c r="AA109" s="23">
        <f t="shared" si="31"/>
        <v>47.111111111110503</v>
      </c>
      <c r="AB109" s="23">
        <f t="shared" si="31"/>
        <v>50.055555555554164</v>
      </c>
      <c r="AC109" s="24">
        <f t="shared" si="31"/>
        <v>39.45555555555589</v>
      </c>
      <c r="AD109" s="24">
        <f t="shared" si="31"/>
        <v>44.166666666666544</v>
      </c>
      <c r="AE109" s="24">
        <f t="shared" si="27"/>
        <v>47.111111111110503</v>
      </c>
      <c r="AF109" s="25">
        <f t="shared" si="27"/>
        <v>36.511111111110637</v>
      </c>
      <c r="AG109" s="25">
        <f t="shared" si="27"/>
        <v>41.222222222223024</v>
      </c>
      <c r="AH109" s="25">
        <f t="shared" si="27"/>
        <v>44.166666666666544</v>
      </c>
      <c r="AI109" s="26">
        <f t="shared" si="27"/>
        <v>33.56666666666694</v>
      </c>
      <c r="AJ109" s="26">
        <f t="shared" si="27"/>
        <v>38.277777777776976</v>
      </c>
      <c r="AK109" s="26">
        <f t="shared" si="27"/>
        <v>41.222222222223024</v>
      </c>
    </row>
    <row r="110" spans="4:37" ht="20.100000000000001" customHeight="1">
      <c r="D110" s="27">
        <f t="shared" si="14"/>
        <v>0.29722222222222167</v>
      </c>
      <c r="E110" s="16">
        <f t="shared" si="29"/>
        <v>83.22222222222382</v>
      </c>
      <c r="F110" s="16">
        <f t="shared" si="29"/>
        <v>87.977777777778982</v>
      </c>
      <c r="G110" s="16">
        <f t="shared" si="29"/>
        <v>90.94999999999979</v>
      </c>
      <c r="H110" s="17">
        <f t="shared" si="29"/>
        <v>77.27777777777618</v>
      </c>
      <c r="I110" s="17">
        <f t="shared" si="29"/>
        <v>82.033333333331569</v>
      </c>
      <c r="J110" s="17">
        <f t="shared" si="29"/>
        <v>85.005555555554849</v>
      </c>
      <c r="K110" s="18">
        <f t="shared" si="29"/>
        <v>71.333333333334522</v>
      </c>
      <c r="L110" s="18">
        <f t="shared" si="29"/>
        <v>76.088888888889528</v>
      </c>
      <c r="M110" s="18">
        <f t="shared" si="29"/>
        <v>79.061111111112396</v>
      </c>
      <c r="N110" s="19">
        <f t="shared" si="29"/>
        <v>54.688888888888563</v>
      </c>
      <c r="O110" s="19">
        <f t="shared" si="29"/>
        <v>59.444444444445878</v>
      </c>
      <c r="P110" s="19">
        <f t="shared" si="29"/>
        <v>62.416666666665854</v>
      </c>
      <c r="Q110" s="20">
        <f t="shared" si="29"/>
        <v>51.716666666667777</v>
      </c>
      <c r="R110" s="20">
        <f t="shared" si="29"/>
        <v>56.472222222223714</v>
      </c>
      <c r="S110" s="20">
        <f t="shared" si="29"/>
        <v>59.444444444445878</v>
      </c>
      <c r="T110" s="21">
        <f t="shared" si="29"/>
        <v>48.744444444445961</v>
      </c>
      <c r="U110" s="21">
        <f t="shared" si="30"/>
        <v>53.5</v>
      </c>
      <c r="V110" s="21">
        <f t="shared" si="31"/>
        <v>56.472222222223714</v>
      </c>
      <c r="W110" s="22">
        <f t="shared" si="31"/>
        <v>45.772222222222382</v>
      </c>
      <c r="X110" s="22">
        <f t="shared" si="31"/>
        <v>50.527777777776386</v>
      </c>
      <c r="Y110" s="22">
        <f t="shared" si="31"/>
        <v>53.5</v>
      </c>
      <c r="Z110" s="23">
        <f t="shared" si="31"/>
        <v>42.799999999998946</v>
      </c>
      <c r="AA110" s="23">
        <f t="shared" si="31"/>
        <v>47.555555555554946</v>
      </c>
      <c r="AB110" s="23">
        <f t="shared" si="31"/>
        <v>50.527777777776386</v>
      </c>
      <c r="AC110" s="24">
        <f t="shared" si="31"/>
        <v>39.82777777777811</v>
      </c>
      <c r="AD110" s="24">
        <f t="shared" si="31"/>
        <v>44.583333333333208</v>
      </c>
      <c r="AE110" s="24">
        <f t="shared" si="27"/>
        <v>47.555555555554946</v>
      </c>
      <c r="AF110" s="25">
        <f t="shared" si="27"/>
        <v>36.855555555555078</v>
      </c>
      <c r="AG110" s="25">
        <f t="shared" si="27"/>
        <v>41.61111111111191</v>
      </c>
      <c r="AH110" s="25">
        <f t="shared" si="27"/>
        <v>44.583333333333208</v>
      </c>
      <c r="AI110" s="26">
        <f t="shared" si="27"/>
        <v>33.88333333333361</v>
      </c>
      <c r="AJ110" s="26">
        <f t="shared" si="27"/>
        <v>38.63888888888809</v>
      </c>
      <c r="AK110" s="26">
        <f t="shared" si="27"/>
        <v>41.61111111111191</v>
      </c>
    </row>
    <row r="111" spans="4:37" ht="20.100000000000001" customHeight="1">
      <c r="D111" s="27">
        <f t="shared" si="14"/>
        <v>0.29999999999999943</v>
      </c>
      <c r="E111" s="16">
        <f t="shared" si="29"/>
        <v>84.000000000001592</v>
      </c>
      <c r="F111" s="16">
        <f t="shared" si="29"/>
        <v>88.800000000001205</v>
      </c>
      <c r="G111" s="16">
        <f t="shared" si="29"/>
        <v>91.799999999999784</v>
      </c>
      <c r="H111" s="17">
        <f t="shared" si="29"/>
        <v>77.999999999998408</v>
      </c>
      <c r="I111" s="17">
        <f t="shared" si="29"/>
        <v>82.799999999998235</v>
      </c>
      <c r="J111" s="17">
        <f t="shared" si="29"/>
        <v>85.799999999999301</v>
      </c>
      <c r="K111" s="18">
        <f t="shared" si="29"/>
        <v>72.000000000001194</v>
      </c>
      <c r="L111" s="18">
        <f t="shared" si="29"/>
        <v>76.800000000000637</v>
      </c>
      <c r="M111" s="18">
        <f t="shared" si="29"/>
        <v>79.80000000000129</v>
      </c>
      <c r="N111" s="19">
        <f t="shared" si="29"/>
        <v>55.199999999999676</v>
      </c>
      <c r="O111" s="19">
        <f t="shared" si="29"/>
        <v>60.000000000001435</v>
      </c>
      <c r="P111" s="19">
        <f t="shared" si="29"/>
        <v>62.99999999999919</v>
      </c>
      <c r="Q111" s="20">
        <f t="shared" si="29"/>
        <v>52.200000000001111</v>
      </c>
      <c r="R111" s="20">
        <f t="shared" si="29"/>
        <v>57.000000000001492</v>
      </c>
      <c r="S111" s="20">
        <f t="shared" si="29"/>
        <v>60.000000000001435</v>
      </c>
      <c r="T111" s="21">
        <f t="shared" si="29"/>
        <v>49.200000000001516</v>
      </c>
      <c r="U111" s="21">
        <f t="shared" si="30"/>
        <v>54</v>
      </c>
      <c r="V111" s="21">
        <f t="shared" si="31"/>
        <v>57.000000000001492</v>
      </c>
      <c r="W111" s="22">
        <f t="shared" si="31"/>
        <v>46.200000000000159</v>
      </c>
      <c r="X111" s="22">
        <f t="shared" si="31"/>
        <v>50.999999999998607</v>
      </c>
      <c r="Y111" s="22">
        <f t="shared" si="31"/>
        <v>54</v>
      </c>
      <c r="Z111" s="23">
        <f t="shared" si="31"/>
        <v>43.199999999998944</v>
      </c>
      <c r="AA111" s="23">
        <f t="shared" si="31"/>
        <v>47.999999999999389</v>
      </c>
      <c r="AB111" s="23">
        <f t="shared" si="31"/>
        <v>50.999999999998607</v>
      </c>
      <c r="AC111" s="24">
        <f t="shared" si="31"/>
        <v>40.20000000000033</v>
      </c>
      <c r="AD111" s="24">
        <f t="shared" si="31"/>
        <v>44.999999999999872</v>
      </c>
      <c r="AE111" s="24">
        <f t="shared" si="27"/>
        <v>47.999999999999389</v>
      </c>
      <c r="AF111" s="25">
        <f t="shared" si="27"/>
        <v>37.19999999999952</v>
      </c>
      <c r="AG111" s="25">
        <f t="shared" si="27"/>
        <v>42.000000000000796</v>
      </c>
      <c r="AH111" s="25">
        <f t="shared" si="27"/>
        <v>44.999999999999872</v>
      </c>
      <c r="AI111" s="26">
        <f t="shared" si="27"/>
        <v>34.20000000000028</v>
      </c>
      <c r="AJ111" s="26">
        <f t="shared" si="27"/>
        <v>38.999999999999204</v>
      </c>
      <c r="AK111" s="26">
        <f t="shared" si="27"/>
        <v>42.000000000000796</v>
      </c>
    </row>
    <row r="112" spans="4:37" ht="20.100000000000001" customHeight="1">
      <c r="D112" s="27">
        <f t="shared" si="14"/>
        <v>0.3027777777777772</v>
      </c>
      <c r="E112" s="16">
        <f t="shared" si="29"/>
        <v>84.777777777779363</v>
      </c>
      <c r="F112" s="16">
        <f t="shared" si="29"/>
        <v>89.622222222223428</v>
      </c>
      <c r="G112" s="16">
        <f t="shared" si="29"/>
        <v>92.649999999999778</v>
      </c>
      <c r="H112" s="17">
        <f t="shared" si="29"/>
        <v>78.722222222220637</v>
      </c>
      <c r="I112" s="17">
        <f t="shared" si="29"/>
        <v>83.566666666664901</v>
      </c>
      <c r="J112" s="17">
        <f t="shared" si="29"/>
        <v>86.594444444443752</v>
      </c>
      <c r="K112" s="18">
        <f t="shared" si="29"/>
        <v>72.666666666667865</v>
      </c>
      <c r="L112" s="18">
        <f t="shared" si="29"/>
        <v>77.511111111111745</v>
      </c>
      <c r="M112" s="18">
        <f t="shared" si="29"/>
        <v>80.538888888890185</v>
      </c>
      <c r="N112" s="19">
        <f t="shared" si="29"/>
        <v>55.711111111110789</v>
      </c>
      <c r="O112" s="19">
        <f t="shared" si="29"/>
        <v>60.555555555556992</v>
      </c>
      <c r="P112" s="19">
        <f t="shared" si="29"/>
        <v>63.583333333332526</v>
      </c>
      <c r="Q112" s="20">
        <f t="shared" si="29"/>
        <v>52.683333333334446</v>
      </c>
      <c r="R112" s="20">
        <f t="shared" si="29"/>
        <v>57.527777777779271</v>
      </c>
      <c r="S112" s="20">
        <f t="shared" si="29"/>
        <v>60.555555555556992</v>
      </c>
      <c r="T112" s="21">
        <f t="shared" ref="T112:AI130" si="32">T113-(T$363/360)</f>
        <v>49.655555555557072</v>
      </c>
      <c r="U112" s="21">
        <f t="shared" si="32"/>
        <v>54.5</v>
      </c>
      <c r="V112" s="21">
        <f t="shared" si="32"/>
        <v>57.527777777779271</v>
      </c>
      <c r="W112" s="22">
        <f t="shared" si="32"/>
        <v>46.627777777777936</v>
      </c>
      <c r="X112" s="22">
        <f t="shared" si="32"/>
        <v>51.472222222220829</v>
      </c>
      <c r="Y112" s="22">
        <f t="shared" si="32"/>
        <v>54.5</v>
      </c>
      <c r="Z112" s="23">
        <f t="shared" si="32"/>
        <v>43.599999999998943</v>
      </c>
      <c r="AA112" s="23">
        <f t="shared" si="32"/>
        <v>48.444444444443832</v>
      </c>
      <c r="AB112" s="23">
        <f t="shared" si="32"/>
        <v>51.472222222220829</v>
      </c>
      <c r="AC112" s="24">
        <f t="shared" si="32"/>
        <v>40.57222222222255</v>
      </c>
      <c r="AD112" s="24">
        <f t="shared" si="32"/>
        <v>45.416666666666536</v>
      </c>
      <c r="AE112" s="24">
        <f t="shared" si="27"/>
        <v>48.444444444443832</v>
      </c>
      <c r="AF112" s="25">
        <f t="shared" si="27"/>
        <v>37.544444444443961</v>
      </c>
      <c r="AG112" s="25">
        <f t="shared" si="27"/>
        <v>42.388888888889682</v>
      </c>
      <c r="AH112" s="25">
        <f t="shared" si="27"/>
        <v>45.416666666666536</v>
      </c>
      <c r="AI112" s="26">
        <f t="shared" si="27"/>
        <v>34.51666666666695</v>
      </c>
      <c r="AJ112" s="26">
        <f t="shared" si="27"/>
        <v>39.361111111110318</v>
      </c>
      <c r="AK112" s="26">
        <f t="shared" si="27"/>
        <v>42.388888888889682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85.555555555557135</v>
      </c>
      <c r="F113" s="16">
        <f t="shared" si="33"/>
        <v>90.444444444445651</v>
      </c>
      <c r="G113" s="16">
        <f t="shared" si="33"/>
        <v>93.499999999999773</v>
      </c>
      <c r="H113" s="17">
        <f t="shared" si="33"/>
        <v>79.444444444442865</v>
      </c>
      <c r="I113" s="17">
        <f t="shared" si="33"/>
        <v>84.333333333331566</v>
      </c>
      <c r="J113" s="17">
        <f t="shared" si="33"/>
        <v>87.388888888888204</v>
      </c>
      <c r="K113" s="18">
        <f t="shared" si="33"/>
        <v>73.333333333334537</v>
      </c>
      <c r="L113" s="18">
        <f t="shared" si="33"/>
        <v>78.222222222222854</v>
      </c>
      <c r="M113" s="18">
        <f t="shared" si="33"/>
        <v>81.277777777779079</v>
      </c>
      <c r="N113" s="19">
        <f t="shared" si="33"/>
        <v>56.222222222221902</v>
      </c>
      <c r="O113" s="19">
        <f t="shared" si="33"/>
        <v>61.11111111111255</v>
      </c>
      <c r="P113" s="19">
        <f t="shared" si="33"/>
        <v>64.166666666665861</v>
      </c>
      <c r="Q113" s="20">
        <f t="shared" si="33"/>
        <v>53.16666666666778</v>
      </c>
      <c r="R113" s="20">
        <f t="shared" si="33"/>
        <v>58.055555555557049</v>
      </c>
      <c r="S113" s="20">
        <f t="shared" si="33"/>
        <v>61.11111111111255</v>
      </c>
      <c r="T113" s="21">
        <f t="shared" si="33"/>
        <v>50.111111111112628</v>
      </c>
      <c r="U113" s="21">
        <f t="shared" si="32"/>
        <v>55</v>
      </c>
      <c r="V113" s="21">
        <f t="shared" si="32"/>
        <v>58.055555555557049</v>
      </c>
      <c r="W113" s="22">
        <f t="shared" si="32"/>
        <v>47.055555555555713</v>
      </c>
      <c r="X113" s="22">
        <f t="shared" si="32"/>
        <v>51.94444444444305</v>
      </c>
      <c r="Y113" s="22">
        <f t="shared" si="32"/>
        <v>55</v>
      </c>
      <c r="Z113" s="23">
        <f t="shared" si="32"/>
        <v>43.999999999998941</v>
      </c>
      <c r="AA113" s="23">
        <f t="shared" si="32"/>
        <v>48.888888888888275</v>
      </c>
      <c r="AB113" s="23">
        <f t="shared" si="32"/>
        <v>51.94444444444305</v>
      </c>
      <c r="AC113" s="24">
        <f t="shared" si="32"/>
        <v>40.94444444444477</v>
      </c>
      <c r="AD113" s="24">
        <f t="shared" si="32"/>
        <v>45.833333333333201</v>
      </c>
      <c r="AE113" s="24">
        <f t="shared" si="27"/>
        <v>48.888888888888275</v>
      </c>
      <c r="AF113" s="25">
        <f t="shared" si="27"/>
        <v>37.888888888888403</v>
      </c>
      <c r="AG113" s="25">
        <f t="shared" si="27"/>
        <v>42.777777777778567</v>
      </c>
      <c r="AH113" s="25">
        <f t="shared" si="27"/>
        <v>45.833333333333201</v>
      </c>
      <c r="AI113" s="26">
        <f t="shared" si="27"/>
        <v>34.83333333333362</v>
      </c>
      <c r="AJ113" s="26">
        <f t="shared" si="27"/>
        <v>39.722222222221433</v>
      </c>
      <c r="AK113" s="26">
        <f t="shared" si="27"/>
        <v>42.777777777778567</v>
      </c>
    </row>
    <row r="114" spans="4:37" ht="20.100000000000001" customHeight="1">
      <c r="D114" s="27">
        <f t="shared" si="14"/>
        <v>0.30833333333333274</v>
      </c>
      <c r="E114" s="16">
        <f t="shared" si="33"/>
        <v>86.333333333334906</v>
      </c>
      <c r="F114" s="16">
        <f t="shared" si="33"/>
        <v>91.266666666667874</v>
      </c>
      <c r="G114" s="16">
        <f t="shared" si="33"/>
        <v>94.349999999999767</v>
      </c>
      <c r="H114" s="17">
        <f t="shared" si="33"/>
        <v>80.166666666665094</v>
      </c>
      <c r="I114" s="17">
        <f t="shared" si="33"/>
        <v>85.099999999998232</v>
      </c>
      <c r="J114" s="17">
        <f t="shared" si="33"/>
        <v>88.183333333332655</v>
      </c>
      <c r="K114" s="18">
        <f t="shared" si="33"/>
        <v>74.000000000001208</v>
      </c>
      <c r="L114" s="18">
        <f t="shared" si="33"/>
        <v>78.933333333333962</v>
      </c>
      <c r="M114" s="18">
        <f t="shared" si="33"/>
        <v>82.016666666667973</v>
      </c>
      <c r="N114" s="19">
        <f t="shared" si="33"/>
        <v>56.733333333333015</v>
      </c>
      <c r="O114" s="19">
        <f t="shared" si="33"/>
        <v>61.666666666668107</v>
      </c>
      <c r="P114" s="19">
        <f t="shared" si="33"/>
        <v>64.74999999999919</v>
      </c>
      <c r="Q114" s="20">
        <f t="shared" si="33"/>
        <v>53.650000000001114</v>
      </c>
      <c r="R114" s="20">
        <f t="shared" si="33"/>
        <v>58.583333333334828</v>
      </c>
      <c r="S114" s="20">
        <f t="shared" si="33"/>
        <v>61.666666666668107</v>
      </c>
      <c r="T114" s="21">
        <f t="shared" si="33"/>
        <v>50.566666666668183</v>
      </c>
      <c r="U114" s="21">
        <f t="shared" si="32"/>
        <v>55.5</v>
      </c>
      <c r="V114" s="21">
        <f t="shared" si="32"/>
        <v>58.583333333334828</v>
      </c>
      <c r="W114" s="22">
        <f t="shared" si="32"/>
        <v>47.483333333333491</v>
      </c>
      <c r="X114" s="22">
        <f t="shared" si="32"/>
        <v>52.416666666665272</v>
      </c>
      <c r="Y114" s="22">
        <f t="shared" si="32"/>
        <v>55.5</v>
      </c>
      <c r="Z114" s="23">
        <f t="shared" si="32"/>
        <v>44.39999999999894</v>
      </c>
      <c r="AA114" s="23">
        <f t="shared" si="32"/>
        <v>49.333333333332718</v>
      </c>
      <c r="AB114" s="23">
        <f t="shared" si="32"/>
        <v>52.416666666665272</v>
      </c>
      <c r="AC114" s="24">
        <f t="shared" si="32"/>
        <v>41.31666666666699</v>
      </c>
      <c r="AD114" s="24">
        <f t="shared" si="32"/>
        <v>46.249999999999865</v>
      </c>
      <c r="AE114" s="24">
        <f t="shared" si="27"/>
        <v>49.333333333332718</v>
      </c>
      <c r="AF114" s="25">
        <f t="shared" si="27"/>
        <v>38.233333333332844</v>
      </c>
      <c r="AG114" s="25">
        <f t="shared" si="27"/>
        <v>43.166666666667453</v>
      </c>
      <c r="AH114" s="25">
        <f t="shared" si="27"/>
        <v>46.249999999999865</v>
      </c>
      <c r="AI114" s="26">
        <f t="shared" si="27"/>
        <v>35.15000000000029</v>
      </c>
      <c r="AJ114" s="26">
        <f t="shared" si="27"/>
        <v>40.083333333332547</v>
      </c>
      <c r="AK114" s="26">
        <f t="shared" si="27"/>
        <v>43.166666666667453</v>
      </c>
    </row>
    <row r="115" spans="4:37" ht="20.100000000000001" customHeight="1">
      <c r="D115" s="27">
        <f t="shared" si="14"/>
        <v>0.31111111111111051</v>
      </c>
      <c r="E115" s="16">
        <f t="shared" si="33"/>
        <v>87.111111111112677</v>
      </c>
      <c r="F115" s="16">
        <f t="shared" si="33"/>
        <v>92.088888888890096</v>
      </c>
      <c r="G115" s="16">
        <f t="shared" si="33"/>
        <v>95.199999999999761</v>
      </c>
      <c r="H115" s="17">
        <f t="shared" si="33"/>
        <v>80.888888888887323</v>
      </c>
      <c r="I115" s="17">
        <f t="shared" si="33"/>
        <v>85.866666666664898</v>
      </c>
      <c r="J115" s="17">
        <f t="shared" si="33"/>
        <v>88.977777777777106</v>
      </c>
      <c r="K115" s="18">
        <f t="shared" si="33"/>
        <v>74.666666666667879</v>
      </c>
      <c r="L115" s="18">
        <f t="shared" si="33"/>
        <v>79.644444444445071</v>
      </c>
      <c r="M115" s="18">
        <f t="shared" si="33"/>
        <v>82.755555555556867</v>
      </c>
      <c r="N115" s="19">
        <f t="shared" si="33"/>
        <v>57.244444444444127</v>
      </c>
      <c r="O115" s="19">
        <f t="shared" si="33"/>
        <v>62.222222222223664</v>
      </c>
      <c r="P115" s="19">
        <f t="shared" si="33"/>
        <v>65.333333333332519</v>
      </c>
      <c r="Q115" s="20">
        <f t="shared" si="33"/>
        <v>54.133333333334448</v>
      </c>
      <c r="R115" s="20">
        <f t="shared" si="33"/>
        <v>59.111111111112606</v>
      </c>
      <c r="S115" s="20">
        <f t="shared" si="33"/>
        <v>62.222222222223664</v>
      </c>
      <c r="T115" s="21">
        <f t="shared" si="33"/>
        <v>51.022222222223739</v>
      </c>
      <c r="U115" s="21">
        <f t="shared" si="32"/>
        <v>56</v>
      </c>
      <c r="V115" s="21">
        <f t="shared" si="32"/>
        <v>59.111111111112606</v>
      </c>
      <c r="W115" s="22">
        <f t="shared" si="32"/>
        <v>47.911111111111268</v>
      </c>
      <c r="X115" s="22">
        <f t="shared" si="32"/>
        <v>52.888888888887493</v>
      </c>
      <c r="Y115" s="22">
        <f t="shared" si="32"/>
        <v>56</v>
      </c>
      <c r="Z115" s="23">
        <f t="shared" si="32"/>
        <v>44.799999999998938</v>
      </c>
      <c r="AA115" s="23">
        <f t="shared" si="32"/>
        <v>49.77777777777716</v>
      </c>
      <c r="AB115" s="23">
        <f t="shared" si="32"/>
        <v>52.888888888887493</v>
      </c>
      <c r="AC115" s="24">
        <f t="shared" si="32"/>
        <v>41.68888888888921</v>
      </c>
      <c r="AD115" s="24">
        <f t="shared" si="32"/>
        <v>46.666666666666529</v>
      </c>
      <c r="AE115" s="24">
        <f t="shared" si="27"/>
        <v>49.77777777777716</v>
      </c>
      <c r="AF115" s="25">
        <f t="shared" si="27"/>
        <v>38.577777777777285</v>
      </c>
      <c r="AG115" s="25">
        <f t="shared" si="27"/>
        <v>43.555555555556339</v>
      </c>
      <c r="AH115" s="25">
        <f t="shared" si="27"/>
        <v>46.666666666666529</v>
      </c>
      <c r="AI115" s="26">
        <f t="shared" si="27"/>
        <v>35.46666666666696</v>
      </c>
      <c r="AJ115" s="26">
        <f t="shared" si="27"/>
        <v>40.444444444443661</v>
      </c>
      <c r="AK115" s="26">
        <f t="shared" si="27"/>
        <v>43.555555555556339</v>
      </c>
    </row>
    <row r="116" spans="4:37" ht="20.100000000000001" customHeight="1">
      <c r="D116" s="27">
        <f t="shared" si="14"/>
        <v>0.31388888888888827</v>
      </c>
      <c r="E116" s="16">
        <f t="shared" si="33"/>
        <v>87.888888888890449</v>
      </c>
      <c r="F116" s="16">
        <f t="shared" si="33"/>
        <v>92.911111111112319</v>
      </c>
      <c r="G116" s="16">
        <f t="shared" si="33"/>
        <v>96.049999999999756</v>
      </c>
      <c r="H116" s="17">
        <f t="shared" si="33"/>
        <v>81.611111111109551</v>
      </c>
      <c r="I116" s="17">
        <f t="shared" si="33"/>
        <v>86.633333333331564</v>
      </c>
      <c r="J116" s="17">
        <f t="shared" si="33"/>
        <v>89.772222222221558</v>
      </c>
      <c r="K116" s="18">
        <f t="shared" si="33"/>
        <v>75.333333333334551</v>
      </c>
      <c r="L116" s="18">
        <f t="shared" si="33"/>
        <v>80.35555555555618</v>
      </c>
      <c r="M116" s="18">
        <f t="shared" si="33"/>
        <v>83.494444444445762</v>
      </c>
      <c r="N116" s="19">
        <f t="shared" si="33"/>
        <v>57.75555555555524</v>
      </c>
      <c r="O116" s="19">
        <f t="shared" si="33"/>
        <v>62.777777777779221</v>
      </c>
      <c r="P116" s="19">
        <f t="shared" si="33"/>
        <v>65.916666666665847</v>
      </c>
      <c r="Q116" s="20">
        <f t="shared" si="33"/>
        <v>54.616666666667783</v>
      </c>
      <c r="R116" s="20">
        <f t="shared" si="33"/>
        <v>59.638888888890385</v>
      </c>
      <c r="S116" s="20">
        <f t="shared" si="33"/>
        <v>62.777777777779221</v>
      </c>
      <c r="T116" s="21">
        <f t="shared" si="33"/>
        <v>51.477777777779295</v>
      </c>
      <c r="U116" s="21">
        <f t="shared" si="32"/>
        <v>56.5</v>
      </c>
      <c r="V116" s="21">
        <f t="shared" si="32"/>
        <v>59.638888888890385</v>
      </c>
      <c r="W116" s="22">
        <f t="shared" si="32"/>
        <v>48.338888888889045</v>
      </c>
      <c r="X116" s="22">
        <f t="shared" si="32"/>
        <v>53.361111111109714</v>
      </c>
      <c r="Y116" s="22">
        <f t="shared" si="32"/>
        <v>56.5</v>
      </c>
      <c r="Z116" s="23">
        <f t="shared" si="32"/>
        <v>45.199999999998937</v>
      </c>
      <c r="AA116" s="23">
        <f t="shared" si="32"/>
        <v>50.222222222221603</v>
      </c>
      <c r="AB116" s="23">
        <f t="shared" si="32"/>
        <v>53.361111111109714</v>
      </c>
      <c r="AC116" s="24">
        <f t="shared" si="32"/>
        <v>42.06111111111143</v>
      </c>
      <c r="AD116" s="24">
        <f t="shared" si="32"/>
        <v>47.083333333333194</v>
      </c>
      <c r="AE116" s="24">
        <f t="shared" si="27"/>
        <v>50.222222222221603</v>
      </c>
      <c r="AF116" s="25">
        <f t="shared" si="27"/>
        <v>38.922222222221727</v>
      </c>
      <c r="AG116" s="25">
        <f t="shared" si="27"/>
        <v>43.944444444445224</v>
      </c>
      <c r="AH116" s="25">
        <f t="shared" si="27"/>
        <v>47.083333333333194</v>
      </c>
      <c r="AI116" s="26">
        <f t="shared" si="27"/>
        <v>35.78333333333363</v>
      </c>
      <c r="AJ116" s="26">
        <f t="shared" si="27"/>
        <v>40.805555555554776</v>
      </c>
      <c r="AK116" s="26">
        <f t="shared" si="27"/>
        <v>43.944444444445224</v>
      </c>
    </row>
    <row r="117" spans="4:37" ht="20.100000000000001" customHeight="1">
      <c r="D117" s="27">
        <f t="shared" si="14"/>
        <v>0.31666666666666604</v>
      </c>
      <c r="E117" s="16">
        <f t="shared" si="33"/>
        <v>88.66666666666822</v>
      </c>
      <c r="F117" s="16">
        <f t="shared" si="33"/>
        <v>93.733333333334542</v>
      </c>
      <c r="G117" s="16">
        <f t="shared" si="33"/>
        <v>96.89999999999975</v>
      </c>
      <c r="H117" s="17">
        <f t="shared" si="33"/>
        <v>82.33333333333178</v>
      </c>
      <c r="I117" s="17">
        <f t="shared" si="33"/>
        <v>87.399999999998229</v>
      </c>
      <c r="J117" s="17">
        <f t="shared" si="33"/>
        <v>90.566666666666009</v>
      </c>
      <c r="K117" s="18">
        <f t="shared" si="33"/>
        <v>76.000000000001222</v>
      </c>
      <c r="L117" s="18">
        <f t="shared" si="33"/>
        <v>81.066666666667288</v>
      </c>
      <c r="M117" s="18">
        <f t="shared" si="33"/>
        <v>84.233333333334656</v>
      </c>
      <c r="N117" s="19">
        <f t="shared" si="33"/>
        <v>58.266666666666353</v>
      </c>
      <c r="O117" s="19">
        <f t="shared" si="33"/>
        <v>63.333333333334778</v>
      </c>
      <c r="P117" s="19">
        <f t="shared" si="33"/>
        <v>66.499999999999176</v>
      </c>
      <c r="Q117" s="20">
        <f t="shared" si="33"/>
        <v>55.100000000001117</v>
      </c>
      <c r="R117" s="20">
        <f t="shared" si="33"/>
        <v>60.166666666668164</v>
      </c>
      <c r="S117" s="20">
        <f t="shared" si="33"/>
        <v>63.333333333334778</v>
      </c>
      <c r="T117" s="21">
        <f t="shared" si="33"/>
        <v>51.933333333334851</v>
      </c>
      <c r="U117" s="21">
        <f t="shared" si="32"/>
        <v>57</v>
      </c>
      <c r="V117" s="21">
        <f t="shared" si="32"/>
        <v>60.166666666668164</v>
      </c>
      <c r="W117" s="22">
        <f t="shared" si="32"/>
        <v>48.766666666666822</v>
      </c>
      <c r="X117" s="22">
        <f t="shared" si="32"/>
        <v>53.833333333331936</v>
      </c>
      <c r="Y117" s="22">
        <f t="shared" si="32"/>
        <v>57</v>
      </c>
      <c r="Z117" s="23">
        <f t="shared" si="32"/>
        <v>45.599999999998936</v>
      </c>
      <c r="AA117" s="23">
        <f t="shared" si="32"/>
        <v>50.666666666666046</v>
      </c>
      <c r="AB117" s="23">
        <f t="shared" si="32"/>
        <v>53.833333333331936</v>
      </c>
      <c r="AC117" s="24">
        <f t="shared" si="32"/>
        <v>42.43333333333365</v>
      </c>
      <c r="AD117" s="24">
        <f t="shared" si="32"/>
        <v>47.499999999999858</v>
      </c>
      <c r="AE117" s="24">
        <f t="shared" si="32"/>
        <v>50.666666666666046</v>
      </c>
      <c r="AF117" s="25">
        <f t="shared" si="32"/>
        <v>39.266666666666168</v>
      </c>
      <c r="AG117" s="25">
        <f t="shared" si="32"/>
        <v>44.33333333333411</v>
      </c>
      <c r="AH117" s="25">
        <f t="shared" si="32"/>
        <v>47.499999999999858</v>
      </c>
      <c r="AI117" s="26">
        <f t="shared" si="32"/>
        <v>36.1000000000003</v>
      </c>
      <c r="AJ117" s="26">
        <f t="shared" si="27"/>
        <v>41.16666666666589</v>
      </c>
      <c r="AK117" s="26">
        <f t="shared" si="27"/>
        <v>44.33333333333411</v>
      </c>
    </row>
    <row r="118" spans="4:37" ht="20.100000000000001" customHeight="1">
      <c r="D118" s="27">
        <f t="shared" si="14"/>
        <v>0.31944444444444381</v>
      </c>
      <c r="E118" s="16">
        <f t="shared" si="33"/>
        <v>89.444444444445992</v>
      </c>
      <c r="F118" s="16">
        <f t="shared" si="33"/>
        <v>94.555555555556765</v>
      </c>
      <c r="G118" s="16">
        <f t="shared" si="33"/>
        <v>97.749999999999744</v>
      </c>
      <c r="H118" s="17">
        <f t="shared" si="33"/>
        <v>83.055555555554008</v>
      </c>
      <c r="I118" s="17">
        <f t="shared" si="33"/>
        <v>88.166666666664895</v>
      </c>
      <c r="J118" s="17">
        <f t="shared" si="33"/>
        <v>91.361111111110461</v>
      </c>
      <c r="K118" s="18">
        <f t="shared" si="33"/>
        <v>76.666666666667894</v>
      </c>
      <c r="L118" s="18">
        <f t="shared" si="33"/>
        <v>81.777777777778397</v>
      </c>
      <c r="M118" s="18">
        <f t="shared" si="33"/>
        <v>84.97222222222355</v>
      </c>
      <c r="N118" s="19">
        <f t="shared" si="33"/>
        <v>58.777777777777466</v>
      </c>
      <c r="O118" s="19">
        <f t="shared" si="33"/>
        <v>63.888888888890335</v>
      </c>
      <c r="P118" s="19">
        <f t="shared" si="33"/>
        <v>67.083333333332504</v>
      </c>
      <c r="Q118" s="20">
        <f t="shared" si="33"/>
        <v>55.583333333334451</v>
      </c>
      <c r="R118" s="20">
        <f t="shared" si="33"/>
        <v>60.694444444445942</v>
      </c>
      <c r="S118" s="20">
        <f t="shared" si="33"/>
        <v>63.888888888890335</v>
      </c>
      <c r="T118" s="21">
        <f t="shared" si="33"/>
        <v>52.388888888890406</v>
      </c>
      <c r="U118" s="21">
        <f t="shared" si="32"/>
        <v>57.5</v>
      </c>
      <c r="V118" s="21">
        <f t="shared" si="32"/>
        <v>60.694444444445942</v>
      </c>
      <c r="W118" s="22">
        <f t="shared" si="32"/>
        <v>49.194444444444599</v>
      </c>
      <c r="X118" s="22">
        <f t="shared" si="32"/>
        <v>54.305555555554157</v>
      </c>
      <c r="Y118" s="22">
        <f t="shared" si="32"/>
        <v>57.5</v>
      </c>
      <c r="Z118" s="23">
        <f t="shared" si="32"/>
        <v>45.999999999998934</v>
      </c>
      <c r="AA118" s="23">
        <f t="shared" si="32"/>
        <v>51.111111111110489</v>
      </c>
      <c r="AB118" s="23">
        <f t="shared" si="32"/>
        <v>54.305555555554157</v>
      </c>
      <c r="AC118" s="24">
        <f t="shared" si="32"/>
        <v>42.80555555555587</v>
      </c>
      <c r="AD118" s="24">
        <f t="shared" si="32"/>
        <v>47.916666666666522</v>
      </c>
      <c r="AE118" s="24">
        <f t="shared" si="32"/>
        <v>51.111111111110489</v>
      </c>
      <c r="AF118" s="25">
        <f t="shared" si="32"/>
        <v>39.61111111111061</v>
      </c>
      <c r="AG118" s="25">
        <f t="shared" si="32"/>
        <v>44.722222222222996</v>
      </c>
      <c r="AH118" s="25">
        <f t="shared" si="32"/>
        <v>47.916666666666522</v>
      </c>
      <c r="AI118" s="26">
        <f t="shared" si="32"/>
        <v>36.41666666666697</v>
      </c>
      <c r="AJ118" s="26">
        <f t="shared" ref="AJ118:AK145" si="34">AJ119-(AJ$363/360)</f>
        <v>41.527777777777004</v>
      </c>
      <c r="AK118" s="26">
        <f t="shared" si="34"/>
        <v>44.722222222222996</v>
      </c>
    </row>
    <row r="119" spans="4:37" ht="20.100000000000001" customHeight="1">
      <c r="D119" s="27">
        <f t="shared" si="14"/>
        <v>0.32222222222222158</v>
      </c>
      <c r="E119" s="16">
        <f t="shared" si="33"/>
        <v>90.222222222223763</v>
      </c>
      <c r="F119" s="16">
        <f t="shared" si="33"/>
        <v>95.377777777778988</v>
      </c>
      <c r="G119" s="16">
        <f t="shared" si="33"/>
        <v>98.599999999999739</v>
      </c>
      <c r="H119" s="17">
        <f t="shared" si="33"/>
        <v>83.777777777776237</v>
      </c>
      <c r="I119" s="17">
        <f t="shared" si="33"/>
        <v>88.933333333331561</v>
      </c>
      <c r="J119" s="17">
        <f t="shared" si="33"/>
        <v>92.155555555554912</v>
      </c>
      <c r="K119" s="18">
        <f t="shared" si="33"/>
        <v>77.333333333334565</v>
      </c>
      <c r="L119" s="18">
        <f t="shared" si="33"/>
        <v>82.488888888889505</v>
      </c>
      <c r="M119" s="18">
        <f t="shared" si="33"/>
        <v>85.711111111112444</v>
      </c>
      <c r="N119" s="19">
        <f t="shared" si="33"/>
        <v>59.288888888888579</v>
      </c>
      <c r="O119" s="19">
        <f t="shared" si="33"/>
        <v>64.444444444445892</v>
      </c>
      <c r="P119" s="19">
        <f t="shared" si="33"/>
        <v>67.666666666665833</v>
      </c>
      <c r="Q119" s="20">
        <f t="shared" si="33"/>
        <v>56.066666666667786</v>
      </c>
      <c r="R119" s="20">
        <f t="shared" si="33"/>
        <v>61.222222222223721</v>
      </c>
      <c r="S119" s="20">
        <f t="shared" si="33"/>
        <v>64.444444444445892</v>
      </c>
      <c r="T119" s="21">
        <f t="shared" si="33"/>
        <v>52.844444444445962</v>
      </c>
      <c r="U119" s="21">
        <f t="shared" si="32"/>
        <v>58</v>
      </c>
      <c r="V119" s="21">
        <f t="shared" si="32"/>
        <v>61.222222222223721</v>
      </c>
      <c r="W119" s="22">
        <f t="shared" si="32"/>
        <v>49.622222222222376</v>
      </c>
      <c r="X119" s="22">
        <f t="shared" si="32"/>
        <v>54.777777777776379</v>
      </c>
      <c r="Y119" s="22">
        <f t="shared" si="32"/>
        <v>58</v>
      </c>
      <c r="Z119" s="23">
        <f t="shared" si="32"/>
        <v>46.399999999998933</v>
      </c>
      <c r="AA119" s="23">
        <f t="shared" si="32"/>
        <v>51.555555555554932</v>
      </c>
      <c r="AB119" s="23">
        <f t="shared" si="32"/>
        <v>54.777777777776379</v>
      </c>
      <c r="AC119" s="24">
        <f t="shared" si="32"/>
        <v>43.17777777777809</v>
      </c>
      <c r="AD119" s="24">
        <f t="shared" si="32"/>
        <v>48.333333333333186</v>
      </c>
      <c r="AE119" s="24">
        <f t="shared" si="32"/>
        <v>51.555555555554932</v>
      </c>
      <c r="AF119" s="25">
        <f t="shared" si="32"/>
        <v>39.955555555555051</v>
      </c>
      <c r="AG119" s="25">
        <f t="shared" si="32"/>
        <v>45.111111111111882</v>
      </c>
      <c r="AH119" s="25">
        <f t="shared" si="32"/>
        <v>48.333333333333186</v>
      </c>
      <c r="AI119" s="26">
        <f t="shared" si="32"/>
        <v>36.73333333333364</v>
      </c>
      <c r="AJ119" s="26">
        <f t="shared" si="34"/>
        <v>41.888888888888118</v>
      </c>
      <c r="AK119" s="26">
        <f t="shared" si="34"/>
        <v>45.111111111111882</v>
      </c>
    </row>
    <row r="120" spans="4:37" ht="20.100000000000001" customHeight="1">
      <c r="D120" s="27">
        <f t="shared" si="14"/>
        <v>0.32499999999999934</v>
      </c>
      <c r="E120" s="16">
        <f t="shared" si="33"/>
        <v>91.000000000001535</v>
      </c>
      <c r="F120" s="16">
        <f t="shared" si="33"/>
        <v>96.200000000001211</v>
      </c>
      <c r="G120" s="16">
        <f t="shared" si="33"/>
        <v>99.449999999999733</v>
      </c>
      <c r="H120" s="17">
        <f t="shared" si="33"/>
        <v>84.499999999998465</v>
      </c>
      <c r="I120" s="17">
        <f t="shared" si="33"/>
        <v>89.699999999998226</v>
      </c>
      <c r="J120" s="17">
        <f t="shared" si="33"/>
        <v>92.949999999999363</v>
      </c>
      <c r="K120" s="18">
        <f t="shared" si="33"/>
        <v>78.000000000001236</v>
      </c>
      <c r="L120" s="18">
        <f t="shared" si="33"/>
        <v>83.200000000000614</v>
      </c>
      <c r="M120" s="18">
        <f t="shared" si="33"/>
        <v>86.450000000001339</v>
      </c>
      <c r="N120" s="19">
        <f t="shared" si="33"/>
        <v>59.799999999999692</v>
      </c>
      <c r="O120" s="19">
        <f t="shared" si="33"/>
        <v>65.00000000000145</v>
      </c>
      <c r="P120" s="19">
        <f t="shared" si="33"/>
        <v>68.249999999999162</v>
      </c>
      <c r="Q120" s="20">
        <f t="shared" si="33"/>
        <v>56.55000000000112</v>
      </c>
      <c r="R120" s="20">
        <f t="shared" si="33"/>
        <v>61.750000000001499</v>
      </c>
      <c r="S120" s="20">
        <f t="shared" si="33"/>
        <v>65.00000000000145</v>
      </c>
      <c r="T120" s="21">
        <f t="shared" si="33"/>
        <v>53.300000000001518</v>
      </c>
      <c r="U120" s="21">
        <f t="shared" si="32"/>
        <v>58.5</v>
      </c>
      <c r="V120" s="21">
        <f t="shared" si="32"/>
        <v>61.750000000001499</v>
      </c>
      <c r="W120" s="22">
        <f t="shared" si="32"/>
        <v>50.050000000000153</v>
      </c>
      <c r="X120" s="22">
        <f t="shared" si="32"/>
        <v>55.2499999999986</v>
      </c>
      <c r="Y120" s="22">
        <f t="shared" si="32"/>
        <v>58.5</v>
      </c>
      <c r="Z120" s="23">
        <f t="shared" si="32"/>
        <v>46.799999999998931</v>
      </c>
      <c r="AA120" s="23">
        <f t="shared" si="32"/>
        <v>51.999999999999375</v>
      </c>
      <c r="AB120" s="23">
        <f t="shared" si="32"/>
        <v>55.2499999999986</v>
      </c>
      <c r="AC120" s="24">
        <f t="shared" si="32"/>
        <v>43.55000000000031</v>
      </c>
      <c r="AD120" s="24">
        <f t="shared" si="32"/>
        <v>48.749999999999851</v>
      </c>
      <c r="AE120" s="24">
        <f t="shared" si="32"/>
        <v>51.999999999999375</v>
      </c>
      <c r="AF120" s="25">
        <f t="shared" si="32"/>
        <v>40.299999999999493</v>
      </c>
      <c r="AG120" s="25">
        <f t="shared" si="32"/>
        <v>45.500000000000767</v>
      </c>
      <c r="AH120" s="25">
        <f t="shared" si="32"/>
        <v>48.749999999999851</v>
      </c>
      <c r="AI120" s="26">
        <f t="shared" si="32"/>
        <v>37.05000000000031</v>
      </c>
      <c r="AJ120" s="26">
        <f t="shared" si="34"/>
        <v>42.249999999999233</v>
      </c>
      <c r="AK120" s="26">
        <f t="shared" si="34"/>
        <v>45.500000000000767</v>
      </c>
    </row>
    <row r="121" spans="4:37" ht="20.100000000000001" customHeight="1">
      <c r="D121" s="27">
        <f t="shared" si="14"/>
        <v>0.32777777777777711</v>
      </c>
      <c r="E121" s="16">
        <f t="shared" si="33"/>
        <v>91.777777777779306</v>
      </c>
      <c r="F121" s="16">
        <f t="shared" si="33"/>
        <v>97.022222222223434</v>
      </c>
      <c r="G121" s="16">
        <f t="shared" si="33"/>
        <v>100.29999999999973</v>
      </c>
      <c r="H121" s="17">
        <f t="shared" si="33"/>
        <v>85.222222222220694</v>
      </c>
      <c r="I121" s="17">
        <f t="shared" si="33"/>
        <v>90.466666666664892</v>
      </c>
      <c r="J121" s="17">
        <f t="shared" si="33"/>
        <v>93.744444444443815</v>
      </c>
      <c r="K121" s="18">
        <f t="shared" si="33"/>
        <v>78.666666666667908</v>
      </c>
      <c r="L121" s="18">
        <f t="shared" si="33"/>
        <v>83.911111111111722</v>
      </c>
      <c r="M121" s="18">
        <f t="shared" si="33"/>
        <v>87.188888888890233</v>
      </c>
      <c r="N121" s="19">
        <f t="shared" si="33"/>
        <v>60.311111111110804</v>
      </c>
      <c r="O121" s="19">
        <f t="shared" si="33"/>
        <v>65.555555555557007</v>
      </c>
      <c r="P121" s="19">
        <f t="shared" si="33"/>
        <v>68.83333333333249</v>
      </c>
      <c r="Q121" s="20">
        <f t="shared" si="33"/>
        <v>57.033333333334454</v>
      </c>
      <c r="R121" s="20">
        <f t="shared" si="33"/>
        <v>62.277777777779278</v>
      </c>
      <c r="S121" s="20">
        <f t="shared" si="33"/>
        <v>65.555555555557007</v>
      </c>
      <c r="T121" s="21">
        <f t="shared" si="33"/>
        <v>53.755555555557073</v>
      </c>
      <c r="U121" s="21">
        <f t="shared" si="32"/>
        <v>59</v>
      </c>
      <c r="V121" s="21">
        <f t="shared" si="32"/>
        <v>62.277777777779278</v>
      </c>
      <c r="W121" s="22">
        <f t="shared" si="32"/>
        <v>50.477777777777931</v>
      </c>
      <c r="X121" s="22">
        <f t="shared" si="32"/>
        <v>55.722222222220822</v>
      </c>
      <c r="Y121" s="22">
        <f t="shared" si="32"/>
        <v>59</v>
      </c>
      <c r="Z121" s="23">
        <f t="shared" si="32"/>
        <v>47.19999999999893</v>
      </c>
      <c r="AA121" s="23">
        <f t="shared" si="32"/>
        <v>52.444444444443818</v>
      </c>
      <c r="AB121" s="23">
        <f t="shared" si="32"/>
        <v>55.722222222220822</v>
      </c>
      <c r="AC121" s="24">
        <f t="shared" si="32"/>
        <v>43.92222222222253</v>
      </c>
      <c r="AD121" s="24">
        <f t="shared" si="32"/>
        <v>49.166666666666515</v>
      </c>
      <c r="AE121" s="24">
        <f t="shared" si="32"/>
        <v>52.444444444443818</v>
      </c>
      <c r="AF121" s="25">
        <f t="shared" si="32"/>
        <v>40.644444444443934</v>
      </c>
      <c r="AG121" s="25">
        <f t="shared" si="32"/>
        <v>45.888888888889653</v>
      </c>
      <c r="AH121" s="25">
        <f t="shared" si="32"/>
        <v>49.166666666666515</v>
      </c>
      <c r="AI121" s="26">
        <f t="shared" si="32"/>
        <v>37.36666666666698</v>
      </c>
      <c r="AJ121" s="26">
        <f t="shared" si="34"/>
        <v>42.611111111110347</v>
      </c>
      <c r="AK121" s="26">
        <f t="shared" si="34"/>
        <v>45.888888888889653</v>
      </c>
    </row>
    <row r="122" spans="4:37" ht="20.100000000000001" customHeight="1">
      <c r="D122" s="27">
        <f t="shared" si="14"/>
        <v>0.33055555555555488</v>
      </c>
      <c r="E122" s="16">
        <f t="shared" si="33"/>
        <v>92.555555555557078</v>
      </c>
      <c r="F122" s="16">
        <f t="shared" si="33"/>
        <v>97.844444444445656</v>
      </c>
      <c r="G122" s="16">
        <f t="shared" si="33"/>
        <v>101.14999999999972</v>
      </c>
      <c r="H122" s="17">
        <f t="shared" si="33"/>
        <v>85.944444444442922</v>
      </c>
      <c r="I122" s="17">
        <f t="shared" si="33"/>
        <v>91.233333333331558</v>
      </c>
      <c r="J122" s="17">
        <f t="shared" si="33"/>
        <v>94.538888888888266</v>
      </c>
      <c r="K122" s="18">
        <f t="shared" si="33"/>
        <v>79.333333333334579</v>
      </c>
      <c r="L122" s="18">
        <f t="shared" si="33"/>
        <v>84.622222222222831</v>
      </c>
      <c r="M122" s="18">
        <f t="shared" si="33"/>
        <v>87.927777777779127</v>
      </c>
      <c r="N122" s="19">
        <f t="shared" si="33"/>
        <v>60.822222222221917</v>
      </c>
      <c r="O122" s="19">
        <f t="shared" si="33"/>
        <v>66.111111111112564</v>
      </c>
      <c r="P122" s="19">
        <f t="shared" si="33"/>
        <v>69.416666666665819</v>
      </c>
      <c r="Q122" s="20">
        <f t="shared" si="33"/>
        <v>57.516666666667788</v>
      </c>
      <c r="R122" s="20">
        <f t="shared" si="33"/>
        <v>62.805555555557056</v>
      </c>
      <c r="S122" s="20">
        <f t="shared" si="33"/>
        <v>66.111111111112564</v>
      </c>
      <c r="T122" s="21">
        <f t="shared" si="33"/>
        <v>54.211111111112629</v>
      </c>
      <c r="U122" s="21">
        <f t="shared" si="32"/>
        <v>59.5</v>
      </c>
      <c r="V122" s="21">
        <f t="shared" si="32"/>
        <v>62.805555555557056</v>
      </c>
      <c r="W122" s="22">
        <f t="shared" si="32"/>
        <v>50.905555555555708</v>
      </c>
      <c r="X122" s="22">
        <f t="shared" si="32"/>
        <v>56.194444444443043</v>
      </c>
      <c r="Y122" s="22">
        <f t="shared" si="32"/>
        <v>59.5</v>
      </c>
      <c r="Z122" s="23">
        <f t="shared" si="32"/>
        <v>47.599999999998929</v>
      </c>
      <c r="AA122" s="23">
        <f t="shared" si="32"/>
        <v>52.88888888888826</v>
      </c>
      <c r="AB122" s="23">
        <f t="shared" si="32"/>
        <v>56.194444444443043</v>
      </c>
      <c r="AC122" s="24">
        <f t="shared" si="32"/>
        <v>44.29444444444475</v>
      </c>
      <c r="AD122" s="24">
        <f t="shared" si="32"/>
        <v>49.583333333333179</v>
      </c>
      <c r="AE122" s="24">
        <f t="shared" si="32"/>
        <v>52.88888888888826</v>
      </c>
      <c r="AF122" s="25">
        <f t="shared" si="32"/>
        <v>40.988888888888376</v>
      </c>
      <c r="AG122" s="25">
        <f t="shared" si="32"/>
        <v>46.277777777778539</v>
      </c>
      <c r="AH122" s="25">
        <f t="shared" si="32"/>
        <v>49.583333333333179</v>
      </c>
      <c r="AI122" s="26">
        <f t="shared" si="32"/>
        <v>37.68333333333365</v>
      </c>
      <c r="AJ122" s="26">
        <f t="shared" si="34"/>
        <v>42.972222222221461</v>
      </c>
      <c r="AK122" s="26">
        <f t="shared" si="34"/>
        <v>46.277777777778539</v>
      </c>
    </row>
    <row r="123" spans="4:37" ht="20.100000000000001" customHeight="1">
      <c r="D123" s="27">
        <f t="shared" si="14"/>
        <v>0.33333333333333265</v>
      </c>
      <c r="E123" s="16">
        <f t="shared" si="33"/>
        <v>93.333333333334849</v>
      </c>
      <c r="F123" s="16">
        <f t="shared" si="33"/>
        <v>98.666666666667879</v>
      </c>
      <c r="G123" s="16">
        <f t="shared" si="33"/>
        <v>101.99999999999972</v>
      </c>
      <c r="H123" s="17">
        <f t="shared" si="33"/>
        <v>86.666666666665151</v>
      </c>
      <c r="I123" s="17">
        <f t="shared" si="33"/>
        <v>91.999999999998224</v>
      </c>
      <c r="J123" s="17">
        <f t="shared" si="33"/>
        <v>95.333333333332718</v>
      </c>
      <c r="K123" s="18">
        <f t="shared" si="33"/>
        <v>80.000000000001251</v>
      </c>
      <c r="L123" s="18">
        <f t="shared" si="33"/>
        <v>85.33333333333394</v>
      </c>
      <c r="M123" s="18">
        <f t="shared" si="33"/>
        <v>88.666666666668021</v>
      </c>
      <c r="N123" s="19">
        <f t="shared" si="33"/>
        <v>61.33333333333303</v>
      </c>
      <c r="O123" s="19">
        <f t="shared" si="33"/>
        <v>66.666666666668121</v>
      </c>
      <c r="P123" s="19">
        <f t="shared" si="33"/>
        <v>69.999999999999147</v>
      </c>
      <c r="Q123" s="20">
        <f t="shared" si="33"/>
        <v>58.000000000001123</v>
      </c>
      <c r="R123" s="20">
        <f t="shared" si="33"/>
        <v>63.333333333334835</v>
      </c>
      <c r="S123" s="20">
        <f t="shared" si="33"/>
        <v>66.666666666668121</v>
      </c>
      <c r="T123" s="21">
        <f t="shared" si="33"/>
        <v>54.666666666668185</v>
      </c>
      <c r="U123" s="21">
        <f t="shared" si="32"/>
        <v>60</v>
      </c>
      <c r="V123" s="21">
        <f t="shared" si="32"/>
        <v>63.333333333334835</v>
      </c>
      <c r="W123" s="22">
        <f t="shared" si="32"/>
        <v>51.333333333333485</v>
      </c>
      <c r="X123" s="22">
        <f t="shared" si="32"/>
        <v>56.666666666665265</v>
      </c>
      <c r="Y123" s="22">
        <f t="shared" si="32"/>
        <v>60</v>
      </c>
      <c r="Z123" s="23">
        <f t="shared" si="32"/>
        <v>47.999999999998927</v>
      </c>
      <c r="AA123" s="23">
        <f t="shared" si="32"/>
        <v>53.333333333332703</v>
      </c>
      <c r="AB123" s="23">
        <f t="shared" si="32"/>
        <v>56.666666666665265</v>
      </c>
      <c r="AC123" s="24">
        <f t="shared" si="32"/>
        <v>44.66666666666697</v>
      </c>
      <c r="AD123" s="24">
        <f t="shared" si="32"/>
        <v>49.999999999999844</v>
      </c>
      <c r="AE123" s="24">
        <f t="shared" si="32"/>
        <v>53.333333333332703</v>
      </c>
      <c r="AF123" s="25">
        <f t="shared" si="32"/>
        <v>41.333333333332817</v>
      </c>
      <c r="AG123" s="25">
        <f t="shared" si="32"/>
        <v>46.666666666667425</v>
      </c>
      <c r="AH123" s="25">
        <f t="shared" si="32"/>
        <v>49.999999999999844</v>
      </c>
      <c r="AI123" s="26">
        <f t="shared" si="32"/>
        <v>38.00000000000032</v>
      </c>
      <c r="AJ123" s="26">
        <f t="shared" si="34"/>
        <v>43.333333333332575</v>
      </c>
      <c r="AK123" s="26">
        <f t="shared" si="34"/>
        <v>46.666666666667425</v>
      </c>
    </row>
    <row r="124" spans="4:37" ht="20.100000000000001" customHeight="1">
      <c r="D124" s="27">
        <f t="shared" si="14"/>
        <v>0.33611111111111042</v>
      </c>
      <c r="E124" s="16">
        <f t="shared" si="33"/>
        <v>94.111111111112621</v>
      </c>
      <c r="F124" s="16">
        <f t="shared" si="33"/>
        <v>99.488888888890102</v>
      </c>
      <c r="G124" s="16">
        <f t="shared" si="33"/>
        <v>102.84999999999971</v>
      </c>
      <c r="H124" s="17">
        <f t="shared" si="33"/>
        <v>87.388888888887379</v>
      </c>
      <c r="I124" s="17">
        <f t="shared" si="33"/>
        <v>92.766666666664889</v>
      </c>
      <c r="J124" s="17">
        <f t="shared" si="33"/>
        <v>96.127777777777169</v>
      </c>
      <c r="K124" s="18">
        <f t="shared" si="33"/>
        <v>80.666666666667922</v>
      </c>
      <c r="L124" s="18">
        <f t="shared" si="33"/>
        <v>86.044444444445048</v>
      </c>
      <c r="M124" s="18">
        <f t="shared" si="33"/>
        <v>89.405555555556916</v>
      </c>
      <c r="N124" s="19">
        <f t="shared" si="33"/>
        <v>61.844444444444143</v>
      </c>
      <c r="O124" s="19">
        <f t="shared" si="33"/>
        <v>67.222222222223678</v>
      </c>
      <c r="P124" s="19">
        <f t="shared" si="33"/>
        <v>70.583333333332476</v>
      </c>
      <c r="Q124" s="20">
        <f t="shared" si="33"/>
        <v>58.483333333334457</v>
      </c>
      <c r="R124" s="20">
        <f t="shared" si="33"/>
        <v>63.861111111112614</v>
      </c>
      <c r="S124" s="20">
        <f t="shared" si="33"/>
        <v>67.222222222223678</v>
      </c>
      <c r="T124" s="21">
        <f t="shared" si="33"/>
        <v>55.122222222223741</v>
      </c>
      <c r="U124" s="21">
        <f t="shared" si="32"/>
        <v>60.5</v>
      </c>
      <c r="V124" s="21">
        <f t="shared" si="32"/>
        <v>63.861111111112614</v>
      </c>
      <c r="W124" s="22">
        <f t="shared" si="32"/>
        <v>51.761111111111262</v>
      </c>
      <c r="X124" s="22">
        <f t="shared" si="32"/>
        <v>57.138888888887486</v>
      </c>
      <c r="Y124" s="22">
        <f t="shared" si="32"/>
        <v>60.5</v>
      </c>
      <c r="Z124" s="23">
        <f t="shared" si="32"/>
        <v>48.399999999998926</v>
      </c>
      <c r="AA124" s="23">
        <f t="shared" si="32"/>
        <v>53.777777777777146</v>
      </c>
      <c r="AB124" s="23">
        <f t="shared" si="32"/>
        <v>57.138888888887486</v>
      </c>
      <c r="AC124" s="24">
        <f t="shared" si="32"/>
        <v>45.03888888888919</v>
      </c>
      <c r="AD124" s="24">
        <f t="shared" si="32"/>
        <v>50.416666666666508</v>
      </c>
      <c r="AE124" s="24">
        <f t="shared" si="32"/>
        <v>53.777777777777146</v>
      </c>
      <c r="AF124" s="25">
        <f t="shared" si="32"/>
        <v>41.677777777777258</v>
      </c>
      <c r="AG124" s="25">
        <f t="shared" si="32"/>
        <v>47.05555555555631</v>
      </c>
      <c r="AH124" s="25">
        <f t="shared" si="32"/>
        <v>50.416666666666508</v>
      </c>
      <c r="AI124" s="26">
        <f t="shared" si="32"/>
        <v>38.31666666666699</v>
      </c>
      <c r="AJ124" s="26">
        <f t="shared" si="34"/>
        <v>43.69444444444369</v>
      </c>
      <c r="AK124" s="26">
        <f t="shared" si="34"/>
        <v>47.05555555555631</v>
      </c>
    </row>
    <row r="125" spans="4:37" ht="20.100000000000001" customHeight="1">
      <c r="D125" s="27">
        <f t="shared" si="14"/>
        <v>0.33888888888888818</v>
      </c>
      <c r="E125" s="16">
        <f t="shared" si="33"/>
        <v>94.888888888890392</v>
      </c>
      <c r="F125" s="16">
        <f t="shared" si="33"/>
        <v>100.31111111111233</v>
      </c>
      <c r="G125" s="16">
        <f t="shared" si="33"/>
        <v>103.6999999999997</v>
      </c>
      <c r="H125" s="17">
        <f t="shared" si="33"/>
        <v>88.111111111109608</v>
      </c>
      <c r="I125" s="17">
        <f t="shared" si="33"/>
        <v>93.533333333331555</v>
      </c>
      <c r="J125" s="17">
        <f t="shared" si="33"/>
        <v>96.92222222222162</v>
      </c>
      <c r="K125" s="18">
        <f t="shared" si="33"/>
        <v>81.333333333334593</v>
      </c>
      <c r="L125" s="18">
        <f t="shared" si="33"/>
        <v>86.755555555556157</v>
      </c>
      <c r="M125" s="18">
        <f t="shared" si="33"/>
        <v>90.14444444444581</v>
      </c>
      <c r="N125" s="19">
        <f t="shared" si="33"/>
        <v>62.355555555555256</v>
      </c>
      <c r="O125" s="19">
        <f t="shared" si="33"/>
        <v>67.777777777779235</v>
      </c>
      <c r="P125" s="19">
        <f t="shared" si="33"/>
        <v>71.166666666665805</v>
      </c>
      <c r="Q125" s="20">
        <f t="shared" si="33"/>
        <v>58.966666666667791</v>
      </c>
      <c r="R125" s="20">
        <f t="shared" si="33"/>
        <v>64.388888888890392</v>
      </c>
      <c r="S125" s="20">
        <f t="shared" si="33"/>
        <v>67.777777777779235</v>
      </c>
      <c r="T125" s="21">
        <f t="shared" si="33"/>
        <v>55.577777777779296</v>
      </c>
      <c r="U125" s="21">
        <f t="shared" si="32"/>
        <v>61</v>
      </c>
      <c r="V125" s="21">
        <f t="shared" si="32"/>
        <v>64.388888888890392</v>
      </c>
      <c r="W125" s="22">
        <f t="shared" si="32"/>
        <v>52.188888888889039</v>
      </c>
      <c r="X125" s="22">
        <f t="shared" si="32"/>
        <v>57.611111111109707</v>
      </c>
      <c r="Y125" s="22">
        <f t="shared" si="32"/>
        <v>61</v>
      </c>
      <c r="Z125" s="23">
        <f t="shared" si="32"/>
        <v>48.799999999998924</v>
      </c>
      <c r="AA125" s="23">
        <f t="shared" si="32"/>
        <v>54.222222222221589</v>
      </c>
      <c r="AB125" s="23">
        <f t="shared" si="32"/>
        <v>57.611111111109707</v>
      </c>
      <c r="AC125" s="24">
        <f t="shared" si="32"/>
        <v>45.41111111111141</v>
      </c>
      <c r="AD125" s="24">
        <f t="shared" si="32"/>
        <v>50.833333333333172</v>
      </c>
      <c r="AE125" s="24">
        <f t="shared" si="32"/>
        <v>54.222222222221589</v>
      </c>
      <c r="AF125" s="25">
        <f t="shared" si="32"/>
        <v>42.0222222222217</v>
      </c>
      <c r="AG125" s="25">
        <f t="shared" si="32"/>
        <v>47.444444444445196</v>
      </c>
      <c r="AH125" s="25">
        <f t="shared" si="32"/>
        <v>50.833333333333172</v>
      </c>
      <c r="AI125" s="26">
        <f t="shared" si="32"/>
        <v>38.63333333333366</v>
      </c>
      <c r="AJ125" s="26">
        <f t="shared" si="34"/>
        <v>44.055555555554804</v>
      </c>
      <c r="AK125" s="26">
        <f t="shared" si="34"/>
        <v>47.444444444445196</v>
      </c>
    </row>
    <row r="126" spans="4:37" ht="20.100000000000001" customHeight="1">
      <c r="D126" s="27">
        <f t="shared" si="14"/>
        <v>0.34166666666666595</v>
      </c>
      <c r="E126" s="16">
        <f t="shared" si="33"/>
        <v>95.666666666668164</v>
      </c>
      <c r="F126" s="16">
        <f t="shared" si="33"/>
        <v>101.13333333333455</v>
      </c>
      <c r="G126" s="16">
        <f t="shared" si="33"/>
        <v>104.5499999999997</v>
      </c>
      <c r="H126" s="17">
        <f t="shared" si="33"/>
        <v>88.833333333331836</v>
      </c>
      <c r="I126" s="17">
        <f t="shared" si="33"/>
        <v>94.299999999998221</v>
      </c>
      <c r="J126" s="17">
        <f t="shared" si="33"/>
        <v>97.716666666666072</v>
      </c>
      <c r="K126" s="18">
        <f t="shared" si="33"/>
        <v>82.000000000001265</v>
      </c>
      <c r="L126" s="18">
        <f t="shared" si="33"/>
        <v>87.466666666667265</v>
      </c>
      <c r="M126" s="18">
        <f t="shared" si="33"/>
        <v>90.883333333334704</v>
      </c>
      <c r="N126" s="19">
        <f t="shared" si="33"/>
        <v>62.866666666666369</v>
      </c>
      <c r="O126" s="19">
        <f t="shared" si="33"/>
        <v>68.333333333334792</v>
      </c>
      <c r="P126" s="19">
        <f t="shared" si="33"/>
        <v>71.749999999999133</v>
      </c>
      <c r="Q126" s="20">
        <f t="shared" si="33"/>
        <v>59.450000000001125</v>
      </c>
      <c r="R126" s="20">
        <f t="shared" si="33"/>
        <v>64.916666666668164</v>
      </c>
      <c r="S126" s="20">
        <f t="shared" si="33"/>
        <v>68.333333333334792</v>
      </c>
      <c r="T126" s="21">
        <f t="shared" si="33"/>
        <v>56.033333333334852</v>
      </c>
      <c r="U126" s="21">
        <f t="shared" si="32"/>
        <v>61.5</v>
      </c>
      <c r="V126" s="21">
        <f t="shared" si="32"/>
        <v>64.916666666668164</v>
      </c>
      <c r="W126" s="22">
        <f t="shared" si="32"/>
        <v>52.616666666666816</v>
      </c>
      <c r="X126" s="22">
        <f t="shared" si="32"/>
        <v>58.083333333331929</v>
      </c>
      <c r="Y126" s="22">
        <f t="shared" si="32"/>
        <v>61.5</v>
      </c>
      <c r="Z126" s="23">
        <f t="shared" si="32"/>
        <v>49.199999999998923</v>
      </c>
      <c r="AA126" s="23">
        <f t="shared" si="32"/>
        <v>54.666666666666032</v>
      </c>
      <c r="AB126" s="23">
        <f t="shared" si="32"/>
        <v>58.083333333331929</v>
      </c>
      <c r="AC126" s="24">
        <f t="shared" si="32"/>
        <v>45.78333333333363</v>
      </c>
      <c r="AD126" s="24">
        <f t="shared" si="32"/>
        <v>51.249999999999837</v>
      </c>
      <c r="AE126" s="24">
        <f t="shared" si="32"/>
        <v>54.666666666666032</v>
      </c>
      <c r="AF126" s="25">
        <f t="shared" si="32"/>
        <v>42.366666666666141</v>
      </c>
      <c r="AG126" s="25">
        <f t="shared" si="32"/>
        <v>47.833333333334082</v>
      </c>
      <c r="AH126" s="25">
        <f t="shared" si="32"/>
        <v>51.249999999999837</v>
      </c>
      <c r="AI126" s="26">
        <f t="shared" si="32"/>
        <v>38.95000000000033</v>
      </c>
      <c r="AJ126" s="26">
        <f t="shared" si="34"/>
        <v>44.416666666665918</v>
      </c>
      <c r="AK126" s="26">
        <f t="shared" si="34"/>
        <v>47.833333333334082</v>
      </c>
    </row>
    <row r="127" spans="4:37" ht="20.100000000000001" customHeight="1">
      <c r="D127" s="27">
        <f t="shared" si="14"/>
        <v>0.34444444444444372</v>
      </c>
      <c r="E127" s="16">
        <f t="shared" si="33"/>
        <v>96.444444444445935</v>
      </c>
      <c r="F127" s="16">
        <f t="shared" si="33"/>
        <v>101.95555555555677</v>
      </c>
      <c r="G127" s="16">
        <f t="shared" si="33"/>
        <v>105.39999999999969</v>
      </c>
      <c r="H127" s="17">
        <f t="shared" si="33"/>
        <v>89.555555555554065</v>
      </c>
      <c r="I127" s="17">
        <f t="shared" si="33"/>
        <v>95.066666666664887</v>
      </c>
      <c r="J127" s="17">
        <f t="shared" si="33"/>
        <v>98.511111111110523</v>
      </c>
      <c r="K127" s="18">
        <f t="shared" si="33"/>
        <v>82.666666666667936</v>
      </c>
      <c r="L127" s="18">
        <f t="shared" si="33"/>
        <v>88.177777777778374</v>
      </c>
      <c r="M127" s="18">
        <f t="shared" si="33"/>
        <v>91.622222222223598</v>
      </c>
      <c r="N127" s="19">
        <f t="shared" si="33"/>
        <v>63.377777777777482</v>
      </c>
      <c r="O127" s="19">
        <f t="shared" si="33"/>
        <v>68.888888888890349</v>
      </c>
      <c r="P127" s="19">
        <f t="shared" si="33"/>
        <v>72.333333333332462</v>
      </c>
      <c r="Q127" s="20">
        <f t="shared" si="33"/>
        <v>59.93333333333446</v>
      </c>
      <c r="R127" s="20">
        <f t="shared" si="33"/>
        <v>65.444444444445935</v>
      </c>
      <c r="S127" s="20">
        <f t="shared" si="33"/>
        <v>68.888888888890349</v>
      </c>
      <c r="T127" s="21">
        <f t="shared" si="33"/>
        <v>56.488888888890408</v>
      </c>
      <c r="U127" s="21">
        <f t="shared" si="32"/>
        <v>62</v>
      </c>
      <c r="V127" s="21">
        <f t="shared" si="32"/>
        <v>65.444444444445935</v>
      </c>
      <c r="W127" s="22">
        <f t="shared" si="32"/>
        <v>53.044444444444594</v>
      </c>
      <c r="X127" s="22">
        <f t="shared" si="32"/>
        <v>58.55555555555415</v>
      </c>
      <c r="Y127" s="22">
        <f t="shared" si="32"/>
        <v>62</v>
      </c>
      <c r="Z127" s="23">
        <f t="shared" si="32"/>
        <v>49.599999999998921</v>
      </c>
      <c r="AA127" s="23">
        <f t="shared" si="32"/>
        <v>55.111111111110475</v>
      </c>
      <c r="AB127" s="23">
        <f t="shared" si="32"/>
        <v>58.55555555555415</v>
      </c>
      <c r="AC127" s="24">
        <f t="shared" si="32"/>
        <v>46.15555555555585</v>
      </c>
      <c r="AD127" s="24">
        <f t="shared" si="32"/>
        <v>51.666666666666501</v>
      </c>
      <c r="AE127" s="24">
        <f t="shared" si="32"/>
        <v>55.111111111110475</v>
      </c>
      <c r="AF127" s="25">
        <f t="shared" si="32"/>
        <v>42.711111111110583</v>
      </c>
      <c r="AG127" s="25">
        <f t="shared" si="32"/>
        <v>48.222222222222968</v>
      </c>
      <c r="AH127" s="25">
        <f t="shared" si="32"/>
        <v>51.666666666666501</v>
      </c>
      <c r="AI127" s="26">
        <f t="shared" si="32"/>
        <v>39.266666666667</v>
      </c>
      <c r="AJ127" s="26">
        <f t="shared" si="34"/>
        <v>44.777777777777032</v>
      </c>
      <c r="AK127" s="26">
        <f t="shared" si="34"/>
        <v>48.222222222222968</v>
      </c>
    </row>
    <row r="128" spans="4:37" ht="20.100000000000001" customHeight="1">
      <c r="D128" s="27">
        <f t="shared" si="14"/>
        <v>0.34722222222222149</v>
      </c>
      <c r="E128" s="16">
        <f t="shared" si="33"/>
        <v>97.222222222223706</v>
      </c>
      <c r="F128" s="16">
        <f t="shared" si="33"/>
        <v>102.77777777777899</v>
      </c>
      <c r="G128" s="16">
        <f t="shared" si="33"/>
        <v>106.24999999999969</v>
      </c>
      <c r="H128" s="17">
        <f t="shared" si="33"/>
        <v>90.277777777776294</v>
      </c>
      <c r="I128" s="17">
        <f t="shared" si="33"/>
        <v>95.833333333331552</v>
      </c>
      <c r="J128" s="17">
        <f t="shared" si="33"/>
        <v>99.305555555554974</v>
      </c>
      <c r="K128" s="18">
        <f t="shared" si="33"/>
        <v>83.333333333334608</v>
      </c>
      <c r="L128" s="18">
        <f t="shared" si="33"/>
        <v>88.888888888889483</v>
      </c>
      <c r="M128" s="18">
        <f t="shared" si="33"/>
        <v>92.361111111112493</v>
      </c>
      <c r="N128" s="19">
        <f t="shared" si="33"/>
        <v>63.888888888888594</v>
      </c>
      <c r="O128" s="19">
        <f t="shared" si="33"/>
        <v>69.444444444445907</v>
      </c>
      <c r="P128" s="19">
        <f t="shared" si="33"/>
        <v>72.91666666666579</v>
      </c>
      <c r="Q128" s="20">
        <f t="shared" si="33"/>
        <v>60.416666666667794</v>
      </c>
      <c r="R128" s="20">
        <f t="shared" si="33"/>
        <v>65.972222222223706</v>
      </c>
      <c r="S128" s="20">
        <f t="shared" si="33"/>
        <v>69.444444444445907</v>
      </c>
      <c r="T128" s="21">
        <f>T129-(T$363/360)</f>
        <v>56.944444444445963</v>
      </c>
      <c r="U128" s="21">
        <f t="shared" si="32"/>
        <v>62.5</v>
      </c>
      <c r="V128" s="21">
        <f t="shared" si="32"/>
        <v>65.972222222223706</v>
      </c>
      <c r="W128" s="22">
        <f t="shared" si="32"/>
        <v>53.472222222222371</v>
      </c>
      <c r="X128" s="22">
        <f t="shared" si="32"/>
        <v>59.027777777776372</v>
      </c>
      <c r="Y128" s="22">
        <f t="shared" si="32"/>
        <v>62.5</v>
      </c>
      <c r="Z128" s="23">
        <f t="shared" si="32"/>
        <v>49.99999999999892</v>
      </c>
      <c r="AA128" s="23">
        <f t="shared" si="32"/>
        <v>55.555555555554918</v>
      </c>
      <c r="AB128" s="23">
        <f t="shared" si="32"/>
        <v>59.027777777776372</v>
      </c>
      <c r="AC128" s="24">
        <f t="shared" si="32"/>
        <v>46.52777777777807</v>
      </c>
      <c r="AD128" s="24">
        <f t="shared" si="32"/>
        <v>52.083333333333165</v>
      </c>
      <c r="AE128" s="24">
        <f t="shared" si="32"/>
        <v>55.555555555554918</v>
      </c>
      <c r="AF128" s="25">
        <f t="shared" si="32"/>
        <v>43.055555555555024</v>
      </c>
      <c r="AG128" s="25">
        <f t="shared" si="32"/>
        <v>48.611111111111853</v>
      </c>
      <c r="AH128" s="25">
        <f t="shared" si="32"/>
        <v>52.083333333333165</v>
      </c>
      <c r="AI128" s="26">
        <f t="shared" si="32"/>
        <v>39.58333333333367</v>
      </c>
      <c r="AJ128" s="26">
        <f t="shared" si="34"/>
        <v>45.138888888888147</v>
      </c>
      <c r="AK128" s="26">
        <f t="shared" si="34"/>
        <v>48.611111111111853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98.000000000001478</v>
      </c>
      <c r="F129" s="16">
        <f t="shared" si="35"/>
        <v>103.60000000000122</v>
      </c>
      <c r="G129" s="16">
        <f t="shared" si="35"/>
        <v>107.09999999999968</v>
      </c>
      <c r="H129" s="17">
        <f t="shared" si="35"/>
        <v>90.999999999998522</v>
      </c>
      <c r="I129" s="17">
        <f t="shared" si="35"/>
        <v>96.599999999998218</v>
      </c>
      <c r="J129" s="17">
        <f t="shared" si="35"/>
        <v>100.09999999999943</v>
      </c>
      <c r="K129" s="18">
        <f t="shared" si="35"/>
        <v>84.000000000001279</v>
      </c>
      <c r="L129" s="18">
        <f t="shared" si="35"/>
        <v>89.600000000000591</v>
      </c>
      <c r="M129" s="18">
        <f t="shared" si="35"/>
        <v>93.100000000001387</v>
      </c>
      <c r="N129" s="19">
        <f t="shared" si="35"/>
        <v>64.399999999999707</v>
      </c>
      <c r="O129" s="19">
        <f t="shared" si="35"/>
        <v>70.000000000001464</v>
      </c>
      <c r="P129" s="19">
        <f t="shared" si="35"/>
        <v>73.499999999999119</v>
      </c>
      <c r="Q129" s="20">
        <f t="shared" si="35"/>
        <v>60.900000000001128</v>
      </c>
      <c r="R129" s="20">
        <f t="shared" si="35"/>
        <v>66.500000000001478</v>
      </c>
      <c r="S129" s="20">
        <f t="shared" si="35"/>
        <v>70.000000000001464</v>
      </c>
      <c r="T129" s="21">
        <f t="shared" si="35"/>
        <v>57.400000000001519</v>
      </c>
      <c r="U129" s="21">
        <f t="shared" si="32"/>
        <v>63</v>
      </c>
      <c r="V129" s="21">
        <f t="shared" si="32"/>
        <v>66.500000000001478</v>
      </c>
      <c r="W129" s="22">
        <f t="shared" si="32"/>
        <v>53.900000000000148</v>
      </c>
      <c r="X129" s="22">
        <f t="shared" si="32"/>
        <v>59.499999999998593</v>
      </c>
      <c r="Y129" s="22">
        <f t="shared" si="32"/>
        <v>63</v>
      </c>
      <c r="Z129" s="23">
        <f t="shared" si="32"/>
        <v>50.399999999998919</v>
      </c>
      <c r="AA129" s="23">
        <f t="shared" si="32"/>
        <v>55.999999999999361</v>
      </c>
      <c r="AB129" s="23">
        <f t="shared" si="32"/>
        <v>59.499999999998593</v>
      </c>
      <c r="AC129" s="24">
        <f t="shared" si="32"/>
        <v>46.90000000000029</v>
      </c>
      <c r="AD129" s="24">
        <f t="shared" si="32"/>
        <v>52.499999999999829</v>
      </c>
      <c r="AE129" s="24">
        <f t="shared" si="32"/>
        <v>55.999999999999361</v>
      </c>
      <c r="AF129" s="25">
        <f t="shared" si="32"/>
        <v>43.399999999999466</v>
      </c>
      <c r="AG129" s="25">
        <f t="shared" si="32"/>
        <v>49.000000000000739</v>
      </c>
      <c r="AH129" s="25">
        <f t="shared" si="32"/>
        <v>52.499999999999829</v>
      </c>
      <c r="AI129" s="26">
        <f t="shared" si="32"/>
        <v>39.90000000000034</v>
      </c>
      <c r="AJ129" s="26">
        <f t="shared" si="34"/>
        <v>45.499999999999261</v>
      </c>
      <c r="AK129" s="26">
        <f t="shared" si="34"/>
        <v>49.000000000000739</v>
      </c>
    </row>
    <row r="130" spans="4:37" ht="20.100000000000001" customHeight="1">
      <c r="D130" s="27">
        <f t="shared" si="14"/>
        <v>0.35277777777777702</v>
      </c>
      <c r="E130" s="16">
        <f t="shared" si="35"/>
        <v>98.777777777779249</v>
      </c>
      <c r="F130" s="16">
        <f t="shared" si="35"/>
        <v>104.42222222222344</v>
      </c>
      <c r="G130" s="16">
        <f t="shared" si="35"/>
        <v>107.94999999999968</v>
      </c>
      <c r="H130" s="17">
        <f t="shared" si="35"/>
        <v>91.722222222220751</v>
      </c>
      <c r="I130" s="17">
        <f t="shared" si="35"/>
        <v>97.366666666664884</v>
      </c>
      <c r="J130" s="17">
        <f t="shared" si="35"/>
        <v>100.89444444444388</v>
      </c>
      <c r="K130" s="18">
        <f t="shared" si="35"/>
        <v>84.66666666666795</v>
      </c>
      <c r="L130" s="18">
        <f t="shared" si="35"/>
        <v>90.3111111111117</v>
      </c>
      <c r="M130" s="18">
        <f t="shared" si="35"/>
        <v>93.838888888890281</v>
      </c>
      <c r="N130" s="19">
        <f t="shared" si="35"/>
        <v>64.911111111110813</v>
      </c>
      <c r="O130" s="19">
        <f t="shared" si="35"/>
        <v>70.555555555557021</v>
      </c>
      <c r="P130" s="19">
        <f t="shared" si="35"/>
        <v>74.083333333332448</v>
      </c>
      <c r="Q130" s="20">
        <f t="shared" si="35"/>
        <v>61.383333333334463</v>
      </c>
      <c r="R130" s="20">
        <f t="shared" si="35"/>
        <v>67.027777777779249</v>
      </c>
      <c r="S130" s="20">
        <f t="shared" si="35"/>
        <v>70.555555555557021</v>
      </c>
      <c r="T130" s="21">
        <f t="shared" si="35"/>
        <v>57.855555555557075</v>
      </c>
      <c r="U130" s="21">
        <f t="shared" si="32"/>
        <v>63.5</v>
      </c>
      <c r="V130" s="21">
        <f t="shared" si="32"/>
        <v>67.027777777779249</v>
      </c>
      <c r="W130" s="22">
        <f t="shared" si="32"/>
        <v>54.327777777777925</v>
      </c>
      <c r="X130" s="22">
        <f t="shared" si="32"/>
        <v>59.972222222220815</v>
      </c>
      <c r="Y130" s="22">
        <f t="shared" si="32"/>
        <v>63.5</v>
      </c>
      <c r="Z130" s="23">
        <f t="shared" si="32"/>
        <v>50.799999999998917</v>
      </c>
      <c r="AA130" s="23">
        <f t="shared" si="32"/>
        <v>56.444444444443803</v>
      </c>
      <c r="AB130" s="23">
        <f t="shared" si="32"/>
        <v>59.972222222220815</v>
      </c>
      <c r="AC130" s="24">
        <f t="shared" si="32"/>
        <v>47.27222222222251</v>
      </c>
      <c r="AD130" s="24">
        <f t="shared" ref="AD130:AI130" si="36">AD131-(AD$363/360)</f>
        <v>52.916666666666494</v>
      </c>
      <c r="AE130" s="24">
        <f t="shared" si="36"/>
        <v>56.444444444443803</v>
      </c>
      <c r="AF130" s="25">
        <f t="shared" si="36"/>
        <v>43.744444444443907</v>
      </c>
      <c r="AG130" s="25">
        <f t="shared" si="36"/>
        <v>49.388888888889625</v>
      </c>
      <c r="AH130" s="25">
        <f t="shared" si="36"/>
        <v>52.916666666666494</v>
      </c>
      <c r="AI130" s="26">
        <f t="shared" si="36"/>
        <v>40.21666666666701</v>
      </c>
      <c r="AJ130" s="26">
        <f t="shared" si="34"/>
        <v>45.861111111110375</v>
      </c>
      <c r="AK130" s="26">
        <f t="shared" si="34"/>
        <v>49.388888888889625</v>
      </c>
    </row>
    <row r="131" spans="4:37" ht="20.100000000000001" customHeight="1">
      <c r="D131" s="27">
        <f t="shared" si="14"/>
        <v>0.35555555555555479</v>
      </c>
      <c r="E131" s="16">
        <f t="shared" si="35"/>
        <v>99.555555555557021</v>
      </c>
      <c r="F131" s="16">
        <f t="shared" si="35"/>
        <v>105.24444444444566</v>
      </c>
      <c r="G131" s="16">
        <f t="shared" si="35"/>
        <v>108.79999999999967</v>
      </c>
      <c r="H131" s="17">
        <f t="shared" si="35"/>
        <v>92.444444444442979</v>
      </c>
      <c r="I131" s="17">
        <f t="shared" si="35"/>
        <v>98.133333333331549</v>
      </c>
      <c r="J131" s="17">
        <f t="shared" si="35"/>
        <v>101.68888888888833</v>
      </c>
      <c r="K131" s="18">
        <f t="shared" si="35"/>
        <v>85.333333333334622</v>
      </c>
      <c r="L131" s="18">
        <f t="shared" si="35"/>
        <v>91.022222222222808</v>
      </c>
      <c r="M131" s="18">
        <f t="shared" si="35"/>
        <v>94.577777777779175</v>
      </c>
      <c r="N131" s="19">
        <f t="shared" si="35"/>
        <v>65.422222222221919</v>
      </c>
      <c r="O131" s="19">
        <f t="shared" si="35"/>
        <v>71.111111111112578</v>
      </c>
      <c r="P131" s="19">
        <f t="shared" si="35"/>
        <v>74.666666666665776</v>
      </c>
      <c r="Q131" s="20">
        <f t="shared" si="35"/>
        <v>61.866666666667797</v>
      </c>
      <c r="R131" s="20">
        <f t="shared" si="35"/>
        <v>67.555555555557021</v>
      </c>
      <c r="S131" s="20">
        <f t="shared" si="35"/>
        <v>71.111111111112578</v>
      </c>
      <c r="T131" s="21">
        <f t="shared" si="35"/>
        <v>58.311111111112631</v>
      </c>
      <c r="U131" s="21">
        <f t="shared" ref="U131:AJ146" si="37">U132-(U$363/360)</f>
        <v>64</v>
      </c>
      <c r="V131" s="21">
        <f t="shared" si="37"/>
        <v>67.555555555557021</v>
      </c>
      <c r="W131" s="22">
        <f t="shared" si="37"/>
        <v>54.755555555555702</v>
      </c>
      <c r="X131" s="22">
        <f t="shared" si="37"/>
        <v>60.444444444443036</v>
      </c>
      <c r="Y131" s="22">
        <f t="shared" si="37"/>
        <v>64</v>
      </c>
      <c r="Z131" s="23">
        <f t="shared" si="37"/>
        <v>51.199999999998916</v>
      </c>
      <c r="AA131" s="23">
        <f t="shared" si="37"/>
        <v>56.888888888888246</v>
      </c>
      <c r="AB131" s="23">
        <f t="shared" si="37"/>
        <v>60.444444444443036</v>
      </c>
      <c r="AC131" s="24">
        <f t="shared" si="37"/>
        <v>47.64444444444473</v>
      </c>
      <c r="AD131" s="24">
        <f t="shared" si="37"/>
        <v>53.333333333333158</v>
      </c>
      <c r="AE131" s="24">
        <f t="shared" si="37"/>
        <v>56.888888888888246</v>
      </c>
      <c r="AF131" s="25">
        <f t="shared" si="37"/>
        <v>44.088888888888349</v>
      </c>
      <c r="AG131" s="25">
        <f t="shared" si="37"/>
        <v>49.77777777777851</v>
      </c>
      <c r="AH131" s="25">
        <f t="shared" si="37"/>
        <v>53.333333333333158</v>
      </c>
      <c r="AI131" s="26">
        <f t="shared" si="37"/>
        <v>40.53333333333368</v>
      </c>
      <c r="AJ131" s="26">
        <f t="shared" si="37"/>
        <v>46.22222222222149</v>
      </c>
      <c r="AK131" s="26">
        <f t="shared" si="34"/>
        <v>49.77777777777851</v>
      </c>
    </row>
    <row r="132" spans="4:37" ht="20.100000000000001" customHeight="1">
      <c r="D132" s="27">
        <f t="shared" si="14"/>
        <v>0.35833333333333256</v>
      </c>
      <c r="E132" s="16">
        <f t="shared" si="35"/>
        <v>100.33333333333479</v>
      </c>
      <c r="F132" s="16">
        <f t="shared" si="35"/>
        <v>106.06666666666789</v>
      </c>
      <c r="G132" s="16">
        <f t="shared" si="35"/>
        <v>109.64999999999966</v>
      </c>
      <c r="H132" s="17">
        <f t="shared" si="35"/>
        <v>93.166666666665208</v>
      </c>
      <c r="I132" s="17">
        <f t="shared" si="35"/>
        <v>98.899999999998215</v>
      </c>
      <c r="J132" s="17">
        <f t="shared" si="35"/>
        <v>102.48333333333278</v>
      </c>
      <c r="K132" s="18">
        <f t="shared" si="35"/>
        <v>86.000000000001293</v>
      </c>
      <c r="L132" s="18">
        <f t="shared" si="35"/>
        <v>91.733333333333917</v>
      </c>
      <c r="M132" s="18">
        <f t="shared" si="35"/>
        <v>95.31666666666807</v>
      </c>
      <c r="N132" s="19">
        <f t="shared" si="35"/>
        <v>65.933333333333024</v>
      </c>
      <c r="O132" s="19">
        <f t="shared" si="35"/>
        <v>71.666666666668135</v>
      </c>
      <c r="P132" s="19">
        <f t="shared" si="35"/>
        <v>75.249999999999105</v>
      </c>
      <c r="Q132" s="20">
        <f t="shared" si="35"/>
        <v>62.350000000001131</v>
      </c>
      <c r="R132" s="20">
        <f t="shared" si="35"/>
        <v>68.083333333334792</v>
      </c>
      <c r="S132" s="20">
        <f t="shared" si="35"/>
        <v>71.666666666668135</v>
      </c>
      <c r="T132" s="21">
        <f t="shared" si="35"/>
        <v>58.766666666668186</v>
      </c>
      <c r="U132" s="21">
        <f t="shared" si="37"/>
        <v>64.5</v>
      </c>
      <c r="V132" s="21">
        <f t="shared" si="37"/>
        <v>68.083333333334792</v>
      </c>
      <c r="W132" s="22">
        <f t="shared" si="37"/>
        <v>55.183333333333479</v>
      </c>
      <c r="X132" s="22">
        <f t="shared" si="37"/>
        <v>60.916666666665257</v>
      </c>
      <c r="Y132" s="22">
        <f t="shared" si="37"/>
        <v>64.5</v>
      </c>
      <c r="Z132" s="23">
        <f t="shared" si="37"/>
        <v>51.599999999998914</v>
      </c>
      <c r="AA132" s="23">
        <f t="shared" si="37"/>
        <v>57.333333333332689</v>
      </c>
      <c r="AB132" s="23">
        <f t="shared" si="37"/>
        <v>60.916666666665257</v>
      </c>
      <c r="AC132" s="24">
        <f t="shared" si="37"/>
        <v>48.01666666666695</v>
      </c>
      <c r="AD132" s="24">
        <f t="shared" si="37"/>
        <v>53.749999999999822</v>
      </c>
      <c r="AE132" s="24">
        <f t="shared" si="37"/>
        <v>57.333333333332689</v>
      </c>
      <c r="AF132" s="25">
        <f t="shared" si="37"/>
        <v>44.43333333333279</v>
      </c>
      <c r="AG132" s="25">
        <f t="shared" si="37"/>
        <v>50.166666666667396</v>
      </c>
      <c r="AH132" s="25">
        <f t="shared" si="37"/>
        <v>53.749999999999822</v>
      </c>
      <c r="AI132" s="26">
        <f t="shared" si="37"/>
        <v>40.85000000000035</v>
      </c>
      <c r="AJ132" s="26">
        <f t="shared" si="37"/>
        <v>46.583333333332604</v>
      </c>
      <c r="AK132" s="26">
        <f t="shared" si="34"/>
        <v>50.166666666667396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101.11111111111256</v>
      </c>
      <c r="F133" s="16">
        <f t="shared" si="35"/>
        <v>106.88888888889011</v>
      </c>
      <c r="G133" s="16">
        <f t="shared" si="35"/>
        <v>110.49999999999966</v>
      </c>
      <c r="H133" s="17">
        <f t="shared" si="35"/>
        <v>93.888888888887436</v>
      </c>
      <c r="I133" s="17">
        <f t="shared" si="35"/>
        <v>99.666666666664881</v>
      </c>
      <c r="J133" s="17">
        <f t="shared" si="35"/>
        <v>103.27777777777723</v>
      </c>
      <c r="K133" s="18">
        <f t="shared" si="35"/>
        <v>86.666666666667965</v>
      </c>
      <c r="L133" s="18">
        <f t="shared" si="35"/>
        <v>92.444444444445026</v>
      </c>
      <c r="M133" s="18">
        <f t="shared" si="35"/>
        <v>96.055555555556964</v>
      </c>
      <c r="N133" s="19">
        <f t="shared" si="35"/>
        <v>66.44444444444413</v>
      </c>
      <c r="O133" s="19">
        <f t="shared" si="35"/>
        <v>72.222222222223692</v>
      </c>
      <c r="P133" s="19">
        <f t="shared" si="35"/>
        <v>75.833333333332433</v>
      </c>
      <c r="Q133" s="20">
        <f t="shared" si="35"/>
        <v>62.833333333334465</v>
      </c>
      <c r="R133" s="20">
        <f t="shared" si="35"/>
        <v>68.611111111112564</v>
      </c>
      <c r="S133" s="20">
        <f t="shared" si="35"/>
        <v>72.222222222223692</v>
      </c>
      <c r="T133" s="21">
        <f t="shared" si="35"/>
        <v>59.222222222223742</v>
      </c>
      <c r="U133" s="21">
        <f t="shared" si="37"/>
        <v>65</v>
      </c>
      <c r="V133" s="21">
        <f t="shared" si="37"/>
        <v>68.611111111112564</v>
      </c>
      <c r="W133" s="22">
        <f t="shared" si="37"/>
        <v>55.611111111111256</v>
      </c>
      <c r="X133" s="22">
        <f t="shared" si="37"/>
        <v>61.388888888887479</v>
      </c>
      <c r="Y133" s="22">
        <f t="shared" si="37"/>
        <v>65</v>
      </c>
      <c r="Z133" s="23">
        <f t="shared" si="37"/>
        <v>51.999999999998913</v>
      </c>
      <c r="AA133" s="23">
        <f t="shared" si="37"/>
        <v>57.777777777777132</v>
      </c>
      <c r="AB133" s="23">
        <f t="shared" si="37"/>
        <v>61.388888888887479</v>
      </c>
      <c r="AC133" s="24">
        <f t="shared" si="37"/>
        <v>48.38888888888917</v>
      </c>
      <c r="AD133" s="24">
        <f t="shared" si="37"/>
        <v>54.166666666666487</v>
      </c>
      <c r="AE133" s="24">
        <f t="shared" si="37"/>
        <v>57.777777777777132</v>
      </c>
      <c r="AF133" s="25">
        <f t="shared" si="37"/>
        <v>44.777777777777231</v>
      </c>
      <c r="AG133" s="25">
        <f t="shared" si="37"/>
        <v>50.555555555556282</v>
      </c>
      <c r="AH133" s="25">
        <f t="shared" si="37"/>
        <v>54.166666666666487</v>
      </c>
      <c r="AI133" s="26">
        <f t="shared" si="37"/>
        <v>41.16666666666702</v>
      </c>
      <c r="AJ133" s="26">
        <f t="shared" si="37"/>
        <v>46.944444444443718</v>
      </c>
      <c r="AK133" s="26">
        <f t="shared" si="34"/>
        <v>50.555555555556282</v>
      </c>
    </row>
    <row r="134" spans="4:37" ht="20.100000000000001" customHeight="1">
      <c r="D134" s="27">
        <f t="shared" si="38"/>
        <v>0.3638888888888881</v>
      </c>
      <c r="E134" s="16">
        <f t="shared" si="35"/>
        <v>101.88888888889034</v>
      </c>
      <c r="F134" s="16">
        <f t="shared" si="35"/>
        <v>107.71111111111233</v>
      </c>
      <c r="G134" s="16">
        <f t="shared" si="35"/>
        <v>111.34999999999965</v>
      </c>
      <c r="H134" s="17">
        <f t="shared" si="35"/>
        <v>94.611111111109665</v>
      </c>
      <c r="I134" s="17">
        <f t="shared" si="35"/>
        <v>100.43333333333155</v>
      </c>
      <c r="J134" s="17">
        <f t="shared" si="35"/>
        <v>104.07222222222168</v>
      </c>
      <c r="K134" s="18">
        <f t="shared" si="35"/>
        <v>87.333333333334636</v>
      </c>
      <c r="L134" s="18">
        <f t="shared" si="35"/>
        <v>93.155555555556134</v>
      </c>
      <c r="M134" s="18">
        <f t="shared" si="35"/>
        <v>96.794444444445858</v>
      </c>
      <c r="N134" s="19">
        <f t="shared" si="35"/>
        <v>66.955555555555236</v>
      </c>
      <c r="O134" s="19">
        <f t="shared" si="35"/>
        <v>72.777777777779249</v>
      </c>
      <c r="P134" s="19">
        <f t="shared" si="35"/>
        <v>76.416666666665762</v>
      </c>
      <c r="Q134" s="20">
        <f t="shared" si="35"/>
        <v>63.3166666666678</v>
      </c>
      <c r="R134" s="20">
        <f t="shared" si="35"/>
        <v>69.138888888890335</v>
      </c>
      <c r="S134" s="20">
        <f t="shared" si="35"/>
        <v>72.777777777779249</v>
      </c>
      <c r="T134" s="21">
        <f t="shared" si="35"/>
        <v>59.677777777779298</v>
      </c>
      <c r="U134" s="21">
        <f t="shared" si="37"/>
        <v>65.5</v>
      </c>
      <c r="V134" s="21">
        <f t="shared" si="37"/>
        <v>69.138888888890335</v>
      </c>
      <c r="W134" s="22">
        <f t="shared" si="37"/>
        <v>56.038888888889034</v>
      </c>
      <c r="X134" s="22">
        <f t="shared" si="37"/>
        <v>61.8611111111097</v>
      </c>
      <c r="Y134" s="22">
        <f t="shared" si="37"/>
        <v>65.5</v>
      </c>
      <c r="Z134" s="23">
        <f t="shared" si="37"/>
        <v>52.399999999998911</v>
      </c>
      <c r="AA134" s="23">
        <f t="shared" si="37"/>
        <v>58.222222222221575</v>
      </c>
      <c r="AB134" s="23">
        <f t="shared" si="37"/>
        <v>61.8611111111097</v>
      </c>
      <c r="AC134" s="24">
        <f t="shared" si="37"/>
        <v>48.76111111111139</v>
      </c>
      <c r="AD134" s="24">
        <f t="shared" si="37"/>
        <v>54.583333333333151</v>
      </c>
      <c r="AE134" s="24">
        <f t="shared" si="37"/>
        <v>58.222222222221575</v>
      </c>
      <c r="AF134" s="25">
        <f t="shared" si="37"/>
        <v>45.122222222221673</v>
      </c>
      <c r="AG134" s="25">
        <f t="shared" si="37"/>
        <v>50.944444444445168</v>
      </c>
      <c r="AH134" s="25">
        <f t="shared" si="37"/>
        <v>54.583333333333151</v>
      </c>
      <c r="AI134" s="26">
        <f t="shared" si="37"/>
        <v>41.48333333333369</v>
      </c>
      <c r="AJ134" s="26">
        <f t="shared" si="37"/>
        <v>47.305555555554832</v>
      </c>
      <c r="AK134" s="26">
        <f t="shared" si="34"/>
        <v>50.944444444445168</v>
      </c>
    </row>
    <row r="135" spans="4:37" ht="20.100000000000001" customHeight="1">
      <c r="D135" s="27">
        <f t="shared" si="38"/>
        <v>0.36666666666666586</v>
      </c>
      <c r="E135" s="16">
        <f t="shared" si="35"/>
        <v>102.66666666666811</v>
      </c>
      <c r="F135" s="16">
        <f t="shared" si="35"/>
        <v>108.53333333333455</v>
      </c>
      <c r="G135" s="16">
        <f t="shared" si="35"/>
        <v>112.19999999999965</v>
      </c>
      <c r="H135" s="17">
        <f t="shared" si="35"/>
        <v>95.333333333331893</v>
      </c>
      <c r="I135" s="17">
        <f t="shared" si="35"/>
        <v>101.19999999999821</v>
      </c>
      <c r="J135" s="17">
        <f t="shared" si="35"/>
        <v>104.86666666666613</v>
      </c>
      <c r="K135" s="18">
        <f t="shared" si="35"/>
        <v>88.000000000001307</v>
      </c>
      <c r="L135" s="18">
        <f t="shared" si="35"/>
        <v>93.866666666667243</v>
      </c>
      <c r="M135" s="18">
        <f t="shared" si="35"/>
        <v>97.533333333334753</v>
      </c>
      <c r="N135" s="19">
        <f t="shared" si="35"/>
        <v>67.466666666666342</v>
      </c>
      <c r="O135" s="19">
        <f t="shared" si="35"/>
        <v>73.333333333334807</v>
      </c>
      <c r="P135" s="19">
        <f t="shared" si="35"/>
        <v>76.999999999999091</v>
      </c>
      <c r="Q135" s="20">
        <f t="shared" si="35"/>
        <v>63.800000000001134</v>
      </c>
      <c r="R135" s="20">
        <f t="shared" si="35"/>
        <v>69.666666666668107</v>
      </c>
      <c r="S135" s="20">
        <f t="shared" si="35"/>
        <v>73.333333333334807</v>
      </c>
      <c r="T135" s="21">
        <f t="shared" si="35"/>
        <v>60.133333333334853</v>
      </c>
      <c r="U135" s="21">
        <f t="shared" si="37"/>
        <v>66</v>
      </c>
      <c r="V135" s="21">
        <f t="shared" si="37"/>
        <v>69.666666666668107</v>
      </c>
      <c r="W135" s="22">
        <f t="shared" si="37"/>
        <v>56.466666666666811</v>
      </c>
      <c r="X135" s="22">
        <f t="shared" si="37"/>
        <v>62.333333333331922</v>
      </c>
      <c r="Y135" s="22">
        <f t="shared" si="37"/>
        <v>66</v>
      </c>
      <c r="Z135" s="23">
        <f t="shared" si="37"/>
        <v>52.79999999999891</v>
      </c>
      <c r="AA135" s="23">
        <f t="shared" si="37"/>
        <v>58.666666666666018</v>
      </c>
      <c r="AB135" s="23">
        <f t="shared" si="37"/>
        <v>62.333333333331922</v>
      </c>
      <c r="AC135" s="24">
        <f t="shared" si="37"/>
        <v>49.13333333333361</v>
      </c>
      <c r="AD135" s="24">
        <f t="shared" si="37"/>
        <v>54.999999999999815</v>
      </c>
      <c r="AE135" s="24">
        <f t="shared" si="37"/>
        <v>58.666666666666018</v>
      </c>
      <c r="AF135" s="25">
        <f t="shared" si="37"/>
        <v>45.466666666666114</v>
      </c>
      <c r="AG135" s="25">
        <f t="shared" si="37"/>
        <v>51.333333333334053</v>
      </c>
      <c r="AH135" s="25">
        <f t="shared" si="37"/>
        <v>54.999999999999815</v>
      </c>
      <c r="AI135" s="26">
        <f t="shared" si="37"/>
        <v>41.80000000000036</v>
      </c>
      <c r="AJ135" s="26">
        <f t="shared" si="37"/>
        <v>47.666666666665947</v>
      </c>
      <c r="AK135" s="26">
        <f t="shared" si="34"/>
        <v>51.333333333334053</v>
      </c>
    </row>
    <row r="136" spans="4:37" ht="20.100000000000001" customHeight="1">
      <c r="D136" s="27">
        <f t="shared" si="38"/>
        <v>0.36944444444444363</v>
      </c>
      <c r="E136" s="16">
        <f t="shared" si="35"/>
        <v>103.44444444444588</v>
      </c>
      <c r="F136" s="16">
        <f t="shared" si="35"/>
        <v>109.35555555555678</v>
      </c>
      <c r="G136" s="16">
        <f t="shared" si="35"/>
        <v>113.04999999999964</v>
      </c>
      <c r="H136" s="17">
        <f t="shared" si="35"/>
        <v>96.055555555554122</v>
      </c>
      <c r="I136" s="17">
        <f t="shared" si="35"/>
        <v>101.96666666666488</v>
      </c>
      <c r="J136" s="17">
        <f t="shared" si="35"/>
        <v>105.66111111111059</v>
      </c>
      <c r="K136" s="18">
        <f t="shared" si="35"/>
        <v>88.666666666667979</v>
      </c>
      <c r="L136" s="18">
        <f t="shared" si="35"/>
        <v>94.577777777778351</v>
      </c>
      <c r="M136" s="18">
        <f t="shared" si="35"/>
        <v>98.272222222223647</v>
      </c>
      <c r="N136" s="19">
        <f t="shared" si="35"/>
        <v>67.977777777777447</v>
      </c>
      <c r="O136" s="19">
        <f t="shared" si="35"/>
        <v>73.888888888890364</v>
      </c>
      <c r="P136" s="19">
        <f t="shared" si="35"/>
        <v>77.583333333332419</v>
      </c>
      <c r="Q136" s="20">
        <f t="shared" si="35"/>
        <v>64.283333333334468</v>
      </c>
      <c r="R136" s="20">
        <f t="shared" si="35"/>
        <v>70.194444444445878</v>
      </c>
      <c r="S136" s="20">
        <f t="shared" si="35"/>
        <v>73.888888888890364</v>
      </c>
      <c r="T136" s="21">
        <f t="shared" si="35"/>
        <v>60.588888888890409</v>
      </c>
      <c r="U136" s="21">
        <f t="shared" si="37"/>
        <v>66.5</v>
      </c>
      <c r="V136" s="21">
        <f t="shared" si="37"/>
        <v>70.194444444445878</v>
      </c>
      <c r="W136" s="22">
        <f t="shared" si="37"/>
        <v>56.894444444444588</v>
      </c>
      <c r="X136" s="22">
        <f t="shared" si="37"/>
        <v>62.805555555554143</v>
      </c>
      <c r="Y136" s="22">
        <f t="shared" si="37"/>
        <v>66.5</v>
      </c>
      <c r="Z136" s="23">
        <f t="shared" si="37"/>
        <v>53.199999999998909</v>
      </c>
      <c r="AA136" s="23">
        <f t="shared" si="37"/>
        <v>59.111111111110461</v>
      </c>
      <c r="AB136" s="23">
        <f t="shared" si="37"/>
        <v>62.805555555554143</v>
      </c>
      <c r="AC136" s="24">
        <f t="shared" si="37"/>
        <v>49.50555555555583</v>
      </c>
      <c r="AD136" s="24">
        <f t="shared" si="37"/>
        <v>55.41666666666648</v>
      </c>
      <c r="AE136" s="24">
        <f t="shared" si="37"/>
        <v>59.111111111110461</v>
      </c>
      <c r="AF136" s="25">
        <f t="shared" si="37"/>
        <v>45.811111111110556</v>
      </c>
      <c r="AG136" s="25">
        <f t="shared" si="37"/>
        <v>51.722222222222939</v>
      </c>
      <c r="AH136" s="25">
        <f t="shared" si="37"/>
        <v>55.41666666666648</v>
      </c>
      <c r="AI136" s="26">
        <f t="shared" si="37"/>
        <v>42.11666666666703</v>
      </c>
      <c r="AJ136" s="26">
        <f t="shared" si="37"/>
        <v>48.027777777777061</v>
      </c>
      <c r="AK136" s="26">
        <f t="shared" si="34"/>
        <v>51.722222222222939</v>
      </c>
    </row>
    <row r="137" spans="4:37" ht="20.100000000000001" customHeight="1">
      <c r="D137" s="27">
        <f t="shared" si="38"/>
        <v>0.3722222222222214</v>
      </c>
      <c r="E137" s="16">
        <f t="shared" si="35"/>
        <v>104.22222222222365</v>
      </c>
      <c r="F137" s="16">
        <f t="shared" si="35"/>
        <v>110.177777777779</v>
      </c>
      <c r="G137" s="16">
        <f t="shared" si="35"/>
        <v>113.89999999999964</v>
      </c>
      <c r="H137" s="17">
        <f t="shared" si="35"/>
        <v>96.77777777777635</v>
      </c>
      <c r="I137" s="17">
        <f t="shared" si="35"/>
        <v>102.73333333333154</v>
      </c>
      <c r="J137" s="17">
        <f t="shared" si="35"/>
        <v>106.45555555555504</v>
      </c>
      <c r="K137" s="18">
        <f t="shared" si="35"/>
        <v>89.33333333333465</v>
      </c>
      <c r="L137" s="18">
        <f t="shared" si="35"/>
        <v>95.28888888888946</v>
      </c>
      <c r="M137" s="18">
        <f t="shared" si="35"/>
        <v>99.011111111112541</v>
      </c>
      <c r="N137" s="19">
        <f t="shared" si="35"/>
        <v>68.488888888888553</v>
      </c>
      <c r="O137" s="19">
        <f t="shared" si="35"/>
        <v>74.444444444445921</v>
      </c>
      <c r="P137" s="19">
        <f t="shared" si="35"/>
        <v>78.166666666665748</v>
      </c>
      <c r="Q137" s="20">
        <f t="shared" si="35"/>
        <v>64.766666666667803</v>
      </c>
      <c r="R137" s="20">
        <f t="shared" si="35"/>
        <v>70.72222222222365</v>
      </c>
      <c r="S137" s="20">
        <f t="shared" si="35"/>
        <v>74.444444444445921</v>
      </c>
      <c r="T137" s="21">
        <f t="shared" si="35"/>
        <v>61.044444444445965</v>
      </c>
      <c r="U137" s="21">
        <f t="shared" si="37"/>
        <v>67</v>
      </c>
      <c r="V137" s="21">
        <f t="shared" si="37"/>
        <v>70.72222222222365</v>
      </c>
      <c r="W137" s="22">
        <f t="shared" si="37"/>
        <v>57.322222222222365</v>
      </c>
      <c r="X137" s="22">
        <f t="shared" si="37"/>
        <v>63.277777777776365</v>
      </c>
      <c r="Y137" s="22">
        <f t="shared" si="37"/>
        <v>67</v>
      </c>
      <c r="Z137" s="23">
        <f t="shared" si="37"/>
        <v>53.599999999998907</v>
      </c>
      <c r="AA137" s="23">
        <f t="shared" si="37"/>
        <v>59.555555555554903</v>
      </c>
      <c r="AB137" s="23">
        <f t="shared" si="37"/>
        <v>63.277777777776365</v>
      </c>
      <c r="AC137" s="24">
        <f t="shared" si="37"/>
        <v>49.87777777777805</v>
      </c>
      <c r="AD137" s="24">
        <f t="shared" si="37"/>
        <v>55.833333333333144</v>
      </c>
      <c r="AE137" s="24">
        <f t="shared" si="37"/>
        <v>59.555555555554903</v>
      </c>
      <c r="AF137" s="25">
        <f t="shared" si="37"/>
        <v>46.155555555554997</v>
      </c>
      <c r="AG137" s="25">
        <f t="shared" si="37"/>
        <v>52.111111111111825</v>
      </c>
      <c r="AH137" s="25">
        <f t="shared" si="37"/>
        <v>55.833333333333144</v>
      </c>
      <c r="AI137" s="26">
        <f t="shared" si="37"/>
        <v>42.433333333333699</v>
      </c>
      <c r="AJ137" s="26">
        <f t="shared" si="37"/>
        <v>48.388888888888175</v>
      </c>
      <c r="AK137" s="26">
        <f t="shared" si="34"/>
        <v>52.111111111111825</v>
      </c>
    </row>
    <row r="138" spans="4:37" ht="20.100000000000001" customHeight="1">
      <c r="D138" s="27">
        <f t="shared" si="38"/>
        <v>0.37499999999999917</v>
      </c>
      <c r="E138" s="16">
        <f t="shared" si="35"/>
        <v>105.00000000000142</v>
      </c>
      <c r="F138" s="16">
        <f t="shared" si="35"/>
        <v>111.00000000000122</v>
      </c>
      <c r="G138" s="16">
        <f t="shared" si="35"/>
        <v>114.74999999999963</v>
      </c>
      <c r="H138" s="17">
        <f t="shared" si="35"/>
        <v>97.499999999998579</v>
      </c>
      <c r="I138" s="17">
        <f t="shared" si="35"/>
        <v>103.49999999999821</v>
      </c>
      <c r="J138" s="17">
        <f t="shared" si="35"/>
        <v>107.24999999999949</v>
      </c>
      <c r="K138" s="18">
        <f t="shared" si="35"/>
        <v>90.000000000001322</v>
      </c>
      <c r="L138" s="18">
        <f t="shared" si="35"/>
        <v>96.000000000000568</v>
      </c>
      <c r="M138" s="18">
        <f t="shared" si="35"/>
        <v>99.750000000001435</v>
      </c>
      <c r="N138" s="19">
        <f t="shared" si="35"/>
        <v>68.999999999999659</v>
      </c>
      <c r="O138" s="19">
        <f t="shared" si="35"/>
        <v>75.000000000001478</v>
      </c>
      <c r="P138" s="19">
        <f t="shared" si="35"/>
        <v>78.749999999999076</v>
      </c>
      <c r="Q138" s="20">
        <f t="shared" si="35"/>
        <v>65.250000000001137</v>
      </c>
      <c r="R138" s="20">
        <f t="shared" si="35"/>
        <v>71.250000000001421</v>
      </c>
      <c r="S138" s="20">
        <f t="shared" si="35"/>
        <v>75.000000000001478</v>
      </c>
      <c r="T138" s="21">
        <f t="shared" si="35"/>
        <v>61.500000000001521</v>
      </c>
      <c r="U138" s="21">
        <f t="shared" si="37"/>
        <v>67.5</v>
      </c>
      <c r="V138" s="21">
        <f t="shared" si="37"/>
        <v>71.250000000001421</v>
      </c>
      <c r="W138" s="22">
        <f t="shared" si="37"/>
        <v>57.750000000000142</v>
      </c>
      <c r="X138" s="22">
        <f t="shared" si="37"/>
        <v>63.749999999998586</v>
      </c>
      <c r="Y138" s="22">
        <f t="shared" si="37"/>
        <v>67.5</v>
      </c>
      <c r="Z138" s="23">
        <f t="shared" si="37"/>
        <v>53.999999999998906</v>
      </c>
      <c r="AA138" s="23">
        <f t="shared" si="37"/>
        <v>59.999999999999346</v>
      </c>
      <c r="AB138" s="23">
        <f t="shared" si="37"/>
        <v>63.749999999998586</v>
      </c>
      <c r="AC138" s="24">
        <f t="shared" si="37"/>
        <v>50.25000000000027</v>
      </c>
      <c r="AD138" s="24">
        <f t="shared" si="37"/>
        <v>56.249999999999808</v>
      </c>
      <c r="AE138" s="24">
        <f t="shared" si="37"/>
        <v>59.999999999999346</v>
      </c>
      <c r="AF138" s="25">
        <f t="shared" si="37"/>
        <v>46.499999999999439</v>
      </c>
      <c r="AG138" s="25">
        <f t="shared" si="37"/>
        <v>52.500000000000711</v>
      </c>
      <c r="AH138" s="25">
        <f t="shared" si="37"/>
        <v>56.249999999999808</v>
      </c>
      <c r="AI138" s="26">
        <f t="shared" si="37"/>
        <v>42.750000000000369</v>
      </c>
      <c r="AJ138" s="26">
        <f t="shared" si="37"/>
        <v>48.749999999999289</v>
      </c>
      <c r="AK138" s="26">
        <f t="shared" si="34"/>
        <v>52.500000000000711</v>
      </c>
    </row>
    <row r="139" spans="4:37" ht="20.100000000000001" customHeight="1">
      <c r="D139" s="27">
        <f t="shared" si="38"/>
        <v>0.37777777777777694</v>
      </c>
      <c r="E139" s="16">
        <f t="shared" si="35"/>
        <v>105.77777777777919</v>
      </c>
      <c r="F139" s="16">
        <f t="shared" si="35"/>
        <v>111.82222222222344</v>
      </c>
      <c r="G139" s="16">
        <f t="shared" si="35"/>
        <v>115.59999999999962</v>
      </c>
      <c r="H139" s="17">
        <f t="shared" si="35"/>
        <v>98.222222222220807</v>
      </c>
      <c r="I139" s="17">
        <f t="shared" si="35"/>
        <v>104.26666666666488</v>
      </c>
      <c r="J139" s="17">
        <f t="shared" si="35"/>
        <v>108.04444444444394</v>
      </c>
      <c r="K139" s="18">
        <f t="shared" si="35"/>
        <v>90.666666666667993</v>
      </c>
      <c r="L139" s="18">
        <f t="shared" si="35"/>
        <v>96.711111111111677</v>
      </c>
      <c r="M139" s="18">
        <f t="shared" si="35"/>
        <v>100.48888888889033</v>
      </c>
      <c r="N139" s="19">
        <f t="shared" si="35"/>
        <v>69.511111111110765</v>
      </c>
      <c r="O139" s="19">
        <f t="shared" si="35"/>
        <v>75.555555555557035</v>
      </c>
      <c r="P139" s="19">
        <f t="shared" si="35"/>
        <v>79.333333333332405</v>
      </c>
      <c r="Q139" s="20">
        <f t="shared" si="35"/>
        <v>65.733333333334471</v>
      </c>
      <c r="R139" s="20">
        <f t="shared" si="35"/>
        <v>71.777777777779193</v>
      </c>
      <c r="S139" s="20">
        <f t="shared" si="35"/>
        <v>75.555555555557035</v>
      </c>
      <c r="T139" s="21">
        <f t="shared" si="35"/>
        <v>61.955555555557076</v>
      </c>
      <c r="U139" s="21">
        <f t="shared" si="37"/>
        <v>68</v>
      </c>
      <c r="V139" s="21">
        <f t="shared" si="37"/>
        <v>71.777777777779193</v>
      </c>
      <c r="W139" s="22">
        <f t="shared" si="37"/>
        <v>58.177777777777919</v>
      </c>
      <c r="X139" s="22">
        <f t="shared" si="37"/>
        <v>64.222222222220807</v>
      </c>
      <c r="Y139" s="22">
        <f t="shared" si="37"/>
        <v>68</v>
      </c>
      <c r="Z139" s="23">
        <f t="shared" si="37"/>
        <v>54.399999999998904</v>
      </c>
      <c r="AA139" s="23">
        <f t="shared" si="37"/>
        <v>60.444444444443789</v>
      </c>
      <c r="AB139" s="23">
        <f t="shared" si="37"/>
        <v>64.222222222220807</v>
      </c>
      <c r="AC139" s="24">
        <f t="shared" si="37"/>
        <v>50.62222222222249</v>
      </c>
      <c r="AD139" s="24">
        <f t="shared" si="37"/>
        <v>56.666666666666472</v>
      </c>
      <c r="AE139" s="24">
        <f t="shared" si="37"/>
        <v>60.444444444443789</v>
      </c>
      <c r="AF139" s="25">
        <f t="shared" si="37"/>
        <v>46.84444444444388</v>
      </c>
      <c r="AG139" s="25">
        <f t="shared" si="37"/>
        <v>52.888888888889596</v>
      </c>
      <c r="AH139" s="25">
        <f t="shared" si="37"/>
        <v>56.666666666666472</v>
      </c>
      <c r="AI139" s="26">
        <f t="shared" si="37"/>
        <v>43.066666666667039</v>
      </c>
      <c r="AJ139" s="26">
        <f t="shared" si="37"/>
        <v>49.111111111110404</v>
      </c>
      <c r="AK139" s="26">
        <f t="shared" si="34"/>
        <v>52.888888888889596</v>
      </c>
    </row>
    <row r="140" spans="4:37" ht="20.100000000000001" customHeight="1">
      <c r="D140" s="27">
        <f t="shared" si="38"/>
        <v>0.3805555555555547</v>
      </c>
      <c r="E140" s="16">
        <f t="shared" si="35"/>
        <v>106.55555555555696</v>
      </c>
      <c r="F140" s="16">
        <f t="shared" si="35"/>
        <v>112.64444444444567</v>
      </c>
      <c r="G140" s="16">
        <f t="shared" si="35"/>
        <v>116.44999999999962</v>
      </c>
      <c r="H140" s="17">
        <f t="shared" si="35"/>
        <v>98.944444444443036</v>
      </c>
      <c r="I140" s="17">
        <f t="shared" si="35"/>
        <v>105.03333333333154</v>
      </c>
      <c r="J140" s="17">
        <f t="shared" si="35"/>
        <v>108.83888888888839</v>
      </c>
      <c r="K140" s="18">
        <f t="shared" si="35"/>
        <v>91.333333333334664</v>
      </c>
      <c r="L140" s="18">
        <f t="shared" si="35"/>
        <v>97.422222222222786</v>
      </c>
      <c r="M140" s="18">
        <f t="shared" si="35"/>
        <v>101.22777777777922</v>
      </c>
      <c r="N140" s="19">
        <f t="shared" si="35"/>
        <v>70.02222222222187</v>
      </c>
      <c r="O140" s="19">
        <f t="shared" si="35"/>
        <v>76.111111111112592</v>
      </c>
      <c r="P140" s="19">
        <f t="shared" si="35"/>
        <v>79.916666666665733</v>
      </c>
      <c r="Q140" s="20">
        <f t="shared" si="35"/>
        <v>66.216666666667805</v>
      </c>
      <c r="R140" s="20">
        <f t="shared" si="35"/>
        <v>72.305555555556964</v>
      </c>
      <c r="S140" s="20">
        <f t="shared" si="35"/>
        <v>76.111111111112592</v>
      </c>
      <c r="T140" s="21">
        <f t="shared" si="35"/>
        <v>62.411111111112632</v>
      </c>
      <c r="U140" s="21">
        <f t="shared" si="37"/>
        <v>68.5</v>
      </c>
      <c r="V140" s="21">
        <f t="shared" si="37"/>
        <v>72.305555555556964</v>
      </c>
      <c r="W140" s="22">
        <f t="shared" si="37"/>
        <v>58.605555555555696</v>
      </c>
      <c r="X140" s="22">
        <f t="shared" si="37"/>
        <v>64.694444444443036</v>
      </c>
      <c r="Y140" s="22">
        <f t="shared" si="37"/>
        <v>68.5</v>
      </c>
      <c r="Z140" s="23">
        <f t="shared" si="37"/>
        <v>54.799999999998903</v>
      </c>
      <c r="AA140" s="23">
        <f t="shared" si="37"/>
        <v>60.888888888888232</v>
      </c>
      <c r="AB140" s="23">
        <f t="shared" si="37"/>
        <v>64.694444444443036</v>
      </c>
      <c r="AC140" s="24">
        <f t="shared" si="37"/>
        <v>50.99444444444471</v>
      </c>
      <c r="AD140" s="24">
        <f t="shared" si="37"/>
        <v>57.083333333333137</v>
      </c>
      <c r="AE140" s="24">
        <f t="shared" si="37"/>
        <v>60.888888888888232</v>
      </c>
      <c r="AF140" s="25">
        <f t="shared" si="37"/>
        <v>47.188888888888322</v>
      </c>
      <c r="AG140" s="25">
        <f t="shared" si="37"/>
        <v>53.277777777778482</v>
      </c>
      <c r="AH140" s="25">
        <f t="shared" si="37"/>
        <v>57.083333333333137</v>
      </c>
      <c r="AI140" s="26">
        <f t="shared" si="37"/>
        <v>43.383333333333709</v>
      </c>
      <c r="AJ140" s="26">
        <f t="shared" si="37"/>
        <v>49.472222222221518</v>
      </c>
      <c r="AK140" s="26">
        <f t="shared" si="34"/>
        <v>53.277777777778482</v>
      </c>
    </row>
    <row r="141" spans="4:37" ht="20.100000000000001" customHeight="1">
      <c r="D141" s="27">
        <f t="shared" si="38"/>
        <v>0.38333333333333247</v>
      </c>
      <c r="E141" s="16">
        <f t="shared" si="35"/>
        <v>107.33333333333474</v>
      </c>
      <c r="F141" s="16">
        <f t="shared" si="35"/>
        <v>113.46666666666789</v>
      </c>
      <c r="G141" s="16">
        <f t="shared" si="35"/>
        <v>117.29999999999961</v>
      </c>
      <c r="H141" s="17">
        <f t="shared" si="35"/>
        <v>99.666666666665265</v>
      </c>
      <c r="I141" s="17">
        <f t="shared" si="35"/>
        <v>105.79999999999821</v>
      </c>
      <c r="J141" s="17">
        <f t="shared" si="35"/>
        <v>109.63333333333284</v>
      </c>
      <c r="K141" s="18">
        <f t="shared" si="35"/>
        <v>92.000000000001336</v>
      </c>
      <c r="L141" s="18">
        <f t="shared" si="35"/>
        <v>98.133333333333894</v>
      </c>
      <c r="M141" s="18">
        <f t="shared" si="35"/>
        <v>101.96666666666812</v>
      </c>
      <c r="N141" s="19">
        <f t="shared" si="35"/>
        <v>70.533333333332976</v>
      </c>
      <c r="O141" s="19">
        <f t="shared" si="35"/>
        <v>76.666666666668149</v>
      </c>
      <c r="P141" s="19">
        <f t="shared" si="35"/>
        <v>80.499999999999062</v>
      </c>
      <c r="Q141" s="20">
        <f t="shared" si="35"/>
        <v>66.70000000000114</v>
      </c>
      <c r="R141" s="20">
        <f t="shared" si="35"/>
        <v>72.833333333334735</v>
      </c>
      <c r="S141" s="20">
        <f t="shared" si="35"/>
        <v>76.666666666668149</v>
      </c>
      <c r="T141" s="21">
        <f t="shared" si="35"/>
        <v>62.866666666668188</v>
      </c>
      <c r="U141" s="21">
        <f t="shared" si="37"/>
        <v>69</v>
      </c>
      <c r="V141" s="21">
        <f t="shared" si="37"/>
        <v>72.833333333334735</v>
      </c>
      <c r="W141" s="22">
        <f t="shared" si="37"/>
        <v>59.033333333333474</v>
      </c>
      <c r="X141" s="22">
        <f t="shared" si="37"/>
        <v>65.166666666665265</v>
      </c>
      <c r="Y141" s="22">
        <f t="shared" si="37"/>
        <v>69</v>
      </c>
      <c r="Z141" s="23">
        <f t="shared" si="37"/>
        <v>55.199999999998902</v>
      </c>
      <c r="AA141" s="23">
        <f t="shared" si="37"/>
        <v>61.333333333332675</v>
      </c>
      <c r="AB141" s="23">
        <f t="shared" si="37"/>
        <v>65.166666666665265</v>
      </c>
      <c r="AC141" s="24">
        <f t="shared" si="37"/>
        <v>51.36666666666693</v>
      </c>
      <c r="AD141" s="24">
        <f t="shared" si="37"/>
        <v>57.499999999999801</v>
      </c>
      <c r="AE141" s="24">
        <f t="shared" si="37"/>
        <v>61.333333333332675</v>
      </c>
      <c r="AF141" s="25">
        <f t="shared" si="37"/>
        <v>47.533333333332763</v>
      </c>
      <c r="AG141" s="25">
        <f t="shared" si="37"/>
        <v>53.666666666667368</v>
      </c>
      <c r="AH141" s="25">
        <f t="shared" si="37"/>
        <v>57.499999999999801</v>
      </c>
      <c r="AI141" s="26">
        <f t="shared" si="37"/>
        <v>43.700000000000379</v>
      </c>
      <c r="AJ141" s="26">
        <f t="shared" si="37"/>
        <v>49.833333333332632</v>
      </c>
      <c r="AK141" s="26">
        <f t="shared" si="34"/>
        <v>53.666666666667368</v>
      </c>
    </row>
    <row r="142" spans="4:37" ht="20.100000000000001" customHeight="1">
      <c r="D142" s="27">
        <f t="shared" si="38"/>
        <v>0.38611111111111024</v>
      </c>
      <c r="E142" s="16">
        <f t="shared" si="35"/>
        <v>108.11111111111251</v>
      </c>
      <c r="F142" s="16">
        <f t="shared" si="35"/>
        <v>114.28888888889011</v>
      </c>
      <c r="G142" s="16">
        <f t="shared" si="35"/>
        <v>118.14999999999961</v>
      </c>
      <c r="H142" s="17">
        <f t="shared" si="35"/>
        <v>100.38888888888749</v>
      </c>
      <c r="I142" s="17">
        <f t="shared" si="35"/>
        <v>106.56666666666487</v>
      </c>
      <c r="J142" s="17">
        <f t="shared" si="35"/>
        <v>110.42777777777729</v>
      </c>
      <c r="K142" s="18">
        <f t="shared" si="35"/>
        <v>92.666666666668007</v>
      </c>
      <c r="L142" s="18">
        <f t="shared" si="35"/>
        <v>98.844444444445003</v>
      </c>
      <c r="M142" s="18">
        <f t="shared" si="35"/>
        <v>102.70555555555701</v>
      </c>
      <c r="N142" s="19">
        <f t="shared" si="35"/>
        <v>71.044444444444082</v>
      </c>
      <c r="O142" s="19">
        <f t="shared" si="35"/>
        <v>77.222222222223706</v>
      </c>
      <c r="P142" s="19">
        <f t="shared" si="35"/>
        <v>81.083333333332391</v>
      </c>
      <c r="Q142" s="20">
        <f t="shared" si="35"/>
        <v>67.183333333334474</v>
      </c>
      <c r="R142" s="20">
        <f t="shared" si="35"/>
        <v>73.361111111112507</v>
      </c>
      <c r="S142" s="20">
        <f t="shared" si="35"/>
        <v>77.222222222223706</v>
      </c>
      <c r="T142" s="21">
        <f t="shared" si="35"/>
        <v>63.322222222223743</v>
      </c>
      <c r="U142" s="21">
        <f t="shared" si="37"/>
        <v>69.5</v>
      </c>
      <c r="V142" s="21">
        <f t="shared" si="37"/>
        <v>73.361111111112507</v>
      </c>
      <c r="W142" s="22">
        <f t="shared" si="37"/>
        <v>59.461111111111251</v>
      </c>
      <c r="X142" s="22">
        <f t="shared" si="37"/>
        <v>65.638888888887493</v>
      </c>
      <c r="Y142" s="22">
        <f t="shared" si="37"/>
        <v>69.5</v>
      </c>
      <c r="Z142" s="23">
        <f t="shared" si="37"/>
        <v>55.5999999999989</v>
      </c>
      <c r="AA142" s="23">
        <f t="shared" si="37"/>
        <v>61.777777777777118</v>
      </c>
      <c r="AB142" s="23">
        <f t="shared" si="37"/>
        <v>65.638888888887493</v>
      </c>
      <c r="AC142" s="24">
        <f t="shared" si="37"/>
        <v>51.73888888888915</v>
      </c>
      <c r="AD142" s="24">
        <f t="shared" si="37"/>
        <v>57.916666666666465</v>
      </c>
      <c r="AE142" s="24">
        <f t="shared" si="37"/>
        <v>61.777777777777118</v>
      </c>
      <c r="AF142" s="25">
        <f t="shared" si="37"/>
        <v>47.877777777777204</v>
      </c>
      <c r="AG142" s="25">
        <f t="shared" si="37"/>
        <v>54.055555555556253</v>
      </c>
      <c r="AH142" s="25">
        <f t="shared" si="37"/>
        <v>57.916666666666465</v>
      </c>
      <c r="AI142" s="26">
        <f t="shared" si="37"/>
        <v>44.016666666667049</v>
      </c>
      <c r="AJ142" s="26">
        <f t="shared" si="37"/>
        <v>50.194444444443747</v>
      </c>
      <c r="AK142" s="26">
        <f t="shared" si="34"/>
        <v>54.055555555556253</v>
      </c>
    </row>
    <row r="143" spans="4:37" ht="20.100000000000001" customHeight="1">
      <c r="D143" s="27">
        <f t="shared" si="38"/>
        <v>0.38888888888888801</v>
      </c>
      <c r="E143" s="16">
        <f t="shared" si="35"/>
        <v>108.88888888889028</v>
      </c>
      <c r="F143" s="16">
        <f t="shared" si="35"/>
        <v>115.11111111111234</v>
      </c>
      <c r="G143" s="16">
        <f t="shared" si="35"/>
        <v>118.9999999999996</v>
      </c>
      <c r="H143" s="17">
        <f t="shared" si="35"/>
        <v>101.11111111110972</v>
      </c>
      <c r="I143" s="17">
        <f t="shared" si="35"/>
        <v>107.33333333333154</v>
      </c>
      <c r="J143" s="17">
        <f t="shared" si="35"/>
        <v>111.22222222222175</v>
      </c>
      <c r="K143" s="18">
        <f t="shared" si="35"/>
        <v>93.333333333334679</v>
      </c>
      <c r="L143" s="18">
        <f t="shared" si="35"/>
        <v>99.555555555556111</v>
      </c>
      <c r="M143" s="18">
        <f t="shared" si="35"/>
        <v>103.44444444444591</v>
      </c>
      <c r="N143" s="19">
        <f t="shared" si="35"/>
        <v>71.555555555555188</v>
      </c>
      <c r="O143" s="19">
        <f t="shared" si="35"/>
        <v>77.777777777779264</v>
      </c>
      <c r="P143" s="19">
        <f t="shared" si="35"/>
        <v>81.666666666665719</v>
      </c>
      <c r="Q143" s="20">
        <f t="shared" si="35"/>
        <v>67.666666666667808</v>
      </c>
      <c r="R143" s="20">
        <f t="shared" si="35"/>
        <v>73.888888888890278</v>
      </c>
      <c r="S143" s="20">
        <f t="shared" si="35"/>
        <v>77.777777777779264</v>
      </c>
      <c r="T143" s="21">
        <f t="shared" si="35"/>
        <v>63.777777777779299</v>
      </c>
      <c r="U143" s="21">
        <f t="shared" si="37"/>
        <v>70</v>
      </c>
      <c r="V143" s="21">
        <f t="shared" si="37"/>
        <v>73.888888888890278</v>
      </c>
      <c r="W143" s="22">
        <f t="shared" si="37"/>
        <v>59.888888888889028</v>
      </c>
      <c r="X143" s="22">
        <f t="shared" si="37"/>
        <v>66.111111111109722</v>
      </c>
      <c r="Y143" s="22">
        <f t="shared" si="37"/>
        <v>70</v>
      </c>
      <c r="Z143" s="23">
        <f t="shared" si="37"/>
        <v>55.999999999998899</v>
      </c>
      <c r="AA143" s="23">
        <f t="shared" si="37"/>
        <v>62.222222222221561</v>
      </c>
      <c r="AB143" s="23">
        <f t="shared" si="37"/>
        <v>66.111111111109722</v>
      </c>
      <c r="AC143" s="24">
        <f t="shared" si="37"/>
        <v>52.11111111111137</v>
      </c>
      <c r="AD143" s="24">
        <f t="shared" si="37"/>
        <v>58.33333333333313</v>
      </c>
      <c r="AE143" s="24">
        <f t="shared" si="37"/>
        <v>62.222222222221561</v>
      </c>
      <c r="AF143" s="25">
        <f t="shared" si="37"/>
        <v>48.222222222221646</v>
      </c>
      <c r="AG143" s="25">
        <f t="shared" si="37"/>
        <v>54.444444444445139</v>
      </c>
      <c r="AH143" s="25">
        <f t="shared" si="37"/>
        <v>58.33333333333313</v>
      </c>
      <c r="AI143" s="26">
        <f t="shared" si="37"/>
        <v>44.333333333333719</v>
      </c>
      <c r="AJ143" s="26">
        <f t="shared" si="37"/>
        <v>50.555555555554861</v>
      </c>
      <c r="AK143" s="26">
        <f t="shared" si="34"/>
        <v>54.444444444445139</v>
      </c>
    </row>
    <row r="144" spans="4:37" ht="20.100000000000001" customHeight="1">
      <c r="D144" s="27">
        <f t="shared" si="38"/>
        <v>0.39166666666666577</v>
      </c>
      <c r="E144" s="16">
        <f t="shared" si="35"/>
        <v>109.66666666666805</v>
      </c>
      <c r="F144" s="16">
        <f t="shared" si="35"/>
        <v>115.93333333333456</v>
      </c>
      <c r="G144" s="16">
        <f t="shared" si="35"/>
        <v>119.8499999999996</v>
      </c>
      <c r="H144" s="17">
        <f t="shared" si="35"/>
        <v>101.83333333333195</v>
      </c>
      <c r="I144" s="17">
        <f t="shared" si="35"/>
        <v>108.0999999999982</v>
      </c>
      <c r="J144" s="17">
        <f t="shared" si="35"/>
        <v>112.0166666666662</v>
      </c>
      <c r="K144" s="18">
        <f t="shared" si="35"/>
        <v>94.00000000000135</v>
      </c>
      <c r="L144" s="18">
        <f t="shared" si="35"/>
        <v>100.26666666666722</v>
      </c>
      <c r="M144" s="18">
        <f t="shared" si="35"/>
        <v>104.1833333333348</v>
      </c>
      <c r="N144" s="19">
        <f t="shared" si="35"/>
        <v>72.066666666666293</v>
      </c>
      <c r="O144" s="19">
        <f t="shared" si="35"/>
        <v>78.333333333334821</v>
      </c>
      <c r="P144" s="19">
        <f t="shared" si="35"/>
        <v>82.249999999999048</v>
      </c>
      <c r="Q144" s="20">
        <f t="shared" si="35"/>
        <v>68.150000000001143</v>
      </c>
      <c r="R144" s="20">
        <f t="shared" si="35"/>
        <v>74.41666666666805</v>
      </c>
      <c r="S144" s="20">
        <f t="shared" si="35"/>
        <v>78.333333333334821</v>
      </c>
      <c r="T144" s="21">
        <f t="shared" ref="T144:AI162" si="39">T145-(T$363/360)</f>
        <v>64.233333333334855</v>
      </c>
      <c r="U144" s="21">
        <f t="shared" si="37"/>
        <v>70.5</v>
      </c>
      <c r="V144" s="21">
        <f t="shared" si="37"/>
        <v>74.41666666666805</v>
      </c>
      <c r="W144" s="22">
        <f t="shared" si="37"/>
        <v>60.316666666666805</v>
      </c>
      <c r="X144" s="22">
        <f t="shared" si="37"/>
        <v>66.58333333333195</v>
      </c>
      <c r="Y144" s="22">
        <f t="shared" si="37"/>
        <v>70.5</v>
      </c>
      <c r="Z144" s="23">
        <f t="shared" si="37"/>
        <v>56.399999999998897</v>
      </c>
      <c r="AA144" s="23">
        <f t="shared" si="37"/>
        <v>62.666666666666003</v>
      </c>
      <c r="AB144" s="23">
        <f t="shared" si="37"/>
        <v>66.58333333333195</v>
      </c>
      <c r="AC144" s="24">
        <f t="shared" si="37"/>
        <v>52.48333333333359</v>
      </c>
      <c r="AD144" s="24">
        <f t="shared" si="37"/>
        <v>58.749999999999794</v>
      </c>
      <c r="AE144" s="24">
        <f t="shared" si="37"/>
        <v>62.666666666666003</v>
      </c>
      <c r="AF144" s="25">
        <f t="shared" si="37"/>
        <v>48.566666666666087</v>
      </c>
      <c r="AG144" s="25">
        <f t="shared" si="37"/>
        <v>54.833333333334025</v>
      </c>
      <c r="AH144" s="25">
        <f t="shared" si="37"/>
        <v>58.749999999999794</v>
      </c>
      <c r="AI144" s="26">
        <f t="shared" si="37"/>
        <v>44.650000000000389</v>
      </c>
      <c r="AJ144" s="26">
        <f t="shared" si="37"/>
        <v>50.916666666665975</v>
      </c>
      <c r="AK144" s="26">
        <f t="shared" si="34"/>
        <v>54.833333333334025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110.44444444444582</v>
      </c>
      <c r="F145" s="16">
        <f t="shared" si="40"/>
        <v>116.75555555555678</v>
      </c>
      <c r="G145" s="16">
        <f t="shared" si="40"/>
        <v>120.69999999999959</v>
      </c>
      <c r="H145" s="17">
        <f t="shared" si="40"/>
        <v>102.55555555555418</v>
      </c>
      <c r="I145" s="17">
        <f t="shared" si="40"/>
        <v>108.86666666666487</v>
      </c>
      <c r="J145" s="17">
        <f t="shared" si="40"/>
        <v>112.81111111111065</v>
      </c>
      <c r="K145" s="18">
        <f t="shared" si="40"/>
        <v>94.666666666668021</v>
      </c>
      <c r="L145" s="18">
        <f t="shared" si="40"/>
        <v>100.97777777777833</v>
      </c>
      <c r="M145" s="18">
        <f t="shared" si="40"/>
        <v>104.9222222222237</v>
      </c>
      <c r="N145" s="19">
        <f t="shared" si="40"/>
        <v>72.577777777777399</v>
      </c>
      <c r="O145" s="19">
        <f t="shared" si="40"/>
        <v>78.888888888890378</v>
      </c>
      <c r="P145" s="19">
        <f t="shared" si="40"/>
        <v>82.833333333332376</v>
      </c>
      <c r="Q145" s="20">
        <f t="shared" si="40"/>
        <v>68.633333333334477</v>
      </c>
      <c r="R145" s="20">
        <f t="shared" si="40"/>
        <v>74.944444444445821</v>
      </c>
      <c r="S145" s="20">
        <f t="shared" si="40"/>
        <v>78.888888888890378</v>
      </c>
      <c r="T145" s="21">
        <f t="shared" si="39"/>
        <v>64.688888888890403</v>
      </c>
      <c r="U145" s="21">
        <f t="shared" si="37"/>
        <v>71</v>
      </c>
      <c r="V145" s="21">
        <f t="shared" si="37"/>
        <v>74.944444444445821</v>
      </c>
      <c r="W145" s="22">
        <f t="shared" si="37"/>
        <v>60.744444444444582</v>
      </c>
      <c r="X145" s="22">
        <f t="shared" si="37"/>
        <v>67.055555555554179</v>
      </c>
      <c r="Y145" s="22">
        <f t="shared" si="37"/>
        <v>71</v>
      </c>
      <c r="Z145" s="23">
        <f t="shared" si="37"/>
        <v>56.799999999998896</v>
      </c>
      <c r="AA145" s="23">
        <f t="shared" si="37"/>
        <v>63.111111111110446</v>
      </c>
      <c r="AB145" s="23">
        <f t="shared" si="37"/>
        <v>67.055555555554179</v>
      </c>
      <c r="AC145" s="24">
        <f t="shared" si="37"/>
        <v>52.85555555555581</v>
      </c>
      <c r="AD145" s="24">
        <f t="shared" si="37"/>
        <v>59.166666666666458</v>
      </c>
      <c r="AE145" s="24">
        <f t="shared" si="37"/>
        <v>63.111111111110446</v>
      </c>
      <c r="AF145" s="25">
        <f t="shared" si="37"/>
        <v>48.911111111110529</v>
      </c>
      <c r="AG145" s="25">
        <f t="shared" si="37"/>
        <v>55.222222222222911</v>
      </c>
      <c r="AH145" s="25">
        <f t="shared" si="37"/>
        <v>59.166666666666458</v>
      </c>
      <c r="AI145" s="26">
        <f t="shared" si="37"/>
        <v>44.966666666667059</v>
      </c>
      <c r="AJ145" s="26">
        <f t="shared" si="37"/>
        <v>51.277777777777089</v>
      </c>
      <c r="AK145" s="26">
        <f t="shared" si="34"/>
        <v>55.222222222222911</v>
      </c>
    </row>
    <row r="146" spans="4:37" ht="20.100000000000001" customHeight="1">
      <c r="D146" s="27">
        <f t="shared" si="38"/>
        <v>0.39722222222222131</v>
      </c>
      <c r="E146" s="16">
        <f t="shared" si="40"/>
        <v>111.22222222222359</v>
      </c>
      <c r="F146" s="16">
        <f t="shared" si="40"/>
        <v>117.577777777779</v>
      </c>
      <c r="G146" s="16">
        <f t="shared" si="40"/>
        <v>121.54999999999959</v>
      </c>
      <c r="H146" s="17">
        <f t="shared" si="40"/>
        <v>103.27777777777641</v>
      </c>
      <c r="I146" s="17">
        <f t="shared" si="40"/>
        <v>109.63333333333154</v>
      </c>
      <c r="J146" s="17">
        <f t="shared" si="40"/>
        <v>113.6055555555551</v>
      </c>
      <c r="K146" s="18">
        <f t="shared" si="40"/>
        <v>95.333333333334693</v>
      </c>
      <c r="L146" s="18">
        <f t="shared" si="40"/>
        <v>101.68888888888944</v>
      </c>
      <c r="M146" s="18">
        <f t="shared" si="40"/>
        <v>105.66111111111259</v>
      </c>
      <c r="N146" s="19">
        <f t="shared" si="40"/>
        <v>73.088888888888505</v>
      </c>
      <c r="O146" s="19">
        <f t="shared" si="40"/>
        <v>79.444444444445935</v>
      </c>
      <c r="P146" s="19">
        <f t="shared" si="40"/>
        <v>83.416666666665705</v>
      </c>
      <c r="Q146" s="20">
        <f t="shared" si="40"/>
        <v>69.116666666667811</v>
      </c>
      <c r="R146" s="20">
        <f t="shared" si="40"/>
        <v>75.472222222223593</v>
      </c>
      <c r="S146" s="20">
        <f t="shared" si="40"/>
        <v>79.444444444445935</v>
      </c>
      <c r="T146" s="21">
        <f t="shared" si="39"/>
        <v>65.144444444445952</v>
      </c>
      <c r="U146" s="21">
        <f t="shared" si="37"/>
        <v>71.5</v>
      </c>
      <c r="V146" s="21">
        <f t="shared" si="37"/>
        <v>75.472222222223593</v>
      </c>
      <c r="W146" s="22">
        <f t="shared" si="37"/>
        <v>61.172222222222359</v>
      </c>
      <c r="X146" s="22">
        <f t="shared" si="37"/>
        <v>67.527777777776407</v>
      </c>
      <c r="Y146" s="22">
        <f t="shared" si="37"/>
        <v>71.5</v>
      </c>
      <c r="Z146" s="23">
        <f t="shared" si="37"/>
        <v>57.199999999998894</v>
      </c>
      <c r="AA146" s="23">
        <f t="shared" si="37"/>
        <v>63.555555555554889</v>
      </c>
      <c r="AB146" s="23">
        <f t="shared" si="37"/>
        <v>67.527777777776407</v>
      </c>
      <c r="AC146" s="24">
        <f t="shared" si="37"/>
        <v>53.22777777777803</v>
      </c>
      <c r="AD146" s="24">
        <f t="shared" si="37"/>
        <v>59.583333333333123</v>
      </c>
      <c r="AE146" s="24">
        <f t="shared" si="37"/>
        <v>63.555555555554889</v>
      </c>
      <c r="AF146" s="25">
        <f t="shared" si="37"/>
        <v>49.25555555555497</v>
      </c>
      <c r="AG146" s="25">
        <f t="shared" si="37"/>
        <v>55.611111111111796</v>
      </c>
      <c r="AH146" s="25">
        <f t="shared" si="37"/>
        <v>59.583333333333123</v>
      </c>
      <c r="AI146" s="26">
        <f t="shared" si="37"/>
        <v>45.283333333333729</v>
      </c>
      <c r="AJ146" s="26">
        <f t="shared" ref="AJ146:AK161" si="41">AJ147-(AJ$363/360)</f>
        <v>51.638888888888204</v>
      </c>
      <c r="AK146" s="26">
        <f t="shared" si="41"/>
        <v>55.611111111111796</v>
      </c>
    </row>
    <row r="147" spans="4:37" ht="20.100000000000001" customHeight="1">
      <c r="D147" s="27">
        <f t="shared" si="38"/>
        <v>0.39999999999999908</v>
      </c>
      <c r="E147" s="16">
        <f t="shared" si="40"/>
        <v>112.00000000000136</v>
      </c>
      <c r="F147" s="16">
        <f t="shared" si="40"/>
        <v>118.40000000000123</v>
      </c>
      <c r="G147" s="16">
        <f t="shared" si="40"/>
        <v>122.39999999999958</v>
      </c>
      <c r="H147" s="17">
        <f t="shared" si="40"/>
        <v>103.99999999999864</v>
      </c>
      <c r="I147" s="17">
        <f t="shared" si="40"/>
        <v>110.3999999999982</v>
      </c>
      <c r="J147" s="17">
        <f t="shared" si="40"/>
        <v>114.39999999999955</v>
      </c>
      <c r="K147" s="18">
        <f t="shared" si="40"/>
        <v>96.000000000001364</v>
      </c>
      <c r="L147" s="18">
        <f t="shared" si="40"/>
        <v>102.40000000000055</v>
      </c>
      <c r="M147" s="18">
        <f t="shared" si="40"/>
        <v>106.40000000000148</v>
      </c>
      <c r="N147" s="19">
        <f t="shared" si="40"/>
        <v>73.599999999999611</v>
      </c>
      <c r="O147" s="19">
        <f t="shared" si="40"/>
        <v>80.000000000001492</v>
      </c>
      <c r="P147" s="19">
        <f t="shared" si="40"/>
        <v>83.999999999999034</v>
      </c>
      <c r="Q147" s="20">
        <f t="shared" si="40"/>
        <v>69.600000000001145</v>
      </c>
      <c r="R147" s="20">
        <f t="shared" si="40"/>
        <v>76.000000000001364</v>
      </c>
      <c r="S147" s="20">
        <f t="shared" si="40"/>
        <v>80.000000000001492</v>
      </c>
      <c r="T147" s="21">
        <f t="shared" si="39"/>
        <v>65.600000000001501</v>
      </c>
      <c r="U147" s="21">
        <f t="shared" si="39"/>
        <v>72</v>
      </c>
      <c r="V147" s="21">
        <f t="shared" si="39"/>
        <v>76.000000000001364</v>
      </c>
      <c r="W147" s="22">
        <f t="shared" si="39"/>
        <v>61.600000000000136</v>
      </c>
      <c r="X147" s="22">
        <f t="shared" si="39"/>
        <v>67.999999999998636</v>
      </c>
      <c r="Y147" s="22">
        <f t="shared" si="39"/>
        <v>72</v>
      </c>
      <c r="Z147" s="23">
        <f t="shared" si="39"/>
        <v>57.599999999998893</v>
      </c>
      <c r="AA147" s="23">
        <f t="shared" si="39"/>
        <v>63.999999999999332</v>
      </c>
      <c r="AB147" s="23">
        <f t="shared" si="39"/>
        <v>67.999999999998636</v>
      </c>
      <c r="AC147" s="24">
        <f t="shared" si="39"/>
        <v>53.60000000000025</v>
      </c>
      <c r="AD147" s="24">
        <f t="shared" si="39"/>
        <v>59.999999999999787</v>
      </c>
      <c r="AE147" s="24">
        <f t="shared" si="39"/>
        <v>63.999999999999332</v>
      </c>
      <c r="AF147" s="25">
        <f t="shared" si="39"/>
        <v>49.599999999999412</v>
      </c>
      <c r="AG147" s="25">
        <f t="shared" si="39"/>
        <v>56.000000000000682</v>
      </c>
      <c r="AH147" s="25">
        <f t="shared" si="39"/>
        <v>59.999999999999787</v>
      </c>
      <c r="AI147" s="26">
        <f t="shared" si="39"/>
        <v>45.600000000000399</v>
      </c>
      <c r="AJ147" s="26">
        <f t="shared" si="41"/>
        <v>51.999999999999318</v>
      </c>
      <c r="AK147" s="26">
        <f t="shared" si="41"/>
        <v>56.000000000000682</v>
      </c>
    </row>
    <row r="148" spans="4:37" ht="20.100000000000001" customHeight="1">
      <c r="D148" s="27">
        <f t="shared" si="38"/>
        <v>0.40277777777777685</v>
      </c>
      <c r="E148" s="16">
        <f t="shared" si="40"/>
        <v>112.77777777777914</v>
      </c>
      <c r="F148" s="16">
        <f t="shared" si="40"/>
        <v>119.22222222222345</v>
      </c>
      <c r="G148" s="16">
        <f t="shared" si="40"/>
        <v>123.24999999999957</v>
      </c>
      <c r="H148" s="17">
        <f t="shared" si="40"/>
        <v>104.72222222222086</v>
      </c>
      <c r="I148" s="17">
        <f t="shared" si="40"/>
        <v>111.16666666666487</v>
      </c>
      <c r="J148" s="17">
        <f t="shared" si="40"/>
        <v>115.194444444444</v>
      </c>
      <c r="K148" s="18">
        <f t="shared" si="40"/>
        <v>96.666666666668036</v>
      </c>
      <c r="L148" s="18">
        <f t="shared" si="40"/>
        <v>103.11111111111165</v>
      </c>
      <c r="M148" s="18">
        <f t="shared" si="40"/>
        <v>107.13888888889038</v>
      </c>
      <c r="N148" s="19">
        <f t="shared" si="40"/>
        <v>74.111111111110716</v>
      </c>
      <c r="O148" s="19">
        <f t="shared" si="40"/>
        <v>80.555555555557049</v>
      </c>
      <c r="P148" s="19">
        <f t="shared" si="40"/>
        <v>84.583333333332362</v>
      </c>
      <c r="Q148" s="20">
        <f t="shared" si="40"/>
        <v>70.08333333333448</v>
      </c>
      <c r="R148" s="20">
        <f t="shared" si="40"/>
        <v>76.527777777779136</v>
      </c>
      <c r="S148" s="20">
        <f t="shared" si="40"/>
        <v>80.555555555557049</v>
      </c>
      <c r="T148" s="21">
        <f t="shared" si="39"/>
        <v>66.055555555557049</v>
      </c>
      <c r="U148" s="21">
        <f t="shared" si="39"/>
        <v>72.5</v>
      </c>
      <c r="V148" s="21">
        <f t="shared" si="39"/>
        <v>76.527777777779136</v>
      </c>
      <c r="W148" s="22">
        <f t="shared" si="39"/>
        <v>62.027777777777914</v>
      </c>
      <c r="X148" s="22">
        <f t="shared" si="39"/>
        <v>68.472222222220864</v>
      </c>
      <c r="Y148" s="22">
        <f t="shared" si="39"/>
        <v>72.5</v>
      </c>
      <c r="Z148" s="23">
        <f t="shared" si="39"/>
        <v>57.999999999998892</v>
      </c>
      <c r="AA148" s="23">
        <f t="shared" si="39"/>
        <v>64.444444444443775</v>
      </c>
      <c r="AB148" s="23">
        <f t="shared" si="39"/>
        <v>68.472222222220864</v>
      </c>
      <c r="AC148" s="24">
        <f t="shared" si="39"/>
        <v>53.97222222222247</v>
      </c>
      <c r="AD148" s="24">
        <f t="shared" si="39"/>
        <v>60.416666666666451</v>
      </c>
      <c r="AE148" s="24">
        <f t="shared" si="39"/>
        <v>64.444444444443775</v>
      </c>
      <c r="AF148" s="25">
        <f t="shared" si="39"/>
        <v>49.944444444443853</v>
      </c>
      <c r="AG148" s="25">
        <f t="shared" si="39"/>
        <v>56.388888888889568</v>
      </c>
      <c r="AH148" s="25">
        <f t="shared" si="39"/>
        <v>60.416666666666451</v>
      </c>
      <c r="AI148" s="26">
        <f t="shared" si="39"/>
        <v>45.916666666667069</v>
      </c>
      <c r="AJ148" s="26">
        <f t="shared" si="41"/>
        <v>52.361111111110432</v>
      </c>
      <c r="AK148" s="26">
        <f t="shared" si="41"/>
        <v>56.388888888889568</v>
      </c>
    </row>
    <row r="149" spans="4:37" ht="20.100000000000001" customHeight="1">
      <c r="D149" s="27">
        <f t="shared" si="38"/>
        <v>0.40555555555555461</v>
      </c>
      <c r="E149" s="16">
        <f t="shared" si="40"/>
        <v>113.55555555555691</v>
      </c>
      <c r="F149" s="16">
        <f t="shared" si="40"/>
        <v>120.04444444444567</v>
      </c>
      <c r="G149" s="16">
        <f t="shared" si="40"/>
        <v>124.09999999999957</v>
      </c>
      <c r="H149" s="17">
        <f t="shared" si="40"/>
        <v>105.44444444444309</v>
      </c>
      <c r="I149" s="17">
        <f t="shared" si="40"/>
        <v>111.93333333333153</v>
      </c>
      <c r="J149" s="17">
        <f t="shared" si="40"/>
        <v>115.98888888888845</v>
      </c>
      <c r="K149" s="18">
        <f t="shared" si="40"/>
        <v>97.333333333334707</v>
      </c>
      <c r="L149" s="18">
        <f t="shared" si="40"/>
        <v>103.82222222222276</v>
      </c>
      <c r="M149" s="18">
        <f t="shared" si="40"/>
        <v>107.87777777777927</v>
      </c>
      <c r="N149" s="19">
        <f t="shared" si="40"/>
        <v>74.622222222221822</v>
      </c>
      <c r="O149" s="19">
        <f t="shared" si="40"/>
        <v>81.111111111112606</v>
      </c>
      <c r="P149" s="19">
        <f t="shared" si="40"/>
        <v>85.166666666665691</v>
      </c>
      <c r="Q149" s="20">
        <f t="shared" si="40"/>
        <v>70.566666666667814</v>
      </c>
      <c r="R149" s="20">
        <f t="shared" si="40"/>
        <v>77.055555555556907</v>
      </c>
      <c r="S149" s="20">
        <f t="shared" si="40"/>
        <v>81.111111111112606</v>
      </c>
      <c r="T149" s="21">
        <f t="shared" si="39"/>
        <v>66.511111111112598</v>
      </c>
      <c r="U149" s="21">
        <f t="shared" si="39"/>
        <v>73</v>
      </c>
      <c r="V149" s="21">
        <f t="shared" si="39"/>
        <v>77.055555555556907</v>
      </c>
      <c r="W149" s="22">
        <f t="shared" si="39"/>
        <v>62.455555555555691</v>
      </c>
      <c r="X149" s="22">
        <f t="shared" si="39"/>
        <v>68.944444444443093</v>
      </c>
      <c r="Y149" s="22">
        <f t="shared" si="39"/>
        <v>73</v>
      </c>
      <c r="Z149" s="23">
        <f t="shared" si="39"/>
        <v>58.39999999999889</v>
      </c>
      <c r="AA149" s="23">
        <f t="shared" si="39"/>
        <v>64.888888888888218</v>
      </c>
      <c r="AB149" s="23">
        <f t="shared" si="39"/>
        <v>68.944444444443093</v>
      </c>
      <c r="AC149" s="24">
        <f t="shared" si="39"/>
        <v>54.34444444444469</v>
      </c>
      <c r="AD149" s="24">
        <f t="shared" si="39"/>
        <v>60.833333333333115</v>
      </c>
      <c r="AE149" s="24">
        <f t="shared" si="39"/>
        <v>64.888888888888218</v>
      </c>
      <c r="AF149" s="25">
        <f t="shared" si="39"/>
        <v>50.288888888888295</v>
      </c>
      <c r="AG149" s="25">
        <f t="shared" si="39"/>
        <v>56.777777777778454</v>
      </c>
      <c r="AH149" s="25">
        <f t="shared" si="39"/>
        <v>60.833333333333115</v>
      </c>
      <c r="AI149" s="26">
        <f t="shared" si="39"/>
        <v>46.233333333333739</v>
      </c>
      <c r="AJ149" s="26">
        <f t="shared" si="41"/>
        <v>52.722222222221546</v>
      </c>
      <c r="AK149" s="26">
        <f t="shared" si="41"/>
        <v>56.777777777778454</v>
      </c>
    </row>
    <row r="150" spans="4:37" ht="20.100000000000001" customHeight="1">
      <c r="D150" s="27">
        <f t="shared" si="38"/>
        <v>0.40833333333333238</v>
      </c>
      <c r="E150" s="16">
        <f t="shared" si="40"/>
        <v>114.33333333333468</v>
      </c>
      <c r="F150" s="16">
        <f t="shared" si="40"/>
        <v>120.8666666666679</v>
      </c>
      <c r="G150" s="16">
        <f t="shared" si="40"/>
        <v>124.94999999999956</v>
      </c>
      <c r="H150" s="17">
        <f t="shared" si="40"/>
        <v>106.16666666666532</v>
      </c>
      <c r="I150" s="17">
        <f t="shared" si="40"/>
        <v>112.6999999999982</v>
      </c>
      <c r="J150" s="17">
        <f t="shared" si="40"/>
        <v>116.78333333333291</v>
      </c>
      <c r="K150" s="18">
        <f t="shared" si="40"/>
        <v>98.000000000001378</v>
      </c>
      <c r="L150" s="18">
        <f t="shared" si="40"/>
        <v>104.53333333333387</v>
      </c>
      <c r="M150" s="18">
        <f t="shared" si="40"/>
        <v>108.61666666666817</v>
      </c>
      <c r="N150" s="19">
        <f t="shared" si="40"/>
        <v>75.133333333332928</v>
      </c>
      <c r="O150" s="19">
        <f t="shared" si="40"/>
        <v>81.666666666668164</v>
      </c>
      <c r="P150" s="19">
        <f t="shared" si="40"/>
        <v>85.749999999999019</v>
      </c>
      <c r="Q150" s="20">
        <f t="shared" si="40"/>
        <v>71.050000000001148</v>
      </c>
      <c r="R150" s="20">
        <f t="shared" si="40"/>
        <v>77.583333333334679</v>
      </c>
      <c r="S150" s="20">
        <f t="shared" si="40"/>
        <v>81.666666666668164</v>
      </c>
      <c r="T150" s="21">
        <f t="shared" si="39"/>
        <v>66.966666666668146</v>
      </c>
      <c r="U150" s="21">
        <f t="shared" si="39"/>
        <v>73.5</v>
      </c>
      <c r="V150" s="21">
        <f t="shared" si="39"/>
        <v>77.583333333334679</v>
      </c>
      <c r="W150" s="22">
        <f t="shared" si="39"/>
        <v>62.883333333333468</v>
      </c>
      <c r="X150" s="22">
        <f t="shared" si="39"/>
        <v>69.416666666665321</v>
      </c>
      <c r="Y150" s="22">
        <f t="shared" si="39"/>
        <v>73.5</v>
      </c>
      <c r="Z150" s="23">
        <f t="shared" si="39"/>
        <v>58.799999999998889</v>
      </c>
      <c r="AA150" s="23">
        <f t="shared" si="39"/>
        <v>65.333333333332661</v>
      </c>
      <c r="AB150" s="23">
        <f t="shared" si="39"/>
        <v>69.416666666665321</v>
      </c>
      <c r="AC150" s="24">
        <f t="shared" si="39"/>
        <v>54.71666666666691</v>
      </c>
      <c r="AD150" s="24">
        <f t="shared" si="39"/>
        <v>61.24999999999978</v>
      </c>
      <c r="AE150" s="24">
        <f t="shared" si="39"/>
        <v>65.333333333332661</v>
      </c>
      <c r="AF150" s="25">
        <f t="shared" si="39"/>
        <v>50.633333333332736</v>
      </c>
      <c r="AG150" s="25">
        <f t="shared" si="39"/>
        <v>57.166666666667339</v>
      </c>
      <c r="AH150" s="25">
        <f t="shared" si="39"/>
        <v>61.24999999999978</v>
      </c>
      <c r="AI150" s="26">
        <f t="shared" si="39"/>
        <v>46.550000000000409</v>
      </c>
      <c r="AJ150" s="26">
        <f t="shared" si="41"/>
        <v>53.083333333332661</v>
      </c>
      <c r="AK150" s="26">
        <f t="shared" si="41"/>
        <v>57.166666666667339</v>
      </c>
    </row>
    <row r="151" spans="4:37" ht="20.100000000000001" customHeight="1">
      <c r="D151" s="27">
        <f t="shared" si="38"/>
        <v>0.41111111111111015</v>
      </c>
      <c r="E151" s="16">
        <f t="shared" si="40"/>
        <v>115.11111111111245</v>
      </c>
      <c r="F151" s="16">
        <f t="shared" si="40"/>
        <v>121.68888888889012</v>
      </c>
      <c r="G151" s="16">
        <f t="shared" si="40"/>
        <v>125.79999999999956</v>
      </c>
      <c r="H151" s="17">
        <f t="shared" si="40"/>
        <v>106.88888888888755</v>
      </c>
      <c r="I151" s="17">
        <f t="shared" si="40"/>
        <v>113.46666666666486</v>
      </c>
      <c r="J151" s="17">
        <f t="shared" si="40"/>
        <v>117.57777777777736</v>
      </c>
      <c r="K151" s="18">
        <f t="shared" si="40"/>
        <v>98.66666666666805</v>
      </c>
      <c r="L151" s="18">
        <f t="shared" si="40"/>
        <v>105.24444444444498</v>
      </c>
      <c r="M151" s="18">
        <f t="shared" si="40"/>
        <v>109.35555555555706</v>
      </c>
      <c r="N151" s="19">
        <f t="shared" si="40"/>
        <v>75.644444444444034</v>
      </c>
      <c r="O151" s="19">
        <f t="shared" si="40"/>
        <v>82.222222222223721</v>
      </c>
      <c r="P151" s="19">
        <f t="shared" si="40"/>
        <v>86.333333333332348</v>
      </c>
      <c r="Q151" s="20">
        <f t="shared" si="40"/>
        <v>71.533333333334483</v>
      </c>
      <c r="R151" s="20">
        <f t="shared" si="40"/>
        <v>78.11111111111245</v>
      </c>
      <c r="S151" s="20">
        <f t="shared" si="40"/>
        <v>82.222222222223721</v>
      </c>
      <c r="T151" s="21">
        <f t="shared" si="39"/>
        <v>67.422222222223695</v>
      </c>
      <c r="U151" s="21">
        <f t="shared" si="39"/>
        <v>74</v>
      </c>
      <c r="V151" s="21">
        <f t="shared" si="39"/>
        <v>78.11111111111245</v>
      </c>
      <c r="W151" s="22">
        <f t="shared" si="39"/>
        <v>63.311111111111245</v>
      </c>
      <c r="X151" s="22">
        <f t="shared" si="39"/>
        <v>69.88888888888755</v>
      </c>
      <c r="Y151" s="22">
        <f t="shared" si="39"/>
        <v>74</v>
      </c>
      <c r="Z151" s="23">
        <f t="shared" si="39"/>
        <v>59.199999999998887</v>
      </c>
      <c r="AA151" s="23">
        <f t="shared" si="39"/>
        <v>65.777777777777104</v>
      </c>
      <c r="AB151" s="23">
        <f t="shared" si="39"/>
        <v>69.88888888888755</v>
      </c>
      <c r="AC151" s="24">
        <f t="shared" si="39"/>
        <v>55.08888888888913</v>
      </c>
      <c r="AD151" s="24">
        <f t="shared" si="39"/>
        <v>61.666666666666444</v>
      </c>
      <c r="AE151" s="24">
        <f t="shared" si="39"/>
        <v>65.777777777777104</v>
      </c>
      <c r="AF151" s="25">
        <f t="shared" si="39"/>
        <v>50.977777777777177</v>
      </c>
      <c r="AG151" s="25">
        <f t="shared" si="39"/>
        <v>57.555555555556225</v>
      </c>
      <c r="AH151" s="25">
        <f t="shared" si="39"/>
        <v>61.666666666666444</v>
      </c>
      <c r="AI151" s="26">
        <f t="shared" si="39"/>
        <v>46.866666666667079</v>
      </c>
      <c r="AJ151" s="26">
        <f t="shared" si="41"/>
        <v>53.444444444443775</v>
      </c>
      <c r="AK151" s="26">
        <f t="shared" si="41"/>
        <v>57.555555555556225</v>
      </c>
    </row>
    <row r="152" spans="4:37" ht="20.100000000000001" customHeight="1">
      <c r="D152" s="27">
        <f t="shared" si="38"/>
        <v>0.41388888888888792</v>
      </c>
      <c r="E152" s="16">
        <f t="shared" si="40"/>
        <v>115.88888888889022</v>
      </c>
      <c r="F152" s="16">
        <f t="shared" si="40"/>
        <v>122.51111111111234</v>
      </c>
      <c r="G152" s="16">
        <f t="shared" si="40"/>
        <v>126.64999999999955</v>
      </c>
      <c r="H152" s="17">
        <f t="shared" si="40"/>
        <v>107.61111111110978</v>
      </c>
      <c r="I152" s="17">
        <f t="shared" si="40"/>
        <v>114.23333333333153</v>
      </c>
      <c r="J152" s="17">
        <f t="shared" si="40"/>
        <v>118.37222222222181</v>
      </c>
      <c r="K152" s="18">
        <f t="shared" si="40"/>
        <v>99.333333333334721</v>
      </c>
      <c r="L152" s="18">
        <f t="shared" si="40"/>
        <v>105.95555555555609</v>
      </c>
      <c r="M152" s="18">
        <f t="shared" si="40"/>
        <v>110.09444444444595</v>
      </c>
      <c r="N152" s="19">
        <f t="shared" si="40"/>
        <v>76.155555555555139</v>
      </c>
      <c r="O152" s="19">
        <f t="shared" si="40"/>
        <v>82.777777777779278</v>
      </c>
      <c r="P152" s="19">
        <f t="shared" si="40"/>
        <v>86.916666666665677</v>
      </c>
      <c r="Q152" s="20">
        <f t="shared" si="40"/>
        <v>72.016666666667817</v>
      </c>
      <c r="R152" s="20">
        <f t="shared" si="40"/>
        <v>78.638888888890222</v>
      </c>
      <c r="S152" s="20">
        <f t="shared" si="40"/>
        <v>82.777777777779278</v>
      </c>
      <c r="T152" s="21">
        <f t="shared" si="39"/>
        <v>67.877777777779244</v>
      </c>
      <c r="U152" s="21">
        <f t="shared" si="39"/>
        <v>74.5</v>
      </c>
      <c r="V152" s="21">
        <f t="shared" si="39"/>
        <v>78.638888888890222</v>
      </c>
      <c r="W152" s="22">
        <f t="shared" si="39"/>
        <v>63.738888888889022</v>
      </c>
      <c r="X152" s="22">
        <f t="shared" si="39"/>
        <v>70.361111111109778</v>
      </c>
      <c r="Y152" s="22">
        <f t="shared" si="39"/>
        <v>74.5</v>
      </c>
      <c r="Z152" s="23">
        <f t="shared" si="39"/>
        <v>59.599999999998886</v>
      </c>
      <c r="AA152" s="23">
        <f t="shared" si="39"/>
        <v>66.222222222221546</v>
      </c>
      <c r="AB152" s="23">
        <f t="shared" si="39"/>
        <v>70.361111111109778</v>
      </c>
      <c r="AC152" s="24">
        <f t="shared" si="39"/>
        <v>55.46111111111135</v>
      </c>
      <c r="AD152" s="24">
        <f t="shared" si="39"/>
        <v>62.083333333333108</v>
      </c>
      <c r="AE152" s="24">
        <f t="shared" si="39"/>
        <v>66.222222222221546</v>
      </c>
      <c r="AF152" s="25">
        <f t="shared" si="39"/>
        <v>51.322222222221619</v>
      </c>
      <c r="AG152" s="25">
        <f t="shared" si="39"/>
        <v>57.944444444445111</v>
      </c>
      <c r="AH152" s="25">
        <f t="shared" si="39"/>
        <v>62.083333333333108</v>
      </c>
      <c r="AI152" s="26">
        <f t="shared" si="39"/>
        <v>47.183333333333749</v>
      </c>
      <c r="AJ152" s="26">
        <f t="shared" si="41"/>
        <v>53.805555555554889</v>
      </c>
      <c r="AK152" s="26">
        <f t="shared" si="41"/>
        <v>57.944444444445111</v>
      </c>
    </row>
    <row r="153" spans="4:37" ht="20.100000000000001" customHeight="1">
      <c r="D153" s="27">
        <f t="shared" si="38"/>
        <v>0.41666666666666569</v>
      </c>
      <c r="E153" s="16">
        <f t="shared" si="40"/>
        <v>116.66666666666799</v>
      </c>
      <c r="F153" s="16">
        <f t="shared" si="40"/>
        <v>123.33333333333456</v>
      </c>
      <c r="G153" s="16">
        <f t="shared" si="40"/>
        <v>127.49999999999955</v>
      </c>
      <c r="H153" s="17">
        <f t="shared" si="40"/>
        <v>108.33333333333201</v>
      </c>
      <c r="I153" s="17">
        <f t="shared" si="40"/>
        <v>114.9999999999982</v>
      </c>
      <c r="J153" s="17">
        <f t="shared" si="40"/>
        <v>119.16666666666626</v>
      </c>
      <c r="K153" s="18">
        <f t="shared" si="40"/>
        <v>100.00000000000139</v>
      </c>
      <c r="L153" s="18">
        <f t="shared" si="40"/>
        <v>106.6666666666672</v>
      </c>
      <c r="M153" s="18">
        <f t="shared" si="40"/>
        <v>110.83333333333485</v>
      </c>
      <c r="N153" s="19">
        <f t="shared" si="40"/>
        <v>76.666666666666245</v>
      </c>
      <c r="O153" s="19">
        <f t="shared" si="40"/>
        <v>83.333333333334835</v>
      </c>
      <c r="P153" s="19">
        <f t="shared" si="40"/>
        <v>87.499999999999005</v>
      </c>
      <c r="Q153" s="20">
        <f t="shared" si="40"/>
        <v>72.500000000001151</v>
      </c>
      <c r="R153" s="20">
        <f t="shared" si="40"/>
        <v>79.166666666667993</v>
      </c>
      <c r="S153" s="20">
        <f t="shared" si="40"/>
        <v>83.333333333334835</v>
      </c>
      <c r="T153" s="21">
        <f t="shared" si="39"/>
        <v>68.333333333334792</v>
      </c>
      <c r="U153" s="21">
        <f t="shared" si="39"/>
        <v>75</v>
      </c>
      <c r="V153" s="21">
        <f t="shared" si="39"/>
        <v>79.166666666667993</v>
      </c>
      <c r="W153" s="22">
        <f t="shared" si="39"/>
        <v>64.166666666666799</v>
      </c>
      <c r="X153" s="22">
        <f t="shared" si="39"/>
        <v>70.833333333332007</v>
      </c>
      <c r="Y153" s="22">
        <f t="shared" si="39"/>
        <v>75</v>
      </c>
      <c r="Z153" s="23">
        <f t="shared" si="39"/>
        <v>59.999999999998884</v>
      </c>
      <c r="AA153" s="23">
        <f t="shared" si="39"/>
        <v>66.666666666665989</v>
      </c>
      <c r="AB153" s="23">
        <f t="shared" si="39"/>
        <v>70.833333333332007</v>
      </c>
      <c r="AC153" s="24">
        <f t="shared" si="39"/>
        <v>55.83333333333357</v>
      </c>
      <c r="AD153" s="24">
        <f t="shared" si="39"/>
        <v>62.499999999999773</v>
      </c>
      <c r="AE153" s="24">
        <f t="shared" si="39"/>
        <v>66.666666666665989</v>
      </c>
      <c r="AF153" s="25">
        <f t="shared" si="39"/>
        <v>51.66666666666606</v>
      </c>
      <c r="AG153" s="25">
        <f t="shared" si="39"/>
        <v>58.333333333333997</v>
      </c>
      <c r="AH153" s="25">
        <f t="shared" si="39"/>
        <v>62.499999999999773</v>
      </c>
      <c r="AI153" s="26">
        <f t="shared" si="39"/>
        <v>47.500000000000419</v>
      </c>
      <c r="AJ153" s="26">
        <f t="shared" si="41"/>
        <v>54.166666666666003</v>
      </c>
      <c r="AK153" s="26">
        <f t="shared" si="41"/>
        <v>58.333333333333997</v>
      </c>
    </row>
    <row r="154" spans="4:37" ht="20.100000000000001" customHeight="1">
      <c r="D154" s="27">
        <f t="shared" si="38"/>
        <v>0.41944444444444345</v>
      </c>
      <c r="E154" s="16">
        <f t="shared" si="40"/>
        <v>117.44444444444576</v>
      </c>
      <c r="F154" s="16">
        <f t="shared" si="40"/>
        <v>124.15555555555679</v>
      </c>
      <c r="G154" s="16">
        <f t="shared" si="40"/>
        <v>128.34999999999954</v>
      </c>
      <c r="H154" s="17">
        <f t="shared" si="40"/>
        <v>109.05555555555424</v>
      </c>
      <c r="I154" s="17">
        <f t="shared" si="40"/>
        <v>115.76666666666486</v>
      </c>
      <c r="J154" s="17">
        <f t="shared" si="40"/>
        <v>119.96111111111071</v>
      </c>
      <c r="K154" s="18">
        <f t="shared" si="40"/>
        <v>100.66666666666806</v>
      </c>
      <c r="L154" s="18">
        <f t="shared" si="40"/>
        <v>107.37777777777831</v>
      </c>
      <c r="M154" s="18">
        <f t="shared" si="40"/>
        <v>111.57222222222374</v>
      </c>
      <c r="N154" s="19">
        <f t="shared" si="40"/>
        <v>77.177777777777351</v>
      </c>
      <c r="O154" s="19">
        <f t="shared" si="40"/>
        <v>83.888888888890392</v>
      </c>
      <c r="P154" s="19">
        <f t="shared" si="40"/>
        <v>88.083333333332334</v>
      </c>
      <c r="Q154" s="20">
        <f t="shared" si="40"/>
        <v>72.983333333334485</v>
      </c>
      <c r="R154" s="20">
        <f t="shared" si="40"/>
        <v>79.694444444445764</v>
      </c>
      <c r="S154" s="20">
        <f t="shared" si="40"/>
        <v>83.888888888890392</v>
      </c>
      <c r="T154" s="21">
        <f t="shared" si="39"/>
        <v>68.788888888890341</v>
      </c>
      <c r="U154" s="21">
        <f t="shared" si="39"/>
        <v>75.5</v>
      </c>
      <c r="V154" s="21">
        <f t="shared" si="39"/>
        <v>79.694444444445764</v>
      </c>
      <c r="W154" s="22">
        <f t="shared" si="39"/>
        <v>64.594444444444576</v>
      </c>
      <c r="X154" s="22">
        <f t="shared" si="39"/>
        <v>71.305555555554236</v>
      </c>
      <c r="Y154" s="22">
        <f t="shared" si="39"/>
        <v>75.5</v>
      </c>
      <c r="Z154" s="23">
        <f t="shared" si="39"/>
        <v>60.399999999998883</v>
      </c>
      <c r="AA154" s="23">
        <f t="shared" si="39"/>
        <v>67.111111111110432</v>
      </c>
      <c r="AB154" s="23">
        <f t="shared" si="39"/>
        <v>71.305555555554236</v>
      </c>
      <c r="AC154" s="24">
        <f t="shared" si="39"/>
        <v>56.20555555555579</v>
      </c>
      <c r="AD154" s="24">
        <f t="shared" si="39"/>
        <v>62.916666666666437</v>
      </c>
      <c r="AE154" s="24">
        <f t="shared" si="39"/>
        <v>67.111111111110432</v>
      </c>
      <c r="AF154" s="25">
        <f t="shared" si="39"/>
        <v>52.011111111110502</v>
      </c>
      <c r="AG154" s="25">
        <f t="shared" si="39"/>
        <v>58.722222222222882</v>
      </c>
      <c r="AH154" s="25">
        <f t="shared" si="39"/>
        <v>62.916666666666437</v>
      </c>
      <c r="AI154" s="26">
        <f t="shared" si="39"/>
        <v>47.816666666667089</v>
      </c>
      <c r="AJ154" s="26">
        <f t="shared" si="41"/>
        <v>54.527777777777118</v>
      </c>
      <c r="AK154" s="26">
        <f t="shared" si="41"/>
        <v>58.722222222222882</v>
      </c>
    </row>
    <row r="155" spans="4:37" ht="20.100000000000001" customHeight="1">
      <c r="D155" s="27">
        <f t="shared" si="38"/>
        <v>0.42222222222222122</v>
      </c>
      <c r="E155" s="16">
        <f t="shared" si="40"/>
        <v>118.22222222222354</v>
      </c>
      <c r="F155" s="16">
        <f t="shared" si="40"/>
        <v>124.97777777777901</v>
      </c>
      <c r="G155" s="16">
        <f t="shared" si="40"/>
        <v>129.19999999999953</v>
      </c>
      <c r="H155" s="17">
        <f t="shared" si="40"/>
        <v>109.77777777777646</v>
      </c>
      <c r="I155" s="17">
        <f t="shared" si="40"/>
        <v>116.53333333333153</v>
      </c>
      <c r="J155" s="17">
        <f t="shared" si="40"/>
        <v>120.75555555555516</v>
      </c>
      <c r="K155" s="18">
        <f t="shared" si="40"/>
        <v>101.33333333333474</v>
      </c>
      <c r="L155" s="18">
        <f t="shared" si="40"/>
        <v>108.08888888888941</v>
      </c>
      <c r="M155" s="18">
        <f t="shared" si="40"/>
        <v>112.31111111111264</v>
      </c>
      <c r="N155" s="19">
        <f t="shared" si="40"/>
        <v>77.688888888888457</v>
      </c>
      <c r="O155" s="19">
        <f t="shared" si="40"/>
        <v>84.444444444445949</v>
      </c>
      <c r="P155" s="19">
        <f t="shared" si="40"/>
        <v>88.666666666665662</v>
      </c>
      <c r="Q155" s="20">
        <f t="shared" si="40"/>
        <v>73.46666666666782</v>
      </c>
      <c r="R155" s="20">
        <f t="shared" si="40"/>
        <v>80.222222222223536</v>
      </c>
      <c r="S155" s="20">
        <f t="shared" si="40"/>
        <v>84.444444444445949</v>
      </c>
      <c r="T155" s="21">
        <f t="shared" si="39"/>
        <v>69.24444444444589</v>
      </c>
      <c r="U155" s="21">
        <f t="shared" si="39"/>
        <v>76</v>
      </c>
      <c r="V155" s="21">
        <f t="shared" si="39"/>
        <v>80.222222222223536</v>
      </c>
      <c r="W155" s="22">
        <f t="shared" si="39"/>
        <v>65.022222222222354</v>
      </c>
      <c r="X155" s="22">
        <f t="shared" si="39"/>
        <v>71.777777777776464</v>
      </c>
      <c r="Y155" s="22">
        <f t="shared" si="39"/>
        <v>76</v>
      </c>
      <c r="Z155" s="23">
        <f t="shared" si="39"/>
        <v>60.799999999998882</v>
      </c>
      <c r="AA155" s="23">
        <f t="shared" si="39"/>
        <v>67.555555555554875</v>
      </c>
      <c r="AB155" s="23">
        <f t="shared" si="39"/>
        <v>71.777777777776464</v>
      </c>
      <c r="AC155" s="24">
        <f t="shared" si="39"/>
        <v>56.57777777777801</v>
      </c>
      <c r="AD155" s="24">
        <f t="shared" si="39"/>
        <v>63.333333333333101</v>
      </c>
      <c r="AE155" s="24">
        <f t="shared" si="39"/>
        <v>67.555555555554875</v>
      </c>
      <c r="AF155" s="25">
        <f t="shared" si="39"/>
        <v>52.355555555554943</v>
      </c>
      <c r="AG155" s="25">
        <f t="shared" si="39"/>
        <v>59.111111111111768</v>
      </c>
      <c r="AH155" s="25">
        <f t="shared" si="39"/>
        <v>63.333333333333101</v>
      </c>
      <c r="AI155" s="26">
        <f t="shared" si="39"/>
        <v>48.133333333333759</v>
      </c>
      <c r="AJ155" s="26">
        <f t="shared" si="41"/>
        <v>54.888888888888232</v>
      </c>
      <c r="AK155" s="26">
        <f t="shared" si="41"/>
        <v>59.111111111111768</v>
      </c>
    </row>
    <row r="156" spans="4:37" ht="20.100000000000001" customHeight="1">
      <c r="D156" s="27">
        <f t="shared" si="38"/>
        <v>0.42499999999999899</v>
      </c>
      <c r="E156" s="16">
        <f t="shared" si="40"/>
        <v>119.00000000000131</v>
      </c>
      <c r="F156" s="16">
        <f t="shared" si="40"/>
        <v>125.80000000000123</v>
      </c>
      <c r="G156" s="16">
        <f t="shared" si="40"/>
        <v>130.04999999999953</v>
      </c>
      <c r="H156" s="17">
        <f t="shared" si="40"/>
        <v>110.49999999999869</v>
      </c>
      <c r="I156" s="17">
        <f t="shared" si="40"/>
        <v>117.29999999999819</v>
      </c>
      <c r="J156" s="17">
        <f t="shared" si="40"/>
        <v>121.54999999999961</v>
      </c>
      <c r="K156" s="18">
        <f t="shared" si="40"/>
        <v>102.00000000000141</v>
      </c>
      <c r="L156" s="18">
        <f t="shared" si="40"/>
        <v>108.80000000000052</v>
      </c>
      <c r="M156" s="18">
        <f t="shared" si="40"/>
        <v>113.05000000000153</v>
      </c>
      <c r="N156" s="19">
        <f t="shared" si="40"/>
        <v>78.199999999999562</v>
      </c>
      <c r="O156" s="19">
        <f t="shared" si="40"/>
        <v>85.000000000001506</v>
      </c>
      <c r="P156" s="19">
        <f t="shared" si="40"/>
        <v>89.249999999998991</v>
      </c>
      <c r="Q156" s="20">
        <f t="shared" si="40"/>
        <v>73.950000000001154</v>
      </c>
      <c r="R156" s="20">
        <f t="shared" si="40"/>
        <v>80.750000000001307</v>
      </c>
      <c r="S156" s="20">
        <f t="shared" si="40"/>
        <v>85.000000000001506</v>
      </c>
      <c r="T156" s="21">
        <f t="shared" si="39"/>
        <v>69.700000000001438</v>
      </c>
      <c r="U156" s="21">
        <f t="shared" si="39"/>
        <v>76.5</v>
      </c>
      <c r="V156" s="21">
        <f t="shared" si="39"/>
        <v>80.750000000001307</v>
      </c>
      <c r="W156" s="22">
        <f t="shared" si="39"/>
        <v>65.450000000000131</v>
      </c>
      <c r="X156" s="22">
        <f t="shared" si="39"/>
        <v>72.249999999998693</v>
      </c>
      <c r="Y156" s="22">
        <f t="shared" si="39"/>
        <v>76.5</v>
      </c>
      <c r="Z156" s="23">
        <f t="shared" si="39"/>
        <v>61.19999999999888</v>
      </c>
      <c r="AA156" s="23">
        <f t="shared" si="39"/>
        <v>67.999999999999318</v>
      </c>
      <c r="AB156" s="23">
        <f t="shared" si="39"/>
        <v>72.249999999998693</v>
      </c>
      <c r="AC156" s="24">
        <f t="shared" si="39"/>
        <v>56.95000000000023</v>
      </c>
      <c r="AD156" s="24">
        <f t="shared" si="39"/>
        <v>63.749999999999766</v>
      </c>
      <c r="AE156" s="24">
        <f t="shared" si="39"/>
        <v>67.999999999999318</v>
      </c>
      <c r="AF156" s="25">
        <f t="shared" si="39"/>
        <v>52.699999999999385</v>
      </c>
      <c r="AG156" s="25">
        <f t="shared" si="39"/>
        <v>59.500000000000654</v>
      </c>
      <c r="AH156" s="25">
        <f t="shared" si="39"/>
        <v>63.749999999999766</v>
      </c>
      <c r="AI156" s="26">
        <f t="shared" si="39"/>
        <v>48.450000000000429</v>
      </c>
      <c r="AJ156" s="26">
        <f t="shared" si="41"/>
        <v>55.249999999999346</v>
      </c>
      <c r="AK156" s="26">
        <f t="shared" si="41"/>
        <v>59.500000000000654</v>
      </c>
    </row>
    <row r="157" spans="4:37" ht="20.100000000000001" customHeight="1">
      <c r="D157" s="27">
        <f t="shared" si="38"/>
        <v>0.42777777777777676</v>
      </c>
      <c r="E157" s="16">
        <f t="shared" si="40"/>
        <v>119.77777777777908</v>
      </c>
      <c r="F157" s="16">
        <f t="shared" si="40"/>
        <v>126.62222222222346</v>
      </c>
      <c r="G157" s="16">
        <f t="shared" si="40"/>
        <v>130.89999999999952</v>
      </c>
      <c r="H157" s="17">
        <f t="shared" si="40"/>
        <v>111.22222222222092</v>
      </c>
      <c r="I157" s="17">
        <f t="shared" si="40"/>
        <v>118.06666666666486</v>
      </c>
      <c r="J157" s="17">
        <f t="shared" si="40"/>
        <v>122.34444444444406</v>
      </c>
      <c r="K157" s="18">
        <f t="shared" si="40"/>
        <v>102.66666666666808</v>
      </c>
      <c r="L157" s="18">
        <f t="shared" si="40"/>
        <v>109.51111111111163</v>
      </c>
      <c r="M157" s="18">
        <f t="shared" si="40"/>
        <v>113.78888888889043</v>
      </c>
      <c r="N157" s="19">
        <f t="shared" si="40"/>
        <v>78.711111111110668</v>
      </c>
      <c r="O157" s="19">
        <f t="shared" si="40"/>
        <v>85.555555555557063</v>
      </c>
      <c r="P157" s="19">
        <f t="shared" si="40"/>
        <v>89.83333333333232</v>
      </c>
      <c r="Q157" s="20">
        <f t="shared" si="40"/>
        <v>74.433333333334488</v>
      </c>
      <c r="R157" s="20">
        <f t="shared" si="40"/>
        <v>81.277777777779079</v>
      </c>
      <c r="S157" s="20">
        <f t="shared" si="40"/>
        <v>85.555555555557063</v>
      </c>
      <c r="T157" s="21">
        <f t="shared" si="39"/>
        <v>70.155555555556987</v>
      </c>
      <c r="U157" s="21">
        <f t="shared" si="39"/>
        <v>77</v>
      </c>
      <c r="V157" s="21">
        <f t="shared" si="39"/>
        <v>81.277777777779079</v>
      </c>
      <c r="W157" s="22">
        <f t="shared" si="39"/>
        <v>65.877777777777908</v>
      </c>
      <c r="X157" s="22">
        <f t="shared" si="39"/>
        <v>72.722222222220921</v>
      </c>
      <c r="Y157" s="22">
        <f t="shared" si="39"/>
        <v>77</v>
      </c>
      <c r="Z157" s="23">
        <f t="shared" si="39"/>
        <v>61.599999999998879</v>
      </c>
      <c r="AA157" s="23">
        <f t="shared" si="39"/>
        <v>68.444444444443761</v>
      </c>
      <c r="AB157" s="23">
        <f t="shared" si="39"/>
        <v>72.722222222220921</v>
      </c>
      <c r="AC157" s="24">
        <f t="shared" si="39"/>
        <v>57.32222222222245</v>
      </c>
      <c r="AD157" s="24">
        <f t="shared" si="39"/>
        <v>64.16666666666643</v>
      </c>
      <c r="AE157" s="24">
        <f t="shared" si="39"/>
        <v>68.444444444443761</v>
      </c>
      <c r="AF157" s="25">
        <f t="shared" si="39"/>
        <v>53.044444444443826</v>
      </c>
      <c r="AG157" s="25">
        <f t="shared" si="39"/>
        <v>59.888888888889539</v>
      </c>
      <c r="AH157" s="25">
        <f t="shared" si="39"/>
        <v>64.16666666666643</v>
      </c>
      <c r="AI157" s="26">
        <f t="shared" si="39"/>
        <v>48.766666666667099</v>
      </c>
      <c r="AJ157" s="26">
        <f t="shared" si="41"/>
        <v>55.611111111110461</v>
      </c>
      <c r="AK157" s="26">
        <f t="shared" si="41"/>
        <v>59.888888888889539</v>
      </c>
    </row>
    <row r="158" spans="4:37" ht="20.100000000000001" customHeight="1">
      <c r="D158" s="27">
        <f t="shared" si="38"/>
        <v>0.43055555555555453</v>
      </c>
      <c r="E158" s="16">
        <f t="shared" si="40"/>
        <v>120.55555555555685</v>
      </c>
      <c r="F158" s="16">
        <f t="shared" si="40"/>
        <v>127.44444444444568</v>
      </c>
      <c r="G158" s="16">
        <f t="shared" si="40"/>
        <v>131.74999999999952</v>
      </c>
      <c r="H158" s="17">
        <f t="shared" si="40"/>
        <v>111.94444444444315</v>
      </c>
      <c r="I158" s="17">
        <f t="shared" si="40"/>
        <v>118.83333333333152</v>
      </c>
      <c r="J158" s="17">
        <f t="shared" si="40"/>
        <v>123.13888888888852</v>
      </c>
      <c r="K158" s="18">
        <f t="shared" si="40"/>
        <v>103.33333333333475</v>
      </c>
      <c r="L158" s="18">
        <f t="shared" si="40"/>
        <v>110.22222222222274</v>
      </c>
      <c r="M158" s="18">
        <f t="shared" si="40"/>
        <v>114.52777777777932</v>
      </c>
      <c r="N158" s="19">
        <f t="shared" si="40"/>
        <v>79.222222222221774</v>
      </c>
      <c r="O158" s="19">
        <f t="shared" si="40"/>
        <v>86.111111111112621</v>
      </c>
      <c r="P158" s="19">
        <f t="shared" si="40"/>
        <v>90.416666666665648</v>
      </c>
      <c r="Q158" s="20">
        <f t="shared" si="40"/>
        <v>74.916666666667822</v>
      </c>
      <c r="R158" s="20">
        <f t="shared" si="40"/>
        <v>81.80555555555685</v>
      </c>
      <c r="S158" s="20">
        <f t="shared" si="40"/>
        <v>86.111111111112621</v>
      </c>
      <c r="T158" s="21">
        <f t="shared" si="39"/>
        <v>70.611111111112535</v>
      </c>
      <c r="U158" s="21">
        <f t="shared" si="39"/>
        <v>77.5</v>
      </c>
      <c r="V158" s="21">
        <f t="shared" si="39"/>
        <v>81.80555555555685</v>
      </c>
      <c r="W158" s="22">
        <f t="shared" si="39"/>
        <v>66.305555555555685</v>
      </c>
      <c r="X158" s="22">
        <f t="shared" si="39"/>
        <v>73.19444444444315</v>
      </c>
      <c r="Y158" s="22">
        <f t="shared" si="39"/>
        <v>77.5</v>
      </c>
      <c r="Z158" s="23">
        <f t="shared" si="39"/>
        <v>61.999999999998877</v>
      </c>
      <c r="AA158" s="23">
        <f t="shared" si="39"/>
        <v>68.888888888888204</v>
      </c>
      <c r="AB158" s="23">
        <f t="shared" si="39"/>
        <v>73.19444444444315</v>
      </c>
      <c r="AC158" s="24">
        <f t="shared" si="39"/>
        <v>57.69444444444467</v>
      </c>
      <c r="AD158" s="24">
        <f t="shared" si="39"/>
        <v>64.583333333333101</v>
      </c>
      <c r="AE158" s="24">
        <f t="shared" si="39"/>
        <v>68.888888888888204</v>
      </c>
      <c r="AF158" s="25">
        <f t="shared" si="39"/>
        <v>53.388888888888268</v>
      </c>
      <c r="AG158" s="25">
        <f t="shared" si="39"/>
        <v>60.277777777778425</v>
      </c>
      <c r="AH158" s="25">
        <f t="shared" si="39"/>
        <v>64.583333333333101</v>
      </c>
      <c r="AI158" s="26">
        <f t="shared" si="39"/>
        <v>49.083333333333769</v>
      </c>
      <c r="AJ158" s="26">
        <f t="shared" si="41"/>
        <v>55.972222222221575</v>
      </c>
      <c r="AK158" s="26">
        <f t="shared" si="41"/>
        <v>60.277777777778425</v>
      </c>
    </row>
    <row r="159" spans="4:37" ht="20.100000000000001" customHeight="1">
      <c r="D159" s="27">
        <f t="shared" si="38"/>
        <v>0.43333333333333229</v>
      </c>
      <c r="E159" s="16">
        <f t="shared" si="40"/>
        <v>121.33333333333462</v>
      </c>
      <c r="F159" s="16">
        <f t="shared" si="40"/>
        <v>128.2666666666679</v>
      </c>
      <c r="G159" s="16">
        <f t="shared" si="40"/>
        <v>132.59999999999951</v>
      </c>
      <c r="H159" s="17">
        <f t="shared" si="40"/>
        <v>112.66666666666538</v>
      </c>
      <c r="I159" s="17">
        <f t="shared" si="40"/>
        <v>119.59999999999819</v>
      </c>
      <c r="J159" s="17">
        <f t="shared" si="40"/>
        <v>123.93333333333297</v>
      </c>
      <c r="K159" s="18">
        <f t="shared" si="40"/>
        <v>104.00000000000142</v>
      </c>
      <c r="L159" s="18">
        <f t="shared" si="40"/>
        <v>110.93333333333385</v>
      </c>
      <c r="M159" s="18">
        <f t="shared" si="40"/>
        <v>115.26666666666821</v>
      </c>
      <c r="N159" s="19">
        <f t="shared" si="40"/>
        <v>79.73333333333288</v>
      </c>
      <c r="O159" s="19">
        <f t="shared" si="40"/>
        <v>86.666666666668178</v>
      </c>
      <c r="P159" s="19">
        <f t="shared" si="40"/>
        <v>90.999999999998977</v>
      </c>
      <c r="Q159" s="20">
        <f t="shared" si="40"/>
        <v>75.400000000001157</v>
      </c>
      <c r="R159" s="20">
        <f t="shared" si="40"/>
        <v>82.333333333334622</v>
      </c>
      <c r="S159" s="20">
        <f t="shared" si="40"/>
        <v>86.666666666668178</v>
      </c>
      <c r="T159" s="21">
        <f t="shared" si="39"/>
        <v>71.066666666668084</v>
      </c>
      <c r="U159" s="21">
        <f t="shared" si="39"/>
        <v>78</v>
      </c>
      <c r="V159" s="21">
        <f t="shared" si="39"/>
        <v>82.333333333334622</v>
      </c>
      <c r="W159" s="22">
        <f t="shared" si="39"/>
        <v>66.733333333333462</v>
      </c>
      <c r="X159" s="22">
        <f t="shared" si="39"/>
        <v>73.666666666665378</v>
      </c>
      <c r="Y159" s="22">
        <f t="shared" si="39"/>
        <v>78</v>
      </c>
      <c r="Z159" s="23">
        <f t="shared" si="39"/>
        <v>62.399999999998876</v>
      </c>
      <c r="AA159" s="23">
        <f t="shared" si="39"/>
        <v>69.333333333332646</v>
      </c>
      <c r="AB159" s="23">
        <f t="shared" si="39"/>
        <v>73.666666666665378</v>
      </c>
      <c r="AC159" s="24">
        <f t="shared" si="39"/>
        <v>58.06666666666689</v>
      </c>
      <c r="AD159" s="24">
        <f t="shared" si="39"/>
        <v>64.999999999999773</v>
      </c>
      <c r="AE159" s="24">
        <f t="shared" si="39"/>
        <v>69.333333333332646</v>
      </c>
      <c r="AF159" s="25">
        <f t="shared" si="39"/>
        <v>53.733333333332709</v>
      </c>
      <c r="AG159" s="25">
        <f t="shared" si="39"/>
        <v>60.666666666667311</v>
      </c>
      <c r="AH159" s="25">
        <f t="shared" si="39"/>
        <v>64.999999999999773</v>
      </c>
      <c r="AI159" s="26">
        <f t="shared" si="39"/>
        <v>49.400000000000439</v>
      </c>
      <c r="AJ159" s="26">
        <f t="shared" si="41"/>
        <v>56.333333333332689</v>
      </c>
      <c r="AK159" s="26">
        <f t="shared" si="41"/>
        <v>60.666666666667311</v>
      </c>
    </row>
    <row r="160" spans="4:37" ht="20.100000000000001" customHeight="1">
      <c r="D160" s="27">
        <f t="shared" si="38"/>
        <v>0.43611111111111006</v>
      </c>
      <c r="E160" s="16">
        <f t="shared" si="40"/>
        <v>122.11111111111239</v>
      </c>
      <c r="F160" s="16">
        <f t="shared" si="40"/>
        <v>129.08888888889012</v>
      </c>
      <c r="G160" s="16">
        <f t="shared" si="40"/>
        <v>133.44999999999951</v>
      </c>
      <c r="H160" s="17">
        <f t="shared" si="40"/>
        <v>113.38888888888761</v>
      </c>
      <c r="I160" s="17">
        <f t="shared" si="40"/>
        <v>120.36666666666486</v>
      </c>
      <c r="J160" s="17">
        <f t="shared" si="40"/>
        <v>124.72777777777742</v>
      </c>
      <c r="K160" s="18">
        <f t="shared" si="40"/>
        <v>104.66666666666809</v>
      </c>
      <c r="L160" s="18">
        <f t="shared" si="40"/>
        <v>111.64444444444496</v>
      </c>
      <c r="M160" s="18">
        <f t="shared" si="40"/>
        <v>116.00555555555711</v>
      </c>
      <c r="N160" s="19">
        <f t="shared" si="40"/>
        <v>80.244444444443985</v>
      </c>
      <c r="O160" s="19">
        <f t="shared" si="40"/>
        <v>87.222222222223735</v>
      </c>
      <c r="P160" s="19">
        <f t="shared" si="40"/>
        <v>91.583333333332305</v>
      </c>
      <c r="Q160" s="20">
        <f t="shared" si="40"/>
        <v>75.883333333334491</v>
      </c>
      <c r="R160" s="20">
        <f t="shared" si="40"/>
        <v>82.861111111112393</v>
      </c>
      <c r="S160" s="20">
        <f t="shared" si="40"/>
        <v>87.222222222223735</v>
      </c>
      <c r="T160" s="21">
        <f t="shared" si="39"/>
        <v>71.522222222223633</v>
      </c>
      <c r="U160" s="21">
        <f t="shared" si="39"/>
        <v>78.5</v>
      </c>
      <c r="V160" s="21">
        <f t="shared" si="39"/>
        <v>82.861111111112393</v>
      </c>
      <c r="W160" s="22">
        <f t="shared" si="39"/>
        <v>67.161111111111239</v>
      </c>
      <c r="X160" s="22">
        <f t="shared" si="39"/>
        <v>74.138888888887607</v>
      </c>
      <c r="Y160" s="22">
        <f t="shared" si="39"/>
        <v>78.5</v>
      </c>
      <c r="Z160" s="23">
        <f t="shared" si="39"/>
        <v>62.799999999998875</v>
      </c>
      <c r="AA160" s="23">
        <f t="shared" si="39"/>
        <v>69.777777777777089</v>
      </c>
      <c r="AB160" s="23">
        <f t="shared" si="39"/>
        <v>74.138888888887607</v>
      </c>
      <c r="AC160" s="24">
        <f t="shared" si="39"/>
        <v>58.43888888888911</v>
      </c>
      <c r="AD160" s="24">
        <f t="shared" si="39"/>
        <v>65.416666666666444</v>
      </c>
      <c r="AE160" s="24">
        <f t="shared" si="39"/>
        <v>69.777777777777089</v>
      </c>
      <c r="AF160" s="25">
        <f t="shared" si="39"/>
        <v>54.07777777777715</v>
      </c>
      <c r="AG160" s="25">
        <f t="shared" si="39"/>
        <v>61.055555555556197</v>
      </c>
      <c r="AH160" s="25">
        <f t="shared" si="39"/>
        <v>65.416666666666444</v>
      </c>
      <c r="AI160" s="26">
        <f t="shared" si="39"/>
        <v>49.716666666667109</v>
      </c>
      <c r="AJ160" s="26">
        <f t="shared" si="41"/>
        <v>56.694444444443803</v>
      </c>
      <c r="AK160" s="26">
        <f t="shared" si="41"/>
        <v>61.055555555556197</v>
      </c>
    </row>
    <row r="161" spans="4:37" ht="20.100000000000001" customHeight="1">
      <c r="D161" s="27">
        <f t="shared" si="38"/>
        <v>0.43888888888888783</v>
      </c>
      <c r="E161" s="16">
        <f t="shared" si="40"/>
        <v>122.88888888889016</v>
      </c>
      <c r="F161" s="16">
        <f t="shared" si="40"/>
        <v>129.91111111111235</v>
      </c>
      <c r="G161" s="16">
        <f t="shared" si="40"/>
        <v>134.2999999999995</v>
      </c>
      <c r="H161" s="17">
        <f t="shared" si="40"/>
        <v>114.11111111110984</v>
      </c>
      <c r="I161" s="17">
        <f t="shared" si="40"/>
        <v>121.13333333333152</v>
      </c>
      <c r="J161" s="17">
        <f t="shared" si="40"/>
        <v>125.52222222222187</v>
      </c>
      <c r="K161" s="18">
        <f t="shared" si="40"/>
        <v>105.33333333333476</v>
      </c>
      <c r="L161" s="18">
        <f t="shared" si="40"/>
        <v>112.35555555555607</v>
      </c>
      <c r="M161" s="18">
        <f t="shared" si="40"/>
        <v>116.744444444446</v>
      </c>
      <c r="N161" s="19">
        <f t="shared" si="40"/>
        <v>80.755555555555091</v>
      </c>
      <c r="O161" s="19">
        <f t="shared" si="40"/>
        <v>87.777777777779292</v>
      </c>
      <c r="P161" s="19">
        <f t="shared" si="40"/>
        <v>92.166666666665634</v>
      </c>
      <c r="Q161" s="20">
        <f t="shared" si="40"/>
        <v>76.366666666667825</v>
      </c>
      <c r="R161" s="20">
        <f t="shared" si="40"/>
        <v>83.388888888890165</v>
      </c>
      <c r="S161" s="20">
        <f t="shared" si="40"/>
        <v>87.777777777779292</v>
      </c>
      <c r="T161" s="21">
        <f t="shared" si="39"/>
        <v>71.977777777779181</v>
      </c>
      <c r="U161" s="21">
        <f t="shared" si="39"/>
        <v>79</v>
      </c>
      <c r="V161" s="21">
        <f t="shared" si="39"/>
        <v>83.388888888890165</v>
      </c>
      <c r="W161" s="22">
        <f t="shared" si="39"/>
        <v>67.588888888889016</v>
      </c>
      <c r="X161" s="22">
        <f t="shared" si="39"/>
        <v>74.611111111109835</v>
      </c>
      <c r="Y161" s="22">
        <f t="shared" si="39"/>
        <v>79</v>
      </c>
      <c r="Z161" s="23">
        <f t="shared" si="39"/>
        <v>63.199999999998873</v>
      </c>
      <c r="AA161" s="23">
        <f t="shared" si="39"/>
        <v>70.222222222221532</v>
      </c>
      <c r="AB161" s="23">
        <f t="shared" si="39"/>
        <v>74.611111111109835</v>
      </c>
      <c r="AC161" s="24">
        <f t="shared" si="39"/>
        <v>58.81111111111133</v>
      </c>
      <c r="AD161" s="24">
        <f t="shared" si="39"/>
        <v>65.833333333333115</v>
      </c>
      <c r="AE161" s="24">
        <f t="shared" si="39"/>
        <v>70.222222222221532</v>
      </c>
      <c r="AF161" s="25">
        <f t="shared" si="39"/>
        <v>54.422222222221592</v>
      </c>
      <c r="AG161" s="25">
        <f t="shared" si="39"/>
        <v>61.444444444445082</v>
      </c>
      <c r="AH161" s="25">
        <f t="shared" si="39"/>
        <v>65.833333333333115</v>
      </c>
      <c r="AI161" s="26">
        <f t="shared" si="39"/>
        <v>50.033333333333779</v>
      </c>
      <c r="AJ161" s="26">
        <f t="shared" si="41"/>
        <v>57.055555555554918</v>
      </c>
      <c r="AK161" s="26">
        <f t="shared" si="41"/>
        <v>61.444444444445082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123.66666666666794</v>
      </c>
      <c r="F162" s="16">
        <f t="shared" si="42"/>
        <v>130.73333333333457</v>
      </c>
      <c r="G162" s="16">
        <f t="shared" si="42"/>
        <v>135.14999999999949</v>
      </c>
      <c r="H162" s="17">
        <f t="shared" si="42"/>
        <v>114.83333333333206</v>
      </c>
      <c r="I162" s="17">
        <f t="shared" si="42"/>
        <v>121.89999999999819</v>
      </c>
      <c r="J162" s="17">
        <f t="shared" si="42"/>
        <v>126.31666666666632</v>
      </c>
      <c r="K162" s="18">
        <f t="shared" si="42"/>
        <v>106.00000000000144</v>
      </c>
      <c r="L162" s="18">
        <f t="shared" si="42"/>
        <v>113.06666666666717</v>
      </c>
      <c r="M162" s="18">
        <f t="shared" si="42"/>
        <v>117.4833333333349</v>
      </c>
      <c r="N162" s="19">
        <f t="shared" si="42"/>
        <v>81.266666666666197</v>
      </c>
      <c r="O162" s="19">
        <f t="shared" si="42"/>
        <v>88.333333333334849</v>
      </c>
      <c r="P162" s="19">
        <f t="shared" si="42"/>
        <v>92.749999999998963</v>
      </c>
      <c r="Q162" s="20">
        <f t="shared" si="42"/>
        <v>76.85000000000116</v>
      </c>
      <c r="R162" s="20">
        <f t="shared" si="42"/>
        <v>83.916666666667936</v>
      </c>
      <c r="S162" s="20">
        <f t="shared" si="42"/>
        <v>88.333333333334849</v>
      </c>
      <c r="T162" s="21">
        <f t="shared" si="42"/>
        <v>72.43333333333473</v>
      </c>
      <c r="U162" s="21">
        <f t="shared" si="39"/>
        <v>79.5</v>
      </c>
      <c r="V162" s="21">
        <f t="shared" si="39"/>
        <v>83.916666666667936</v>
      </c>
      <c r="W162" s="22">
        <f t="shared" si="39"/>
        <v>68.016666666666794</v>
      </c>
      <c r="X162" s="22">
        <f t="shared" si="39"/>
        <v>75.083333333332064</v>
      </c>
      <c r="Y162" s="22">
        <f t="shared" si="39"/>
        <v>79.5</v>
      </c>
      <c r="Z162" s="23">
        <f t="shared" si="39"/>
        <v>63.599999999998872</v>
      </c>
      <c r="AA162" s="23">
        <f t="shared" si="39"/>
        <v>70.666666666665975</v>
      </c>
      <c r="AB162" s="23">
        <f t="shared" si="39"/>
        <v>75.083333333332064</v>
      </c>
      <c r="AC162" s="24">
        <f t="shared" si="39"/>
        <v>59.18333333333355</v>
      </c>
      <c r="AD162" s="24">
        <f t="shared" si="39"/>
        <v>66.249999999999787</v>
      </c>
      <c r="AE162" s="24">
        <f t="shared" si="39"/>
        <v>70.666666666665975</v>
      </c>
      <c r="AF162" s="25">
        <f t="shared" si="39"/>
        <v>54.766666666666033</v>
      </c>
      <c r="AG162" s="25">
        <f t="shared" ref="AF162:AK198" si="43">AG163-(AG$363/360)</f>
        <v>61.833333333333968</v>
      </c>
      <c r="AH162" s="25">
        <f t="shared" si="43"/>
        <v>66.249999999999787</v>
      </c>
      <c r="AI162" s="26">
        <f t="shared" si="43"/>
        <v>50.350000000000449</v>
      </c>
      <c r="AJ162" s="26">
        <f t="shared" si="43"/>
        <v>57.416666666666032</v>
      </c>
      <c r="AK162" s="26">
        <f t="shared" si="43"/>
        <v>61.833333333333968</v>
      </c>
    </row>
    <row r="163" spans="4:37" ht="20.100000000000001" customHeight="1">
      <c r="D163" s="27">
        <f t="shared" si="38"/>
        <v>0.44444444444444337</v>
      </c>
      <c r="E163" s="16">
        <f t="shared" si="42"/>
        <v>124.44444444444571</v>
      </c>
      <c r="F163" s="16">
        <f t="shared" si="42"/>
        <v>131.55555555555679</v>
      </c>
      <c r="G163" s="16">
        <f t="shared" si="42"/>
        <v>135.99999999999949</v>
      </c>
      <c r="H163" s="17">
        <f t="shared" si="42"/>
        <v>115.55555555555429</v>
      </c>
      <c r="I163" s="17">
        <f t="shared" si="42"/>
        <v>122.66666666666485</v>
      </c>
      <c r="J163" s="17">
        <f t="shared" si="42"/>
        <v>127.11111111111077</v>
      </c>
      <c r="K163" s="18">
        <f t="shared" si="42"/>
        <v>106.66666666666811</v>
      </c>
      <c r="L163" s="18">
        <f t="shared" si="42"/>
        <v>113.77777777777828</v>
      </c>
      <c r="M163" s="18">
        <f t="shared" si="42"/>
        <v>118.22222222222379</v>
      </c>
      <c r="N163" s="19">
        <f t="shared" si="42"/>
        <v>81.777777777777303</v>
      </c>
      <c r="O163" s="19">
        <f t="shared" si="42"/>
        <v>88.888888888890406</v>
      </c>
      <c r="P163" s="19">
        <f t="shared" si="42"/>
        <v>93.333333333332291</v>
      </c>
      <c r="Q163" s="20">
        <f t="shared" si="42"/>
        <v>77.333333333334494</v>
      </c>
      <c r="R163" s="20">
        <f t="shared" si="42"/>
        <v>84.444444444445708</v>
      </c>
      <c r="S163" s="20">
        <f t="shared" si="42"/>
        <v>88.888888888890406</v>
      </c>
      <c r="T163" s="21">
        <f t="shared" si="42"/>
        <v>72.888888888890278</v>
      </c>
      <c r="U163" s="21">
        <f t="shared" ref="U163:AJ180" si="44">U164-(U$363/360)</f>
        <v>80</v>
      </c>
      <c r="V163" s="21">
        <f t="shared" si="44"/>
        <v>84.444444444445708</v>
      </c>
      <c r="W163" s="22">
        <f t="shared" si="44"/>
        <v>68.444444444444571</v>
      </c>
      <c r="X163" s="22">
        <f t="shared" si="44"/>
        <v>75.555555555554292</v>
      </c>
      <c r="Y163" s="22">
        <f t="shared" si="44"/>
        <v>80</v>
      </c>
      <c r="Z163" s="23">
        <f t="shared" si="44"/>
        <v>63.99999999999887</v>
      </c>
      <c r="AA163" s="23">
        <f t="shared" si="44"/>
        <v>71.111111111110418</v>
      </c>
      <c r="AB163" s="23">
        <f t="shared" si="44"/>
        <v>75.555555555554292</v>
      </c>
      <c r="AC163" s="24">
        <f t="shared" si="44"/>
        <v>59.55555555555577</v>
      </c>
      <c r="AD163" s="24">
        <f t="shared" si="44"/>
        <v>66.666666666666458</v>
      </c>
      <c r="AE163" s="24">
        <f t="shared" si="44"/>
        <v>71.111111111110418</v>
      </c>
      <c r="AF163" s="25">
        <f t="shared" si="44"/>
        <v>55.111111111110475</v>
      </c>
      <c r="AG163" s="25">
        <f t="shared" si="44"/>
        <v>62.222222222222854</v>
      </c>
      <c r="AH163" s="25">
        <f t="shared" si="44"/>
        <v>66.666666666666458</v>
      </c>
      <c r="AI163" s="26">
        <f t="shared" si="44"/>
        <v>50.666666666667119</v>
      </c>
      <c r="AJ163" s="26">
        <f t="shared" si="44"/>
        <v>57.777777777777146</v>
      </c>
      <c r="AK163" s="26">
        <f t="shared" si="43"/>
        <v>62.222222222222854</v>
      </c>
    </row>
    <row r="164" spans="4:37" ht="20.100000000000001" customHeight="1">
      <c r="D164" s="27">
        <f t="shared" si="38"/>
        <v>0.44722222222222113</v>
      </c>
      <c r="E164" s="16">
        <f t="shared" si="42"/>
        <v>125.22222222222348</v>
      </c>
      <c r="F164" s="16">
        <f t="shared" si="42"/>
        <v>132.37777777777902</v>
      </c>
      <c r="G164" s="16">
        <f t="shared" si="42"/>
        <v>136.84999999999948</v>
      </c>
      <c r="H164" s="17">
        <f t="shared" si="42"/>
        <v>116.27777777777652</v>
      </c>
      <c r="I164" s="17">
        <f t="shared" si="42"/>
        <v>123.43333333333152</v>
      </c>
      <c r="J164" s="17">
        <f t="shared" si="42"/>
        <v>127.90555555555522</v>
      </c>
      <c r="K164" s="18">
        <f t="shared" si="42"/>
        <v>107.33333333333478</v>
      </c>
      <c r="L164" s="18">
        <f t="shared" si="42"/>
        <v>114.48888888888939</v>
      </c>
      <c r="M164" s="18">
        <f t="shared" si="42"/>
        <v>118.96111111111269</v>
      </c>
      <c r="N164" s="19">
        <f t="shared" si="42"/>
        <v>82.288888888888408</v>
      </c>
      <c r="O164" s="19">
        <f t="shared" si="42"/>
        <v>89.444444444445963</v>
      </c>
      <c r="P164" s="19">
        <f t="shared" si="42"/>
        <v>93.91666666666562</v>
      </c>
      <c r="Q164" s="20">
        <f t="shared" si="42"/>
        <v>77.816666666667828</v>
      </c>
      <c r="R164" s="20">
        <f t="shared" si="42"/>
        <v>84.972222222223479</v>
      </c>
      <c r="S164" s="20">
        <f t="shared" si="42"/>
        <v>89.444444444445963</v>
      </c>
      <c r="T164" s="21">
        <f t="shared" si="42"/>
        <v>73.344444444445827</v>
      </c>
      <c r="U164" s="21">
        <f t="shared" si="44"/>
        <v>80.5</v>
      </c>
      <c r="V164" s="21">
        <f t="shared" si="44"/>
        <v>84.972222222223479</v>
      </c>
      <c r="W164" s="22">
        <f t="shared" si="44"/>
        <v>68.872222222222348</v>
      </c>
      <c r="X164" s="22">
        <f t="shared" si="44"/>
        <v>76.027777777776521</v>
      </c>
      <c r="Y164" s="22">
        <f t="shared" si="44"/>
        <v>80.5</v>
      </c>
      <c r="Z164" s="23">
        <f t="shared" si="44"/>
        <v>64.399999999998869</v>
      </c>
      <c r="AA164" s="23">
        <f t="shared" si="44"/>
        <v>71.555555555554861</v>
      </c>
      <c r="AB164" s="23">
        <f t="shared" si="44"/>
        <v>76.027777777776521</v>
      </c>
      <c r="AC164" s="24">
        <f t="shared" si="44"/>
        <v>59.92777777777799</v>
      </c>
      <c r="AD164" s="24">
        <f t="shared" si="44"/>
        <v>67.08333333333313</v>
      </c>
      <c r="AE164" s="24">
        <f t="shared" si="44"/>
        <v>71.555555555554861</v>
      </c>
      <c r="AF164" s="25">
        <f t="shared" si="44"/>
        <v>55.455555555554916</v>
      </c>
      <c r="AG164" s="25">
        <f t="shared" si="44"/>
        <v>62.61111111111174</v>
      </c>
      <c r="AH164" s="25">
        <f t="shared" si="44"/>
        <v>67.08333333333313</v>
      </c>
      <c r="AI164" s="26">
        <f t="shared" si="44"/>
        <v>50.983333333333789</v>
      </c>
      <c r="AJ164" s="26">
        <f t="shared" si="44"/>
        <v>58.13888888888826</v>
      </c>
      <c r="AK164" s="26">
        <f t="shared" si="43"/>
        <v>62.61111111111174</v>
      </c>
    </row>
    <row r="165" spans="4:37" ht="20.100000000000001" customHeight="1">
      <c r="D165" s="27">
        <f t="shared" si="38"/>
        <v>0.4499999999999989</v>
      </c>
      <c r="E165" s="16">
        <f t="shared" si="42"/>
        <v>126.00000000000125</v>
      </c>
      <c r="F165" s="16">
        <f t="shared" si="42"/>
        <v>133.20000000000124</v>
      </c>
      <c r="G165" s="16">
        <f t="shared" si="42"/>
        <v>137.69999999999948</v>
      </c>
      <c r="H165" s="17">
        <f t="shared" si="42"/>
        <v>116.99999999999875</v>
      </c>
      <c r="I165" s="17">
        <f t="shared" si="42"/>
        <v>124.19999999999818</v>
      </c>
      <c r="J165" s="17">
        <f t="shared" si="42"/>
        <v>128.69999999999968</v>
      </c>
      <c r="K165" s="18">
        <f t="shared" si="42"/>
        <v>108.00000000000145</v>
      </c>
      <c r="L165" s="18">
        <f t="shared" si="42"/>
        <v>115.2000000000005</v>
      </c>
      <c r="M165" s="18">
        <f t="shared" si="42"/>
        <v>119.70000000000158</v>
      </c>
      <c r="N165" s="19">
        <f t="shared" si="42"/>
        <v>82.799999999999514</v>
      </c>
      <c r="O165" s="19">
        <f t="shared" si="42"/>
        <v>90.000000000001521</v>
      </c>
      <c r="P165" s="19">
        <f t="shared" si="42"/>
        <v>94.499999999998948</v>
      </c>
      <c r="Q165" s="20">
        <f t="shared" si="42"/>
        <v>78.300000000001162</v>
      </c>
      <c r="R165" s="20">
        <f t="shared" si="42"/>
        <v>85.500000000001251</v>
      </c>
      <c r="S165" s="20">
        <f t="shared" si="42"/>
        <v>90.000000000001521</v>
      </c>
      <c r="T165" s="21">
        <f t="shared" si="42"/>
        <v>73.800000000001376</v>
      </c>
      <c r="U165" s="21">
        <f t="shared" si="44"/>
        <v>81</v>
      </c>
      <c r="V165" s="21">
        <f t="shared" si="44"/>
        <v>85.500000000001251</v>
      </c>
      <c r="W165" s="22">
        <f t="shared" si="44"/>
        <v>69.300000000000125</v>
      </c>
      <c r="X165" s="22">
        <f t="shared" si="44"/>
        <v>76.499999999998749</v>
      </c>
      <c r="Y165" s="22">
        <f t="shared" si="44"/>
        <v>81</v>
      </c>
      <c r="Z165" s="23">
        <f t="shared" si="44"/>
        <v>64.799999999998875</v>
      </c>
      <c r="AA165" s="23">
        <f t="shared" si="44"/>
        <v>71.999999999999304</v>
      </c>
      <c r="AB165" s="23">
        <f t="shared" si="44"/>
        <v>76.499999999998749</v>
      </c>
      <c r="AC165" s="24">
        <f t="shared" si="44"/>
        <v>60.30000000000021</v>
      </c>
      <c r="AD165" s="24">
        <f t="shared" si="44"/>
        <v>67.499999999999801</v>
      </c>
      <c r="AE165" s="24">
        <f t="shared" si="44"/>
        <v>71.999999999999304</v>
      </c>
      <c r="AF165" s="25">
        <f t="shared" si="44"/>
        <v>55.799999999999358</v>
      </c>
      <c r="AG165" s="25">
        <f t="shared" si="44"/>
        <v>63.000000000000625</v>
      </c>
      <c r="AH165" s="25">
        <f t="shared" si="44"/>
        <v>67.499999999999801</v>
      </c>
      <c r="AI165" s="26">
        <f t="shared" si="44"/>
        <v>51.300000000000459</v>
      </c>
      <c r="AJ165" s="26">
        <f t="shared" si="44"/>
        <v>58.499999999999375</v>
      </c>
      <c r="AK165" s="26">
        <f t="shared" si="43"/>
        <v>63.000000000000625</v>
      </c>
    </row>
    <row r="166" spans="4:37" ht="20.100000000000001" customHeight="1">
      <c r="D166" s="27">
        <f t="shared" si="38"/>
        <v>0.45277777777777667</v>
      </c>
      <c r="E166" s="16">
        <f t="shared" si="42"/>
        <v>126.77777777777902</v>
      </c>
      <c r="F166" s="16">
        <f t="shared" si="42"/>
        <v>134.02222222222346</v>
      </c>
      <c r="G166" s="16">
        <f t="shared" si="42"/>
        <v>138.54999999999947</v>
      </c>
      <c r="H166" s="17">
        <f t="shared" si="42"/>
        <v>117.72222222222098</v>
      </c>
      <c r="I166" s="17">
        <f t="shared" si="42"/>
        <v>124.96666666666485</v>
      </c>
      <c r="J166" s="17">
        <f t="shared" si="42"/>
        <v>129.49444444444413</v>
      </c>
      <c r="K166" s="18">
        <f t="shared" si="42"/>
        <v>108.66666666666812</v>
      </c>
      <c r="L166" s="18">
        <f t="shared" si="42"/>
        <v>115.91111111111161</v>
      </c>
      <c r="M166" s="18">
        <f t="shared" si="42"/>
        <v>120.43888888889047</v>
      </c>
      <c r="N166" s="19">
        <f t="shared" si="42"/>
        <v>83.31111111111062</v>
      </c>
      <c r="O166" s="19">
        <f t="shared" si="42"/>
        <v>90.555555555557078</v>
      </c>
      <c r="P166" s="19">
        <f t="shared" si="42"/>
        <v>95.083333333332277</v>
      </c>
      <c r="Q166" s="20">
        <f t="shared" si="42"/>
        <v>78.783333333334497</v>
      </c>
      <c r="R166" s="20">
        <f t="shared" si="42"/>
        <v>86.027777777779022</v>
      </c>
      <c r="S166" s="20">
        <f t="shared" si="42"/>
        <v>90.555555555557078</v>
      </c>
      <c r="T166" s="21">
        <f t="shared" si="42"/>
        <v>74.255555555556924</v>
      </c>
      <c r="U166" s="21">
        <f t="shared" si="44"/>
        <v>81.5</v>
      </c>
      <c r="V166" s="21">
        <f t="shared" si="44"/>
        <v>86.027777777779022</v>
      </c>
      <c r="W166" s="22">
        <f t="shared" si="44"/>
        <v>69.727777777777902</v>
      </c>
      <c r="X166" s="22">
        <f t="shared" si="44"/>
        <v>76.972222222220978</v>
      </c>
      <c r="Y166" s="22">
        <f t="shared" si="44"/>
        <v>81.5</v>
      </c>
      <c r="Z166" s="23">
        <f t="shared" si="44"/>
        <v>65.19999999999888</v>
      </c>
      <c r="AA166" s="23">
        <f t="shared" si="44"/>
        <v>72.444444444443747</v>
      </c>
      <c r="AB166" s="23">
        <f t="shared" si="44"/>
        <v>76.972222222220978</v>
      </c>
      <c r="AC166" s="24">
        <f t="shared" si="44"/>
        <v>60.67222222222243</v>
      </c>
      <c r="AD166" s="24">
        <f t="shared" si="44"/>
        <v>67.916666666666472</v>
      </c>
      <c r="AE166" s="24">
        <f t="shared" si="44"/>
        <v>72.444444444443747</v>
      </c>
      <c r="AF166" s="25">
        <f t="shared" si="44"/>
        <v>56.144444444443799</v>
      </c>
      <c r="AG166" s="25">
        <f t="shared" si="44"/>
        <v>63.388888888889511</v>
      </c>
      <c r="AH166" s="25">
        <f t="shared" si="44"/>
        <v>67.916666666666472</v>
      </c>
      <c r="AI166" s="26">
        <f t="shared" si="44"/>
        <v>51.616666666667129</v>
      </c>
      <c r="AJ166" s="26">
        <f t="shared" si="44"/>
        <v>58.861111111110489</v>
      </c>
      <c r="AK166" s="26">
        <f t="shared" si="43"/>
        <v>63.388888888889511</v>
      </c>
    </row>
    <row r="167" spans="4:37" ht="20.100000000000001" customHeight="1">
      <c r="D167" s="27">
        <f t="shared" si="38"/>
        <v>0.45555555555555444</v>
      </c>
      <c r="E167" s="16">
        <f t="shared" si="42"/>
        <v>127.55555555555679</v>
      </c>
      <c r="F167" s="16">
        <f t="shared" si="42"/>
        <v>134.84444444444568</v>
      </c>
      <c r="G167" s="16">
        <f t="shared" si="42"/>
        <v>139.39999999999947</v>
      </c>
      <c r="H167" s="17">
        <f t="shared" si="42"/>
        <v>118.44444444444321</v>
      </c>
      <c r="I167" s="17">
        <f t="shared" si="42"/>
        <v>125.73333333333152</v>
      </c>
      <c r="J167" s="17">
        <f t="shared" si="42"/>
        <v>130.28888888888858</v>
      </c>
      <c r="K167" s="18">
        <f t="shared" si="42"/>
        <v>109.33333333333479</v>
      </c>
      <c r="L167" s="18">
        <f t="shared" si="42"/>
        <v>116.62222222222272</v>
      </c>
      <c r="M167" s="18">
        <f t="shared" si="42"/>
        <v>121.17777777777937</v>
      </c>
      <c r="N167" s="19">
        <f t="shared" si="42"/>
        <v>83.822222222221725</v>
      </c>
      <c r="O167" s="19">
        <f t="shared" si="42"/>
        <v>91.111111111112635</v>
      </c>
      <c r="P167" s="19">
        <f t="shared" si="42"/>
        <v>95.666666666665606</v>
      </c>
      <c r="Q167" s="20">
        <f t="shared" si="42"/>
        <v>79.266666666667831</v>
      </c>
      <c r="R167" s="20">
        <f t="shared" si="42"/>
        <v>86.555555555556793</v>
      </c>
      <c r="S167" s="20">
        <f t="shared" si="42"/>
        <v>91.111111111112635</v>
      </c>
      <c r="T167" s="21">
        <f t="shared" si="42"/>
        <v>74.711111111112473</v>
      </c>
      <c r="U167" s="21">
        <f t="shared" si="44"/>
        <v>82</v>
      </c>
      <c r="V167" s="21">
        <f t="shared" si="44"/>
        <v>86.555555555556793</v>
      </c>
      <c r="W167" s="22">
        <f t="shared" si="44"/>
        <v>70.155555555555679</v>
      </c>
      <c r="X167" s="22">
        <f t="shared" si="44"/>
        <v>77.444444444443207</v>
      </c>
      <c r="Y167" s="22">
        <f t="shared" si="44"/>
        <v>82</v>
      </c>
      <c r="Z167" s="23">
        <f t="shared" si="44"/>
        <v>65.599999999998886</v>
      </c>
      <c r="AA167" s="23">
        <f t="shared" si="44"/>
        <v>72.888888888888189</v>
      </c>
      <c r="AB167" s="23">
        <f t="shared" si="44"/>
        <v>77.444444444443207</v>
      </c>
      <c r="AC167" s="24">
        <f t="shared" si="44"/>
        <v>61.04444444444465</v>
      </c>
      <c r="AD167" s="24">
        <f t="shared" si="44"/>
        <v>68.333333333333144</v>
      </c>
      <c r="AE167" s="24">
        <f t="shared" si="44"/>
        <v>72.888888888888189</v>
      </c>
      <c r="AF167" s="25">
        <f t="shared" si="44"/>
        <v>56.488888888888241</v>
      </c>
      <c r="AG167" s="25">
        <f t="shared" si="44"/>
        <v>63.777777777778397</v>
      </c>
      <c r="AH167" s="25">
        <f t="shared" si="44"/>
        <v>68.333333333333144</v>
      </c>
      <c r="AI167" s="26">
        <f t="shared" si="44"/>
        <v>51.933333333333799</v>
      </c>
      <c r="AJ167" s="26">
        <f t="shared" si="44"/>
        <v>59.222222222221603</v>
      </c>
      <c r="AK167" s="26">
        <f t="shared" si="43"/>
        <v>63.777777777778397</v>
      </c>
    </row>
    <row r="168" spans="4:37" ht="20.100000000000001" customHeight="1">
      <c r="D168" s="27">
        <f t="shared" si="38"/>
        <v>0.4583333333333322</v>
      </c>
      <c r="E168" s="16">
        <f t="shared" si="42"/>
        <v>128.33333333333456</v>
      </c>
      <c r="F168" s="16">
        <f t="shared" si="42"/>
        <v>135.66666666666791</v>
      </c>
      <c r="G168" s="16">
        <f t="shared" si="42"/>
        <v>140.24999999999946</v>
      </c>
      <c r="H168" s="17">
        <f t="shared" si="42"/>
        <v>119.16666666666544</v>
      </c>
      <c r="I168" s="17">
        <f t="shared" si="42"/>
        <v>126.49999999999818</v>
      </c>
      <c r="J168" s="17">
        <f t="shared" si="42"/>
        <v>131.08333333333303</v>
      </c>
      <c r="K168" s="18">
        <f t="shared" si="42"/>
        <v>110.00000000000146</v>
      </c>
      <c r="L168" s="18">
        <f t="shared" si="42"/>
        <v>117.33333333333383</v>
      </c>
      <c r="M168" s="18">
        <f t="shared" si="42"/>
        <v>121.91666666666826</v>
      </c>
      <c r="N168" s="19">
        <f t="shared" si="42"/>
        <v>84.333333333332831</v>
      </c>
      <c r="O168" s="19">
        <f t="shared" si="42"/>
        <v>91.666666666668192</v>
      </c>
      <c r="P168" s="19">
        <f t="shared" si="42"/>
        <v>96.249999999998934</v>
      </c>
      <c r="Q168" s="20">
        <f t="shared" si="42"/>
        <v>79.750000000001165</v>
      </c>
      <c r="R168" s="20">
        <f t="shared" si="42"/>
        <v>87.083333333334565</v>
      </c>
      <c r="S168" s="20">
        <f t="shared" si="42"/>
        <v>91.666666666668192</v>
      </c>
      <c r="T168" s="21">
        <f t="shared" si="42"/>
        <v>75.166666666668021</v>
      </c>
      <c r="U168" s="21">
        <f t="shared" si="44"/>
        <v>82.5</v>
      </c>
      <c r="V168" s="21">
        <f t="shared" si="44"/>
        <v>87.083333333334565</v>
      </c>
      <c r="W168" s="22">
        <f t="shared" si="44"/>
        <v>70.583333333333456</v>
      </c>
      <c r="X168" s="22">
        <f t="shared" si="44"/>
        <v>77.916666666665435</v>
      </c>
      <c r="Y168" s="22">
        <f t="shared" si="44"/>
        <v>82.5</v>
      </c>
      <c r="Z168" s="23">
        <f>Z169-(Z$363/360)</f>
        <v>65.999999999998892</v>
      </c>
      <c r="AA168" s="23">
        <f t="shared" si="44"/>
        <v>73.333333333332632</v>
      </c>
      <c r="AB168" s="23">
        <f t="shared" si="44"/>
        <v>77.916666666665435</v>
      </c>
      <c r="AC168" s="24">
        <f t="shared" si="44"/>
        <v>61.41666666666687</v>
      </c>
      <c r="AD168" s="24">
        <f t="shared" si="44"/>
        <v>68.749999999999815</v>
      </c>
      <c r="AE168" s="24">
        <f t="shared" si="44"/>
        <v>73.333333333332632</v>
      </c>
      <c r="AF168" s="25">
        <f t="shared" si="44"/>
        <v>56.833333333332682</v>
      </c>
      <c r="AG168" s="25">
        <f t="shared" si="44"/>
        <v>64.166666666667282</v>
      </c>
      <c r="AH168" s="25">
        <f t="shared" si="44"/>
        <v>68.749999999999815</v>
      </c>
      <c r="AI168" s="26">
        <f t="shared" si="44"/>
        <v>52.250000000000469</v>
      </c>
      <c r="AJ168" s="26">
        <f t="shared" si="44"/>
        <v>59.583333333332718</v>
      </c>
      <c r="AK168" s="26">
        <f t="shared" si="43"/>
        <v>64.166666666667282</v>
      </c>
    </row>
    <row r="169" spans="4:37" ht="20.100000000000001" customHeight="1">
      <c r="D169" s="27">
        <f t="shared" si="38"/>
        <v>0.46111111111110997</v>
      </c>
      <c r="E169" s="16">
        <f t="shared" si="42"/>
        <v>129.11111111111234</v>
      </c>
      <c r="F169" s="16">
        <f t="shared" si="42"/>
        <v>136.48888888889013</v>
      </c>
      <c r="G169" s="16">
        <f t="shared" si="42"/>
        <v>141.09999999999945</v>
      </c>
      <c r="H169" s="17">
        <f t="shared" si="42"/>
        <v>119.88888888888766</v>
      </c>
      <c r="I169" s="17">
        <f t="shared" si="42"/>
        <v>127.26666666666485</v>
      </c>
      <c r="J169" s="17">
        <f t="shared" si="42"/>
        <v>131.87777777777748</v>
      </c>
      <c r="K169" s="18">
        <f t="shared" si="42"/>
        <v>110.66666666666814</v>
      </c>
      <c r="L169" s="18">
        <f t="shared" si="42"/>
        <v>118.04444444444493</v>
      </c>
      <c r="M169" s="18">
        <f t="shared" si="42"/>
        <v>122.65555555555716</v>
      </c>
      <c r="N169" s="19">
        <f t="shared" si="42"/>
        <v>84.844444444443937</v>
      </c>
      <c r="O169" s="19">
        <f t="shared" si="42"/>
        <v>92.222222222223749</v>
      </c>
      <c r="P169" s="19">
        <f t="shared" si="42"/>
        <v>96.833333333332263</v>
      </c>
      <c r="Q169" s="20">
        <f t="shared" si="42"/>
        <v>80.2333333333345</v>
      </c>
      <c r="R169" s="20">
        <f t="shared" si="42"/>
        <v>87.611111111112336</v>
      </c>
      <c r="S169" s="20">
        <f t="shared" si="42"/>
        <v>92.222222222223749</v>
      </c>
      <c r="T169" s="21">
        <f t="shared" si="42"/>
        <v>75.62222222222357</v>
      </c>
      <c r="U169" s="21">
        <f t="shared" si="44"/>
        <v>83</v>
      </c>
      <c r="V169" s="21">
        <f t="shared" si="44"/>
        <v>87.611111111112336</v>
      </c>
      <c r="W169" s="22">
        <f t="shared" si="44"/>
        <v>71.011111111111234</v>
      </c>
      <c r="X169" s="22">
        <f t="shared" si="44"/>
        <v>78.388888888887664</v>
      </c>
      <c r="Y169" s="22">
        <f t="shared" si="44"/>
        <v>83</v>
      </c>
      <c r="Z169" s="23">
        <f t="shared" si="44"/>
        <v>66.399999999998897</v>
      </c>
      <c r="AA169" s="23">
        <f t="shared" si="44"/>
        <v>73.777777777777075</v>
      </c>
      <c r="AB169" s="23">
        <f t="shared" si="44"/>
        <v>78.388888888887664</v>
      </c>
      <c r="AC169" s="24">
        <f t="shared" si="44"/>
        <v>61.78888888888909</v>
      </c>
      <c r="AD169" s="24">
        <f t="shared" si="44"/>
        <v>69.166666666666487</v>
      </c>
      <c r="AE169" s="24">
        <f t="shared" si="44"/>
        <v>73.777777777777075</v>
      </c>
      <c r="AF169" s="25">
        <f t="shared" si="44"/>
        <v>57.177777777777123</v>
      </c>
      <c r="AG169" s="25">
        <f t="shared" si="44"/>
        <v>64.555555555556168</v>
      </c>
      <c r="AH169" s="25">
        <f t="shared" si="44"/>
        <v>69.166666666666487</v>
      </c>
      <c r="AI169" s="26">
        <f t="shared" si="44"/>
        <v>52.566666666667139</v>
      </c>
      <c r="AJ169" s="26">
        <f t="shared" si="44"/>
        <v>59.944444444443832</v>
      </c>
      <c r="AK169" s="26">
        <f t="shared" si="43"/>
        <v>64.555555555556168</v>
      </c>
    </row>
    <row r="170" spans="4:37" ht="20.100000000000001" customHeight="1">
      <c r="D170" s="27">
        <f t="shared" si="38"/>
        <v>0.46388888888888774</v>
      </c>
      <c r="E170" s="16">
        <f t="shared" si="42"/>
        <v>129.88888888889011</v>
      </c>
      <c r="F170" s="16">
        <f t="shared" si="42"/>
        <v>137.31111111111235</v>
      </c>
      <c r="G170" s="16">
        <f t="shared" si="42"/>
        <v>141.94999999999945</v>
      </c>
      <c r="H170" s="17">
        <f t="shared" si="42"/>
        <v>120.61111111110989</v>
      </c>
      <c r="I170" s="17">
        <f t="shared" si="42"/>
        <v>128.03333333333151</v>
      </c>
      <c r="J170" s="17">
        <f t="shared" si="42"/>
        <v>132.67222222222193</v>
      </c>
      <c r="K170" s="18">
        <f t="shared" si="42"/>
        <v>111.33333333333481</v>
      </c>
      <c r="L170" s="18">
        <f t="shared" si="42"/>
        <v>118.75555555555604</v>
      </c>
      <c r="M170" s="18">
        <f t="shared" si="42"/>
        <v>123.39444444444605</v>
      </c>
      <c r="N170" s="19">
        <f t="shared" si="42"/>
        <v>85.355555555555043</v>
      </c>
      <c r="O170" s="19">
        <f t="shared" si="42"/>
        <v>92.777777777779306</v>
      </c>
      <c r="P170" s="19">
        <f t="shared" si="42"/>
        <v>97.416666666665591</v>
      </c>
      <c r="Q170" s="20">
        <f t="shared" si="42"/>
        <v>80.716666666667834</v>
      </c>
      <c r="R170" s="20">
        <f t="shared" si="42"/>
        <v>88.138888888890108</v>
      </c>
      <c r="S170" s="20">
        <f t="shared" si="42"/>
        <v>92.777777777779306</v>
      </c>
      <c r="T170" s="21">
        <f t="shared" si="42"/>
        <v>76.077777777779119</v>
      </c>
      <c r="U170" s="21">
        <f t="shared" si="44"/>
        <v>83.5</v>
      </c>
      <c r="V170" s="21">
        <f t="shared" si="44"/>
        <v>88.138888888890108</v>
      </c>
      <c r="W170" s="22">
        <f t="shared" si="44"/>
        <v>71.438888888889011</v>
      </c>
      <c r="X170" s="22">
        <f t="shared" si="44"/>
        <v>78.861111111109892</v>
      </c>
      <c r="Y170" s="22">
        <f t="shared" si="44"/>
        <v>83.5</v>
      </c>
      <c r="Z170" s="23">
        <f t="shared" si="44"/>
        <v>66.799999999998903</v>
      </c>
      <c r="AA170" s="23">
        <f t="shared" si="44"/>
        <v>74.222222222221518</v>
      </c>
      <c r="AB170" s="23">
        <f t="shared" si="44"/>
        <v>78.861111111109892</v>
      </c>
      <c r="AC170" s="24">
        <f t="shared" si="44"/>
        <v>62.16111111111131</v>
      </c>
      <c r="AD170" s="24">
        <f t="shared" si="44"/>
        <v>69.583333333333158</v>
      </c>
      <c r="AE170" s="24">
        <f t="shared" si="44"/>
        <v>74.222222222221518</v>
      </c>
      <c r="AF170" s="25">
        <f t="shared" si="44"/>
        <v>57.522222222221565</v>
      </c>
      <c r="AG170" s="25">
        <f t="shared" si="44"/>
        <v>64.944444444445054</v>
      </c>
      <c r="AH170" s="25">
        <f t="shared" si="44"/>
        <v>69.583333333333158</v>
      </c>
      <c r="AI170" s="26">
        <f t="shared" si="44"/>
        <v>52.883333333333809</v>
      </c>
      <c r="AJ170" s="26">
        <f t="shared" si="44"/>
        <v>60.305555555554946</v>
      </c>
      <c r="AK170" s="26">
        <f t="shared" si="43"/>
        <v>64.944444444445054</v>
      </c>
    </row>
    <row r="171" spans="4:37" ht="20.100000000000001" customHeight="1">
      <c r="D171" s="27">
        <f t="shared" si="38"/>
        <v>0.46666666666666551</v>
      </c>
      <c r="E171" s="16">
        <f t="shared" si="42"/>
        <v>130.66666666666788</v>
      </c>
      <c r="F171" s="16">
        <f t="shared" si="42"/>
        <v>138.13333333333458</v>
      </c>
      <c r="G171" s="16">
        <f t="shared" si="42"/>
        <v>142.79999999999944</v>
      </c>
      <c r="H171" s="17">
        <f t="shared" si="42"/>
        <v>121.33333333333212</v>
      </c>
      <c r="I171" s="17">
        <f t="shared" si="42"/>
        <v>128.79999999999819</v>
      </c>
      <c r="J171" s="17">
        <f t="shared" si="42"/>
        <v>133.46666666666638</v>
      </c>
      <c r="K171" s="18">
        <f t="shared" si="42"/>
        <v>112.00000000000148</v>
      </c>
      <c r="L171" s="18">
        <f t="shared" si="42"/>
        <v>119.46666666666715</v>
      </c>
      <c r="M171" s="18">
        <f t="shared" si="42"/>
        <v>124.13333333333495</v>
      </c>
      <c r="N171" s="19">
        <f t="shared" si="42"/>
        <v>85.866666666666148</v>
      </c>
      <c r="O171" s="19">
        <f t="shared" si="42"/>
        <v>93.333333333334863</v>
      </c>
      <c r="P171" s="19">
        <f t="shared" si="42"/>
        <v>97.99999999999892</v>
      </c>
      <c r="Q171" s="20">
        <f t="shared" si="42"/>
        <v>81.200000000001168</v>
      </c>
      <c r="R171" s="20">
        <f t="shared" si="42"/>
        <v>88.666666666667879</v>
      </c>
      <c r="S171" s="20">
        <f t="shared" si="42"/>
        <v>93.333333333334863</v>
      </c>
      <c r="T171" s="21">
        <f t="shared" si="42"/>
        <v>76.533333333334667</v>
      </c>
      <c r="U171" s="21">
        <f t="shared" si="44"/>
        <v>84</v>
      </c>
      <c r="V171" s="21">
        <f t="shared" si="44"/>
        <v>88.666666666667879</v>
      </c>
      <c r="W171" s="22">
        <f t="shared" si="44"/>
        <v>71.866666666666788</v>
      </c>
      <c r="X171" s="22">
        <f t="shared" si="44"/>
        <v>79.333333333332121</v>
      </c>
      <c r="Y171" s="22">
        <f t="shared" si="44"/>
        <v>84</v>
      </c>
      <c r="Z171" s="23">
        <f t="shared" si="44"/>
        <v>67.199999999998909</v>
      </c>
      <c r="AA171" s="23">
        <f t="shared" si="44"/>
        <v>74.666666666665961</v>
      </c>
      <c r="AB171" s="23">
        <f t="shared" si="44"/>
        <v>79.333333333332121</v>
      </c>
      <c r="AC171" s="24">
        <f t="shared" si="44"/>
        <v>62.53333333333353</v>
      </c>
      <c r="AD171" s="24">
        <f t="shared" si="44"/>
        <v>69.999999999999829</v>
      </c>
      <c r="AE171" s="24">
        <f t="shared" si="44"/>
        <v>74.666666666665961</v>
      </c>
      <c r="AF171" s="25">
        <f t="shared" si="44"/>
        <v>57.866666666666006</v>
      </c>
      <c r="AG171" s="25">
        <f t="shared" si="44"/>
        <v>65.33333333333394</v>
      </c>
      <c r="AH171" s="25">
        <f t="shared" si="44"/>
        <v>69.999999999999829</v>
      </c>
      <c r="AI171" s="26">
        <f t="shared" si="44"/>
        <v>53.200000000000479</v>
      </c>
      <c r="AJ171" s="26">
        <f t="shared" si="44"/>
        <v>60.66666666666606</v>
      </c>
      <c r="AK171" s="26">
        <f t="shared" si="43"/>
        <v>65.33333333333394</v>
      </c>
    </row>
    <row r="172" spans="4:37" ht="20.100000000000001" customHeight="1">
      <c r="D172" s="27">
        <f t="shared" si="38"/>
        <v>0.46944444444444328</v>
      </c>
      <c r="E172" s="16">
        <f t="shared" si="42"/>
        <v>131.44444444444565</v>
      </c>
      <c r="F172" s="16">
        <f t="shared" si="42"/>
        <v>138.9555555555568</v>
      </c>
      <c r="G172" s="16">
        <f t="shared" si="42"/>
        <v>143.64999999999944</v>
      </c>
      <c r="H172" s="17">
        <f t="shared" si="42"/>
        <v>122.05555555555435</v>
      </c>
      <c r="I172" s="17">
        <f t="shared" si="42"/>
        <v>129.56666666666487</v>
      </c>
      <c r="J172" s="17">
        <f t="shared" si="42"/>
        <v>134.26111111111084</v>
      </c>
      <c r="K172" s="18">
        <f t="shared" si="42"/>
        <v>112.66666666666815</v>
      </c>
      <c r="L172" s="18">
        <f t="shared" si="42"/>
        <v>120.17777777777826</v>
      </c>
      <c r="M172" s="18">
        <f t="shared" si="42"/>
        <v>124.87222222222384</v>
      </c>
      <c r="N172" s="19">
        <f t="shared" si="42"/>
        <v>86.377777777777254</v>
      </c>
      <c r="O172" s="19">
        <f t="shared" si="42"/>
        <v>93.888888888890421</v>
      </c>
      <c r="P172" s="19">
        <f t="shared" si="42"/>
        <v>98.583333333332249</v>
      </c>
      <c r="Q172" s="20">
        <f t="shared" si="42"/>
        <v>81.683333333334502</v>
      </c>
      <c r="R172" s="20">
        <f t="shared" si="42"/>
        <v>89.194444444445651</v>
      </c>
      <c r="S172" s="20">
        <f t="shared" si="42"/>
        <v>93.888888888890421</v>
      </c>
      <c r="T172" s="21">
        <f t="shared" si="42"/>
        <v>76.988888888890216</v>
      </c>
      <c r="U172" s="21">
        <f t="shared" si="44"/>
        <v>84.5</v>
      </c>
      <c r="V172" s="21">
        <f t="shared" si="44"/>
        <v>89.194444444445651</v>
      </c>
      <c r="W172" s="22">
        <f t="shared" si="44"/>
        <v>72.294444444444565</v>
      </c>
      <c r="X172" s="22">
        <f t="shared" si="44"/>
        <v>79.805555555554349</v>
      </c>
      <c r="Y172" s="22">
        <f t="shared" si="44"/>
        <v>84.5</v>
      </c>
      <c r="Z172" s="23">
        <f t="shared" si="44"/>
        <v>67.599999999998914</v>
      </c>
      <c r="AA172" s="23">
        <f t="shared" si="44"/>
        <v>75.111111111110404</v>
      </c>
      <c r="AB172" s="23">
        <f t="shared" si="44"/>
        <v>79.805555555554349</v>
      </c>
      <c r="AC172" s="24">
        <f t="shared" si="44"/>
        <v>62.90555555555575</v>
      </c>
      <c r="AD172" s="24">
        <f t="shared" si="44"/>
        <v>70.416666666666501</v>
      </c>
      <c r="AE172" s="24">
        <f t="shared" si="44"/>
        <v>75.111111111110404</v>
      </c>
      <c r="AF172" s="25">
        <f t="shared" si="44"/>
        <v>58.211111111110448</v>
      </c>
      <c r="AG172" s="25">
        <f t="shared" si="44"/>
        <v>65.722222222222825</v>
      </c>
      <c r="AH172" s="25">
        <f t="shared" si="44"/>
        <v>70.416666666666501</v>
      </c>
      <c r="AI172" s="26">
        <f t="shared" si="44"/>
        <v>53.516666666667149</v>
      </c>
      <c r="AJ172" s="26">
        <f t="shared" si="44"/>
        <v>61.027777777777175</v>
      </c>
      <c r="AK172" s="26">
        <f t="shared" si="43"/>
        <v>65.722222222222825</v>
      </c>
    </row>
    <row r="173" spans="4:37" ht="20.100000000000001" customHeight="1">
      <c r="D173" s="27">
        <f t="shared" si="38"/>
        <v>0.47222222222222104</v>
      </c>
      <c r="E173" s="16">
        <f t="shared" si="42"/>
        <v>132.22222222222342</v>
      </c>
      <c r="F173" s="16">
        <f t="shared" si="42"/>
        <v>139.77777777777902</v>
      </c>
      <c r="G173" s="16">
        <f t="shared" si="42"/>
        <v>144.49999999999943</v>
      </c>
      <c r="H173" s="17">
        <f t="shared" si="42"/>
        <v>122.77777777777658</v>
      </c>
      <c r="I173" s="17">
        <f t="shared" si="42"/>
        <v>130.33333333333155</v>
      </c>
      <c r="J173" s="17">
        <f t="shared" si="42"/>
        <v>135.05555555555529</v>
      </c>
      <c r="K173" s="18">
        <f t="shared" si="42"/>
        <v>113.33333333333482</v>
      </c>
      <c r="L173" s="18">
        <f t="shared" si="42"/>
        <v>120.88888888888937</v>
      </c>
      <c r="M173" s="18">
        <f t="shared" si="42"/>
        <v>125.61111111111273</v>
      </c>
      <c r="N173" s="19">
        <f t="shared" si="42"/>
        <v>86.88888888888836</v>
      </c>
      <c r="O173" s="19">
        <f t="shared" si="42"/>
        <v>94.444444444445978</v>
      </c>
      <c r="P173" s="19">
        <f t="shared" si="42"/>
        <v>99.166666666665577</v>
      </c>
      <c r="Q173" s="20">
        <f t="shared" si="42"/>
        <v>82.166666666667837</v>
      </c>
      <c r="R173" s="20">
        <f t="shared" si="42"/>
        <v>89.722222222223422</v>
      </c>
      <c r="S173" s="20">
        <f t="shared" si="42"/>
        <v>94.444444444445978</v>
      </c>
      <c r="T173" s="21">
        <f t="shared" si="42"/>
        <v>77.444444444445764</v>
      </c>
      <c r="U173" s="21">
        <f t="shared" si="44"/>
        <v>85</v>
      </c>
      <c r="V173" s="21">
        <f t="shared" si="44"/>
        <v>89.722222222223422</v>
      </c>
      <c r="W173" s="22">
        <f t="shared" si="44"/>
        <v>72.722222222222342</v>
      </c>
      <c r="X173" s="22">
        <f t="shared" si="44"/>
        <v>80.277777777776578</v>
      </c>
      <c r="Y173" s="22">
        <f t="shared" si="44"/>
        <v>85</v>
      </c>
      <c r="Z173" s="23">
        <f t="shared" si="44"/>
        <v>67.99999999999892</v>
      </c>
      <c r="AA173" s="23">
        <f t="shared" si="44"/>
        <v>75.555555555554847</v>
      </c>
      <c r="AB173" s="23">
        <f t="shared" si="44"/>
        <v>80.277777777776578</v>
      </c>
      <c r="AC173" s="24">
        <f t="shared" si="44"/>
        <v>63.27777777777797</v>
      </c>
      <c r="AD173" s="24">
        <f t="shared" si="44"/>
        <v>70.833333333333172</v>
      </c>
      <c r="AE173" s="24">
        <f t="shared" si="44"/>
        <v>75.555555555554847</v>
      </c>
      <c r="AF173" s="25">
        <f t="shared" si="44"/>
        <v>58.555555555554889</v>
      </c>
      <c r="AG173" s="25">
        <f t="shared" si="44"/>
        <v>66.111111111111711</v>
      </c>
      <c r="AH173" s="25">
        <f t="shared" si="44"/>
        <v>70.833333333333172</v>
      </c>
      <c r="AI173" s="26">
        <f t="shared" si="44"/>
        <v>53.833333333333819</v>
      </c>
      <c r="AJ173" s="26">
        <f t="shared" si="44"/>
        <v>61.388888888888289</v>
      </c>
      <c r="AK173" s="26">
        <f t="shared" si="43"/>
        <v>66.111111111111711</v>
      </c>
    </row>
    <row r="174" spans="4:37" ht="20.100000000000001" customHeight="1">
      <c r="D174" s="27">
        <f t="shared" si="38"/>
        <v>0.47499999999999881</v>
      </c>
      <c r="E174" s="16">
        <f t="shared" si="42"/>
        <v>133.00000000000119</v>
      </c>
      <c r="F174" s="16">
        <f t="shared" si="42"/>
        <v>140.60000000000124</v>
      </c>
      <c r="G174" s="16">
        <f t="shared" si="42"/>
        <v>145.34999999999943</v>
      </c>
      <c r="H174" s="17">
        <f t="shared" si="42"/>
        <v>123.49999999999881</v>
      </c>
      <c r="I174" s="17">
        <f t="shared" si="42"/>
        <v>131.09999999999823</v>
      </c>
      <c r="J174" s="17">
        <f t="shared" si="42"/>
        <v>135.84999999999974</v>
      </c>
      <c r="K174" s="18">
        <f t="shared" si="42"/>
        <v>114.00000000000149</v>
      </c>
      <c r="L174" s="18">
        <f t="shared" si="42"/>
        <v>121.60000000000048</v>
      </c>
      <c r="M174" s="18">
        <f t="shared" si="42"/>
        <v>126.35000000000163</v>
      </c>
      <c r="N174" s="19">
        <f t="shared" si="42"/>
        <v>87.399999999999466</v>
      </c>
      <c r="O174" s="19">
        <f t="shared" si="42"/>
        <v>95.000000000001535</v>
      </c>
      <c r="P174" s="19">
        <f t="shared" si="42"/>
        <v>99.749999999998906</v>
      </c>
      <c r="Q174" s="20">
        <f t="shared" si="42"/>
        <v>82.650000000001171</v>
      </c>
      <c r="R174" s="20">
        <f t="shared" si="42"/>
        <v>90.250000000001194</v>
      </c>
      <c r="S174" s="20">
        <f t="shared" si="42"/>
        <v>95.000000000001535</v>
      </c>
      <c r="T174" s="21">
        <f t="shared" si="42"/>
        <v>77.900000000001313</v>
      </c>
      <c r="U174" s="21">
        <f t="shared" si="44"/>
        <v>85.5</v>
      </c>
      <c r="V174" s="21">
        <f t="shared" si="44"/>
        <v>90.250000000001194</v>
      </c>
      <c r="W174" s="22">
        <f t="shared" si="44"/>
        <v>73.150000000000119</v>
      </c>
      <c r="X174" s="22">
        <f t="shared" si="44"/>
        <v>80.749999999998806</v>
      </c>
      <c r="Y174" s="22">
        <f t="shared" si="44"/>
        <v>85.5</v>
      </c>
      <c r="Z174" s="23">
        <f t="shared" si="44"/>
        <v>68.399999999998926</v>
      </c>
      <c r="AA174" s="23">
        <f t="shared" si="44"/>
        <v>75.999999999999289</v>
      </c>
      <c r="AB174" s="23">
        <f t="shared" si="44"/>
        <v>80.749999999998806</v>
      </c>
      <c r="AC174" s="24">
        <f t="shared" si="44"/>
        <v>63.65000000000019</v>
      </c>
      <c r="AD174" s="24">
        <f t="shared" si="44"/>
        <v>71.249999999999844</v>
      </c>
      <c r="AE174" s="24">
        <f t="shared" si="44"/>
        <v>75.999999999999289</v>
      </c>
      <c r="AF174" s="25">
        <f t="shared" si="44"/>
        <v>58.899999999999331</v>
      </c>
      <c r="AG174" s="25">
        <f t="shared" si="44"/>
        <v>66.500000000000597</v>
      </c>
      <c r="AH174" s="25">
        <f t="shared" si="44"/>
        <v>71.249999999999844</v>
      </c>
      <c r="AI174" s="26">
        <f t="shared" si="44"/>
        <v>54.150000000000489</v>
      </c>
      <c r="AJ174" s="26">
        <f t="shared" si="44"/>
        <v>61.749999999999403</v>
      </c>
      <c r="AK174" s="26">
        <f t="shared" si="43"/>
        <v>66.500000000000597</v>
      </c>
    </row>
    <row r="175" spans="4:37" ht="20.100000000000001" customHeight="1">
      <c r="D175" s="27">
        <f t="shared" si="38"/>
        <v>0.47777777777777658</v>
      </c>
      <c r="E175" s="16">
        <f t="shared" si="42"/>
        <v>133.77777777777897</v>
      </c>
      <c r="F175" s="16">
        <f t="shared" si="42"/>
        <v>141.42222222222347</v>
      </c>
      <c r="G175" s="16">
        <f t="shared" si="42"/>
        <v>146.19999999999942</v>
      </c>
      <c r="H175" s="17">
        <f t="shared" si="42"/>
        <v>124.22222222222103</v>
      </c>
      <c r="I175" s="17">
        <f t="shared" si="42"/>
        <v>131.86666666666491</v>
      </c>
      <c r="J175" s="17">
        <f t="shared" si="42"/>
        <v>136.64444444444419</v>
      </c>
      <c r="K175" s="18">
        <f t="shared" si="42"/>
        <v>114.66666666666816</v>
      </c>
      <c r="L175" s="18">
        <f t="shared" si="42"/>
        <v>122.31111111111159</v>
      </c>
      <c r="M175" s="18">
        <f t="shared" si="42"/>
        <v>127.08888888889052</v>
      </c>
      <c r="N175" s="19">
        <f t="shared" si="42"/>
        <v>87.911111111110571</v>
      </c>
      <c r="O175" s="19">
        <f t="shared" si="42"/>
        <v>95.555555555557092</v>
      </c>
      <c r="P175" s="19">
        <f t="shared" si="42"/>
        <v>100.33333333333223</v>
      </c>
      <c r="Q175" s="20">
        <f t="shared" si="42"/>
        <v>83.133333333334505</v>
      </c>
      <c r="R175" s="20">
        <f t="shared" si="42"/>
        <v>90.777777777778965</v>
      </c>
      <c r="S175" s="20">
        <f t="shared" si="42"/>
        <v>95.555555555557092</v>
      </c>
      <c r="T175" s="21">
        <f t="shared" si="42"/>
        <v>78.355555555556862</v>
      </c>
      <c r="U175" s="21">
        <f t="shared" si="44"/>
        <v>86</v>
      </c>
      <c r="V175" s="21">
        <f t="shared" si="44"/>
        <v>90.777777777778965</v>
      </c>
      <c r="W175" s="22">
        <f t="shared" si="44"/>
        <v>73.577777777777897</v>
      </c>
      <c r="X175" s="22">
        <f t="shared" si="44"/>
        <v>81.222222222221035</v>
      </c>
      <c r="Y175" s="22">
        <f t="shared" si="44"/>
        <v>86</v>
      </c>
      <c r="Z175" s="23">
        <f t="shared" si="44"/>
        <v>68.799999999998931</v>
      </c>
      <c r="AA175" s="23">
        <f t="shared" si="44"/>
        <v>76.444444444443732</v>
      </c>
      <c r="AB175" s="23">
        <f t="shared" si="44"/>
        <v>81.222222222221035</v>
      </c>
      <c r="AC175" s="24">
        <f t="shared" si="44"/>
        <v>64.02222222222241</v>
      </c>
      <c r="AD175" s="24">
        <f t="shared" si="44"/>
        <v>71.666666666666515</v>
      </c>
      <c r="AE175" s="24">
        <f t="shared" si="44"/>
        <v>76.444444444443732</v>
      </c>
      <c r="AF175" s="25">
        <f t="shared" si="43"/>
        <v>59.244444444443772</v>
      </c>
      <c r="AG175" s="25">
        <f t="shared" si="43"/>
        <v>66.888888888889483</v>
      </c>
      <c r="AH175" s="25">
        <f t="shared" si="43"/>
        <v>71.666666666666515</v>
      </c>
      <c r="AI175" s="26">
        <f t="shared" si="43"/>
        <v>54.466666666667159</v>
      </c>
      <c r="AJ175" s="26">
        <f t="shared" si="43"/>
        <v>62.111111111110517</v>
      </c>
      <c r="AK175" s="26">
        <f t="shared" si="43"/>
        <v>66.888888888889483</v>
      </c>
    </row>
    <row r="176" spans="4:37" ht="20.100000000000001" customHeight="1">
      <c r="D176" s="27">
        <f t="shared" si="38"/>
        <v>0.48055555555555435</v>
      </c>
      <c r="E176" s="16">
        <f t="shared" si="42"/>
        <v>134.55555555555674</v>
      </c>
      <c r="F176" s="16">
        <f t="shared" si="42"/>
        <v>142.24444444444569</v>
      </c>
      <c r="G176" s="16">
        <f t="shared" si="42"/>
        <v>147.04999999999941</v>
      </c>
      <c r="H176" s="17">
        <f t="shared" si="42"/>
        <v>124.94444444444326</v>
      </c>
      <c r="I176" s="17">
        <f t="shared" si="42"/>
        <v>132.63333333333159</v>
      </c>
      <c r="J176" s="17">
        <f t="shared" si="42"/>
        <v>137.43888888888864</v>
      </c>
      <c r="K176" s="18">
        <f t="shared" si="42"/>
        <v>115.33333333333483</v>
      </c>
      <c r="L176" s="18">
        <f t="shared" si="42"/>
        <v>123.02222222222269</v>
      </c>
      <c r="M176" s="18">
        <f t="shared" si="42"/>
        <v>127.82777777777942</v>
      </c>
      <c r="N176" s="19">
        <f t="shared" si="42"/>
        <v>88.422222222221677</v>
      </c>
      <c r="O176" s="19">
        <f t="shared" si="42"/>
        <v>96.111111111112649</v>
      </c>
      <c r="P176" s="19">
        <f t="shared" si="42"/>
        <v>100.91666666666556</v>
      </c>
      <c r="Q176" s="20">
        <f t="shared" si="42"/>
        <v>83.61666666666784</v>
      </c>
      <c r="R176" s="20">
        <f t="shared" si="42"/>
        <v>91.305555555556737</v>
      </c>
      <c r="S176" s="20">
        <f t="shared" si="42"/>
        <v>96.111111111112649</v>
      </c>
      <c r="T176" s="21">
        <f t="shared" si="42"/>
        <v>78.81111111111241</v>
      </c>
      <c r="U176" s="21">
        <f t="shared" si="44"/>
        <v>86.5</v>
      </c>
      <c r="V176" s="21">
        <f t="shared" si="44"/>
        <v>91.305555555556737</v>
      </c>
      <c r="W176" s="22">
        <f t="shared" si="44"/>
        <v>74.005555555555674</v>
      </c>
      <c r="X176" s="22">
        <f t="shared" si="44"/>
        <v>81.694444444443263</v>
      </c>
      <c r="Y176" s="22">
        <f t="shared" si="44"/>
        <v>86.5</v>
      </c>
      <c r="Z176" s="23">
        <f t="shared" si="44"/>
        <v>69.199999999998937</v>
      </c>
      <c r="AA176" s="23">
        <f t="shared" si="44"/>
        <v>76.888888888888175</v>
      </c>
      <c r="AB176" s="23">
        <f t="shared" si="44"/>
        <v>81.694444444443263</v>
      </c>
      <c r="AC176" s="24">
        <f t="shared" si="44"/>
        <v>64.39444444444463</v>
      </c>
      <c r="AD176" s="24">
        <f t="shared" si="44"/>
        <v>72.083333333333186</v>
      </c>
      <c r="AE176" s="24">
        <f t="shared" si="44"/>
        <v>76.888888888888175</v>
      </c>
      <c r="AF176" s="25">
        <f t="shared" si="43"/>
        <v>59.588888888888214</v>
      </c>
      <c r="AG176" s="25">
        <f t="shared" si="43"/>
        <v>67.277777777778368</v>
      </c>
      <c r="AH176" s="25">
        <f t="shared" si="43"/>
        <v>72.083333333333186</v>
      </c>
      <c r="AI176" s="26">
        <f t="shared" si="43"/>
        <v>54.783333333333829</v>
      </c>
      <c r="AJ176" s="26">
        <f t="shared" si="43"/>
        <v>62.472222222221632</v>
      </c>
      <c r="AK176" s="26">
        <f t="shared" si="43"/>
        <v>67.277777777778368</v>
      </c>
    </row>
    <row r="177" spans="4:37" ht="20.100000000000001" customHeight="1">
      <c r="D177" s="27">
        <f t="shared" si="38"/>
        <v>0.48333333333333212</v>
      </c>
      <c r="E177" s="16">
        <f t="shared" si="42"/>
        <v>135.33333333333451</v>
      </c>
      <c r="F177" s="16">
        <f t="shared" si="42"/>
        <v>143.06666666666791</v>
      </c>
      <c r="G177" s="16">
        <f t="shared" si="42"/>
        <v>147.89999999999941</v>
      </c>
      <c r="H177" s="17">
        <f t="shared" si="42"/>
        <v>125.66666666666549</v>
      </c>
      <c r="I177" s="17">
        <f t="shared" si="42"/>
        <v>133.39999999999827</v>
      </c>
      <c r="J177" s="17">
        <f t="shared" si="42"/>
        <v>138.23333333333309</v>
      </c>
      <c r="K177" s="18">
        <f t="shared" si="42"/>
        <v>116.00000000000151</v>
      </c>
      <c r="L177" s="18">
        <f t="shared" si="42"/>
        <v>123.7333333333338</v>
      </c>
      <c r="M177" s="18">
        <f t="shared" si="42"/>
        <v>128.56666666666831</v>
      </c>
      <c r="N177" s="19">
        <f t="shared" si="42"/>
        <v>88.933333333332783</v>
      </c>
      <c r="O177" s="19">
        <f t="shared" si="42"/>
        <v>96.666666666668206</v>
      </c>
      <c r="P177" s="19">
        <f t="shared" si="42"/>
        <v>101.49999999999889</v>
      </c>
      <c r="Q177" s="20">
        <f t="shared" si="42"/>
        <v>84.100000000001174</v>
      </c>
      <c r="R177" s="20">
        <f t="shared" si="42"/>
        <v>91.833333333334508</v>
      </c>
      <c r="S177" s="20">
        <f t="shared" si="42"/>
        <v>96.666666666668206</v>
      </c>
      <c r="T177" s="21">
        <f>T178-(T$363/360)</f>
        <v>79.266666666667959</v>
      </c>
      <c r="U177" s="21">
        <f t="shared" si="44"/>
        <v>87</v>
      </c>
      <c r="V177" s="21">
        <f t="shared" si="44"/>
        <v>91.833333333334508</v>
      </c>
      <c r="W177" s="22">
        <f t="shared" si="44"/>
        <v>74.433333333333451</v>
      </c>
      <c r="X177" s="22">
        <f t="shared" si="44"/>
        <v>82.166666666665492</v>
      </c>
      <c r="Y177" s="22">
        <f t="shared" si="44"/>
        <v>87</v>
      </c>
      <c r="Z177" s="23">
        <f t="shared" si="44"/>
        <v>69.599999999998943</v>
      </c>
      <c r="AA177" s="23">
        <f t="shared" si="44"/>
        <v>77.333333333332618</v>
      </c>
      <c r="AB177" s="23">
        <f t="shared" si="44"/>
        <v>82.166666666665492</v>
      </c>
      <c r="AC177" s="24">
        <f t="shared" si="44"/>
        <v>64.76666666666685</v>
      </c>
      <c r="AD177" s="24">
        <f t="shared" si="44"/>
        <v>72.499999999999858</v>
      </c>
      <c r="AE177" s="24">
        <f t="shared" si="44"/>
        <v>77.333333333332618</v>
      </c>
      <c r="AF177" s="25">
        <f t="shared" si="43"/>
        <v>59.933333333332655</v>
      </c>
      <c r="AG177" s="25">
        <f t="shared" si="43"/>
        <v>67.666666666667254</v>
      </c>
      <c r="AH177" s="25">
        <f t="shared" si="43"/>
        <v>72.499999999999858</v>
      </c>
      <c r="AI177" s="26">
        <f t="shared" si="43"/>
        <v>55.100000000000499</v>
      </c>
      <c r="AJ177" s="26">
        <f t="shared" si="43"/>
        <v>62.833333333332746</v>
      </c>
      <c r="AK177" s="26">
        <f t="shared" si="43"/>
        <v>67.666666666667254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136.11111111111228</v>
      </c>
      <c r="F178" s="16">
        <f t="shared" si="45"/>
        <v>143.88888888889014</v>
      </c>
      <c r="G178" s="16">
        <f t="shared" si="45"/>
        <v>148.7499999999994</v>
      </c>
      <c r="H178" s="17">
        <f t="shared" si="45"/>
        <v>126.38888888888772</v>
      </c>
      <c r="I178" s="17">
        <f t="shared" si="45"/>
        <v>134.16666666666495</v>
      </c>
      <c r="J178" s="17">
        <f t="shared" si="45"/>
        <v>139.02777777777754</v>
      </c>
      <c r="K178" s="18">
        <f t="shared" si="45"/>
        <v>116.66666666666818</v>
      </c>
      <c r="L178" s="18">
        <f t="shared" si="45"/>
        <v>124.44444444444491</v>
      </c>
      <c r="M178" s="18">
        <f t="shared" si="45"/>
        <v>129.30555555555719</v>
      </c>
      <c r="N178" s="19">
        <f t="shared" si="45"/>
        <v>89.444444444443889</v>
      </c>
      <c r="O178" s="19">
        <f t="shared" si="45"/>
        <v>97.222222222223763</v>
      </c>
      <c r="P178" s="19">
        <f t="shared" si="45"/>
        <v>102.08333333333222</v>
      </c>
      <c r="Q178" s="20">
        <f t="shared" si="45"/>
        <v>84.583333333334508</v>
      </c>
      <c r="R178" s="20">
        <f t="shared" si="45"/>
        <v>92.36111111111228</v>
      </c>
      <c r="S178" s="20">
        <f t="shared" si="45"/>
        <v>97.222222222223763</v>
      </c>
      <c r="T178" s="21">
        <f t="shared" si="45"/>
        <v>79.722222222223508</v>
      </c>
      <c r="U178" s="21">
        <f t="shared" si="44"/>
        <v>87.5</v>
      </c>
      <c r="V178" s="21">
        <f t="shared" si="44"/>
        <v>92.36111111111228</v>
      </c>
      <c r="W178" s="22">
        <f t="shared" si="44"/>
        <v>74.861111111111228</v>
      </c>
      <c r="X178" s="22">
        <f t="shared" si="44"/>
        <v>82.63888888888772</v>
      </c>
      <c r="Y178" s="22">
        <f t="shared" si="44"/>
        <v>87.5</v>
      </c>
      <c r="Z178" s="23">
        <f t="shared" si="44"/>
        <v>69.999999999998948</v>
      </c>
      <c r="AA178" s="23">
        <f t="shared" si="44"/>
        <v>77.777777777777061</v>
      </c>
      <c r="AB178" s="23">
        <f t="shared" si="44"/>
        <v>82.63888888888772</v>
      </c>
      <c r="AC178" s="24">
        <f t="shared" si="44"/>
        <v>65.13888888888907</v>
      </c>
      <c r="AD178" s="24">
        <f t="shared" si="44"/>
        <v>72.916666666666529</v>
      </c>
      <c r="AE178" s="24">
        <f t="shared" si="44"/>
        <v>77.777777777777061</v>
      </c>
      <c r="AF178" s="25">
        <f t="shared" si="43"/>
        <v>60.277777777777096</v>
      </c>
      <c r="AG178" s="25">
        <f t="shared" si="43"/>
        <v>68.05555555555614</v>
      </c>
      <c r="AH178" s="25">
        <f t="shared" si="43"/>
        <v>72.916666666666529</v>
      </c>
      <c r="AI178" s="26">
        <f t="shared" si="43"/>
        <v>55.416666666667169</v>
      </c>
      <c r="AJ178" s="26">
        <f t="shared" si="43"/>
        <v>63.19444444444386</v>
      </c>
      <c r="AK178" s="26">
        <f t="shared" si="43"/>
        <v>68.05555555555614</v>
      </c>
    </row>
    <row r="179" spans="4:37" ht="20.100000000000001" customHeight="1">
      <c r="D179" s="27">
        <f t="shared" si="38"/>
        <v>0.48888888888888765</v>
      </c>
      <c r="E179" s="16">
        <f t="shared" si="45"/>
        <v>136.88888888889005</v>
      </c>
      <c r="F179" s="16">
        <f t="shared" si="45"/>
        <v>144.71111111111236</v>
      </c>
      <c r="G179" s="16">
        <f t="shared" si="45"/>
        <v>149.5999999999994</v>
      </c>
      <c r="H179" s="17">
        <f t="shared" si="45"/>
        <v>127.11111111110995</v>
      </c>
      <c r="I179" s="17">
        <f t="shared" si="45"/>
        <v>134.93333333333163</v>
      </c>
      <c r="J179" s="17">
        <f t="shared" si="45"/>
        <v>139.822222222222</v>
      </c>
      <c r="K179" s="18">
        <f t="shared" si="45"/>
        <v>117.33333333333485</v>
      </c>
      <c r="L179" s="18">
        <f t="shared" si="45"/>
        <v>125.15555555555602</v>
      </c>
      <c r="M179" s="18">
        <f t="shared" si="45"/>
        <v>130.04444444444607</v>
      </c>
      <c r="N179" s="19">
        <f t="shared" si="45"/>
        <v>89.955555555554994</v>
      </c>
      <c r="O179" s="19">
        <f t="shared" si="45"/>
        <v>97.77777777777932</v>
      </c>
      <c r="P179" s="19">
        <f t="shared" si="45"/>
        <v>102.66666666666555</v>
      </c>
      <c r="Q179" s="20">
        <f t="shared" si="45"/>
        <v>85.066666666667842</v>
      </c>
      <c r="R179" s="20">
        <f t="shared" si="45"/>
        <v>92.888888888890051</v>
      </c>
      <c r="S179" s="20">
        <f t="shared" si="45"/>
        <v>97.77777777777932</v>
      </c>
      <c r="T179" s="21">
        <f t="shared" si="45"/>
        <v>80.177777777779056</v>
      </c>
      <c r="U179" s="21">
        <f t="shared" si="44"/>
        <v>88</v>
      </c>
      <c r="V179" s="21">
        <f t="shared" si="44"/>
        <v>92.888888888890051</v>
      </c>
      <c r="W179" s="22">
        <f t="shared" si="44"/>
        <v>75.288888888889005</v>
      </c>
      <c r="X179" s="22">
        <f t="shared" si="44"/>
        <v>83.111111111109949</v>
      </c>
      <c r="Y179" s="22">
        <f t="shared" si="44"/>
        <v>88</v>
      </c>
      <c r="Z179" s="23">
        <f t="shared" si="44"/>
        <v>70.399999999998954</v>
      </c>
      <c r="AA179" s="23">
        <f t="shared" si="44"/>
        <v>78.222222222221504</v>
      </c>
      <c r="AB179" s="23">
        <f t="shared" si="44"/>
        <v>83.111111111109949</v>
      </c>
      <c r="AC179" s="24">
        <f t="shared" si="44"/>
        <v>65.51111111111129</v>
      </c>
      <c r="AD179" s="24">
        <f t="shared" si="44"/>
        <v>73.333333333333201</v>
      </c>
      <c r="AE179" s="24">
        <f t="shared" si="44"/>
        <v>78.222222222221504</v>
      </c>
      <c r="AF179" s="25">
        <f t="shared" si="43"/>
        <v>60.622222222221538</v>
      </c>
      <c r="AG179" s="25">
        <f t="shared" si="43"/>
        <v>68.444444444445026</v>
      </c>
      <c r="AH179" s="25">
        <f t="shared" si="43"/>
        <v>73.333333333333201</v>
      </c>
      <c r="AI179" s="26">
        <f t="shared" si="43"/>
        <v>55.733333333333839</v>
      </c>
      <c r="AJ179" s="26">
        <f t="shared" si="43"/>
        <v>63.555555555554974</v>
      </c>
      <c r="AK179" s="26">
        <f t="shared" si="43"/>
        <v>68.444444444445026</v>
      </c>
    </row>
    <row r="180" spans="4:37" ht="20.100000000000001" customHeight="1">
      <c r="D180" s="27">
        <f t="shared" si="38"/>
        <v>0.49166666666666542</v>
      </c>
      <c r="E180" s="16">
        <f t="shared" si="45"/>
        <v>137.66666666666782</v>
      </c>
      <c r="F180" s="16">
        <f t="shared" si="45"/>
        <v>145.53333333333458</v>
      </c>
      <c r="G180" s="16">
        <f t="shared" si="45"/>
        <v>150.44999999999939</v>
      </c>
      <c r="H180" s="17">
        <f t="shared" si="45"/>
        <v>127.83333333333218</v>
      </c>
      <c r="I180" s="17">
        <f t="shared" si="45"/>
        <v>135.69999999999831</v>
      </c>
      <c r="J180" s="17">
        <f t="shared" si="45"/>
        <v>140.61666666666645</v>
      </c>
      <c r="K180" s="18">
        <f t="shared" si="45"/>
        <v>118.00000000000152</v>
      </c>
      <c r="L180" s="18">
        <f t="shared" si="45"/>
        <v>125.86666666666713</v>
      </c>
      <c r="M180" s="18">
        <f t="shared" si="45"/>
        <v>130.78333333333495</v>
      </c>
      <c r="N180" s="19">
        <f t="shared" si="45"/>
        <v>90.4666666666661</v>
      </c>
      <c r="O180" s="19">
        <f t="shared" si="45"/>
        <v>98.333333333334878</v>
      </c>
      <c r="P180" s="19">
        <f t="shared" si="45"/>
        <v>103.24999999999888</v>
      </c>
      <c r="Q180" s="20">
        <f t="shared" si="45"/>
        <v>85.550000000001177</v>
      </c>
      <c r="R180" s="20">
        <f t="shared" si="45"/>
        <v>93.416666666667822</v>
      </c>
      <c r="S180" s="20">
        <f t="shared" si="45"/>
        <v>98.333333333334878</v>
      </c>
      <c r="T180" s="21">
        <f t="shared" si="45"/>
        <v>80.633333333334605</v>
      </c>
      <c r="U180" s="21">
        <f t="shared" si="44"/>
        <v>88.5</v>
      </c>
      <c r="V180" s="21">
        <f t="shared" si="44"/>
        <v>93.416666666667822</v>
      </c>
      <c r="W180" s="22">
        <f t="shared" si="44"/>
        <v>75.716666666666782</v>
      </c>
      <c r="X180" s="22">
        <f t="shared" si="44"/>
        <v>83.583333333332178</v>
      </c>
      <c r="Y180" s="22">
        <f t="shared" si="44"/>
        <v>88.5</v>
      </c>
      <c r="Z180" s="23">
        <f t="shared" si="44"/>
        <v>70.79999999999896</v>
      </c>
      <c r="AA180" s="23">
        <f t="shared" si="44"/>
        <v>78.666666666665947</v>
      </c>
      <c r="AB180" s="23">
        <f t="shared" si="44"/>
        <v>83.583333333332178</v>
      </c>
      <c r="AC180" s="24">
        <f t="shared" si="44"/>
        <v>65.88333333333351</v>
      </c>
      <c r="AD180" s="24">
        <f>AD181-(AD$363/360)</f>
        <v>73.749999999999872</v>
      </c>
      <c r="AE180" s="24">
        <f>AE181-(AE$363/360)</f>
        <v>78.666666666665947</v>
      </c>
      <c r="AF180" s="25">
        <f t="shared" si="43"/>
        <v>60.966666666665979</v>
      </c>
      <c r="AG180" s="25">
        <f t="shared" si="43"/>
        <v>68.833333333333911</v>
      </c>
      <c r="AH180" s="25">
        <f t="shared" si="43"/>
        <v>73.749999999999872</v>
      </c>
      <c r="AI180" s="26">
        <f t="shared" si="43"/>
        <v>56.050000000000509</v>
      </c>
      <c r="AJ180" s="26">
        <f t="shared" si="43"/>
        <v>63.916666666666089</v>
      </c>
      <c r="AK180" s="26">
        <f t="shared" si="43"/>
        <v>68.833333333333911</v>
      </c>
    </row>
    <row r="181" spans="4:37" ht="20.100000000000001" customHeight="1">
      <c r="D181" s="27">
        <f t="shared" si="38"/>
        <v>0.49444444444444319</v>
      </c>
      <c r="E181" s="16">
        <f t="shared" si="45"/>
        <v>138.44444444444559</v>
      </c>
      <c r="F181" s="16">
        <f t="shared" si="45"/>
        <v>146.3555555555568</v>
      </c>
      <c r="G181" s="16">
        <f t="shared" si="45"/>
        <v>151.29999999999939</v>
      </c>
      <c r="H181" s="17">
        <f t="shared" si="45"/>
        <v>128.55555555555441</v>
      </c>
      <c r="I181" s="17">
        <f t="shared" si="45"/>
        <v>136.46666666666499</v>
      </c>
      <c r="J181" s="17">
        <f t="shared" si="45"/>
        <v>141.4111111111109</v>
      </c>
      <c r="K181" s="18">
        <f t="shared" si="45"/>
        <v>118.66666666666819</v>
      </c>
      <c r="L181" s="18">
        <f t="shared" si="45"/>
        <v>126.57777777777824</v>
      </c>
      <c r="M181" s="18">
        <f t="shared" si="45"/>
        <v>131.52222222222383</v>
      </c>
      <c r="N181" s="19">
        <f t="shared" si="45"/>
        <v>90.977777777777206</v>
      </c>
      <c r="O181" s="19">
        <f t="shared" si="45"/>
        <v>98.888888888890435</v>
      </c>
      <c r="P181" s="19">
        <f t="shared" si="45"/>
        <v>103.83333333333221</v>
      </c>
      <c r="Q181" s="20">
        <f t="shared" si="45"/>
        <v>86.033333333334511</v>
      </c>
      <c r="R181" s="20">
        <f t="shared" si="45"/>
        <v>93.944444444445594</v>
      </c>
      <c r="S181" s="20">
        <f t="shared" si="45"/>
        <v>98.888888888890435</v>
      </c>
      <c r="T181" s="21">
        <f t="shared" si="45"/>
        <v>81.088888888890153</v>
      </c>
      <c r="U181" s="21">
        <f t="shared" ref="U181:AJ202" si="46">U182-(U$363/360)</f>
        <v>89</v>
      </c>
      <c r="V181" s="21">
        <f t="shared" si="46"/>
        <v>93.944444444445594</v>
      </c>
      <c r="W181" s="22">
        <f t="shared" si="46"/>
        <v>76.144444444444559</v>
      </c>
      <c r="X181" s="22">
        <f t="shared" si="46"/>
        <v>84.055555555554406</v>
      </c>
      <c r="Y181" s="22">
        <f t="shared" si="46"/>
        <v>89</v>
      </c>
      <c r="Z181" s="23">
        <f t="shared" si="46"/>
        <v>71.199999999998965</v>
      </c>
      <c r="AA181" s="23">
        <f t="shared" si="46"/>
        <v>79.11111111111039</v>
      </c>
      <c r="AB181" s="23">
        <f t="shared" si="46"/>
        <v>84.055555555554406</v>
      </c>
      <c r="AC181" s="24">
        <f t="shared" si="46"/>
        <v>66.255555555555731</v>
      </c>
      <c r="AD181" s="24">
        <f t="shared" si="46"/>
        <v>74.166666666666544</v>
      </c>
      <c r="AE181" s="24">
        <f t="shared" si="46"/>
        <v>79.11111111111039</v>
      </c>
      <c r="AF181" s="25">
        <f t="shared" si="43"/>
        <v>61.311111111110421</v>
      </c>
      <c r="AG181" s="25">
        <f t="shared" si="43"/>
        <v>69.222222222222797</v>
      </c>
      <c r="AH181" s="25">
        <f t="shared" si="43"/>
        <v>74.166666666666544</v>
      </c>
      <c r="AI181" s="26">
        <f t="shared" si="43"/>
        <v>56.366666666667179</v>
      </c>
      <c r="AJ181" s="26">
        <f t="shared" si="43"/>
        <v>64.277777777777203</v>
      </c>
      <c r="AK181" s="26">
        <f t="shared" si="43"/>
        <v>69.222222222222797</v>
      </c>
    </row>
    <row r="182" spans="4:37" ht="20.100000000000001" customHeight="1">
      <c r="D182" s="27">
        <f t="shared" si="38"/>
        <v>0.49722222222222096</v>
      </c>
      <c r="E182" s="16">
        <f t="shared" si="45"/>
        <v>139.22222222222337</v>
      </c>
      <c r="F182" s="16">
        <f t="shared" si="45"/>
        <v>147.17777777777903</v>
      </c>
      <c r="G182" s="16">
        <f t="shared" si="45"/>
        <v>152.14999999999938</v>
      </c>
      <c r="H182" s="17">
        <f t="shared" si="45"/>
        <v>129.27777777777663</v>
      </c>
      <c r="I182" s="17">
        <f t="shared" si="45"/>
        <v>137.23333333333167</v>
      </c>
      <c r="J182" s="17">
        <f t="shared" si="45"/>
        <v>142.20555555555535</v>
      </c>
      <c r="K182" s="18">
        <f t="shared" si="45"/>
        <v>119.33333333333486</v>
      </c>
      <c r="L182" s="18">
        <f t="shared" si="45"/>
        <v>127.28888888888935</v>
      </c>
      <c r="M182" s="18">
        <f t="shared" si="45"/>
        <v>132.26111111111271</v>
      </c>
      <c r="N182" s="19">
        <f t="shared" si="45"/>
        <v>91.488888888888312</v>
      </c>
      <c r="O182" s="19">
        <f t="shared" si="45"/>
        <v>99.444444444445992</v>
      </c>
      <c r="P182" s="19">
        <f t="shared" si="45"/>
        <v>104.41666666666553</v>
      </c>
      <c r="Q182" s="20">
        <f t="shared" si="45"/>
        <v>86.516666666667845</v>
      </c>
      <c r="R182" s="20">
        <f t="shared" si="45"/>
        <v>94.472222222223365</v>
      </c>
      <c r="S182" s="20">
        <f t="shared" si="45"/>
        <v>99.444444444445992</v>
      </c>
      <c r="T182" s="21">
        <f t="shared" si="45"/>
        <v>81.544444444445702</v>
      </c>
      <c r="U182" s="21">
        <f t="shared" si="46"/>
        <v>89.5</v>
      </c>
      <c r="V182" s="21">
        <f t="shared" si="46"/>
        <v>94.472222222223365</v>
      </c>
      <c r="W182" s="22">
        <f t="shared" si="46"/>
        <v>76.572222222222337</v>
      </c>
      <c r="X182" s="22">
        <f t="shared" si="46"/>
        <v>84.527777777776635</v>
      </c>
      <c r="Y182" s="22">
        <f t="shared" si="46"/>
        <v>89.5</v>
      </c>
      <c r="Z182" s="23">
        <f t="shared" si="46"/>
        <v>71.599999999998971</v>
      </c>
      <c r="AA182" s="23">
        <f t="shared" si="46"/>
        <v>79.555555555554832</v>
      </c>
      <c r="AB182" s="23">
        <f t="shared" si="46"/>
        <v>84.527777777776635</v>
      </c>
      <c r="AC182" s="24">
        <f t="shared" si="46"/>
        <v>66.627777777777951</v>
      </c>
      <c r="AD182" s="24">
        <f t="shared" si="46"/>
        <v>74.583333333333215</v>
      </c>
      <c r="AE182" s="24">
        <f t="shared" si="46"/>
        <v>79.555555555554832</v>
      </c>
      <c r="AF182" s="25">
        <f t="shared" si="43"/>
        <v>61.655555555554862</v>
      </c>
      <c r="AG182" s="25">
        <f t="shared" si="43"/>
        <v>69.611111111111683</v>
      </c>
      <c r="AH182" s="25">
        <f t="shared" si="43"/>
        <v>74.583333333333215</v>
      </c>
      <c r="AI182" s="26">
        <f t="shared" si="43"/>
        <v>56.683333333333849</v>
      </c>
      <c r="AJ182" s="26">
        <f t="shared" si="43"/>
        <v>64.638888888888317</v>
      </c>
      <c r="AK182" s="26">
        <f t="shared" si="43"/>
        <v>69.611111111111683</v>
      </c>
    </row>
    <row r="183" spans="4:37" ht="20.100000000000001" customHeight="1">
      <c r="D183" s="27">
        <f t="shared" si="38"/>
        <v>0.49999999999999872</v>
      </c>
      <c r="E183" s="16">
        <f t="shared" si="45"/>
        <v>140.00000000000114</v>
      </c>
      <c r="F183" s="16">
        <f t="shared" si="45"/>
        <v>148.00000000000125</v>
      </c>
      <c r="G183" s="16">
        <f t="shared" si="45"/>
        <v>152.99999999999937</v>
      </c>
      <c r="H183" s="17">
        <f t="shared" si="45"/>
        <v>129.99999999999886</v>
      </c>
      <c r="I183" s="17">
        <f t="shared" si="45"/>
        <v>137.99999999999835</v>
      </c>
      <c r="J183" s="17">
        <f t="shared" si="45"/>
        <v>142.9999999999998</v>
      </c>
      <c r="K183" s="18">
        <f t="shared" si="45"/>
        <v>120.00000000000153</v>
      </c>
      <c r="L183" s="18">
        <f t="shared" si="45"/>
        <v>128.00000000000045</v>
      </c>
      <c r="M183" s="18">
        <f t="shared" si="45"/>
        <v>133.00000000000159</v>
      </c>
      <c r="N183" s="19">
        <f t="shared" si="45"/>
        <v>91.999999999999417</v>
      </c>
      <c r="O183" s="19">
        <f t="shared" si="45"/>
        <v>100.00000000000155</v>
      </c>
      <c r="P183" s="19">
        <f t="shared" si="45"/>
        <v>104.99999999999886</v>
      </c>
      <c r="Q183" s="20">
        <f t="shared" si="45"/>
        <v>87.00000000000118</v>
      </c>
      <c r="R183" s="20">
        <f t="shared" si="45"/>
        <v>95.000000000001137</v>
      </c>
      <c r="S183" s="20">
        <f t="shared" si="45"/>
        <v>100.00000000000155</v>
      </c>
      <c r="T183" s="21">
        <f t="shared" si="45"/>
        <v>82.000000000001251</v>
      </c>
      <c r="U183" s="21">
        <f t="shared" si="46"/>
        <v>90</v>
      </c>
      <c r="V183" s="21">
        <f t="shared" si="46"/>
        <v>95.000000000001137</v>
      </c>
      <c r="W183" s="22">
        <f t="shared" si="46"/>
        <v>77.000000000000114</v>
      </c>
      <c r="X183" s="22">
        <f t="shared" si="46"/>
        <v>84.999999999998863</v>
      </c>
      <c r="Y183" s="22">
        <f t="shared" si="46"/>
        <v>90</v>
      </c>
      <c r="Z183" s="23">
        <f t="shared" si="46"/>
        <v>71.999999999998977</v>
      </c>
      <c r="AA183" s="23">
        <f t="shared" si="46"/>
        <v>79.999999999999275</v>
      </c>
      <c r="AB183" s="23">
        <f t="shared" si="46"/>
        <v>84.999999999998863</v>
      </c>
      <c r="AC183" s="24">
        <f t="shared" si="46"/>
        <v>67.000000000000171</v>
      </c>
      <c r="AD183" s="24">
        <f t="shared" si="46"/>
        <v>74.999999999999886</v>
      </c>
      <c r="AE183" s="24">
        <f t="shared" si="46"/>
        <v>79.999999999999275</v>
      </c>
      <c r="AF183" s="25">
        <f t="shared" si="43"/>
        <v>61.999999999999304</v>
      </c>
      <c r="AG183" s="25">
        <f t="shared" si="43"/>
        <v>70.000000000000568</v>
      </c>
      <c r="AH183" s="25">
        <f t="shared" si="43"/>
        <v>74.999999999999886</v>
      </c>
      <c r="AI183" s="26">
        <f t="shared" si="43"/>
        <v>57.000000000000519</v>
      </c>
      <c r="AJ183" s="26">
        <f t="shared" si="43"/>
        <v>64.999999999999432</v>
      </c>
      <c r="AK183" s="26">
        <f t="shared" si="43"/>
        <v>70.000000000000568</v>
      </c>
    </row>
    <row r="184" spans="4:37" ht="20.100000000000001" customHeight="1">
      <c r="D184" s="27">
        <f t="shared" si="38"/>
        <v>0.50277777777777655</v>
      </c>
      <c r="E184" s="16">
        <f t="shared" si="45"/>
        <v>140.77777777777891</v>
      </c>
      <c r="F184" s="16">
        <f t="shared" si="45"/>
        <v>148.82222222222347</v>
      </c>
      <c r="G184" s="16">
        <f t="shared" si="45"/>
        <v>153.84999999999937</v>
      </c>
      <c r="H184" s="17">
        <f t="shared" si="45"/>
        <v>130.72222222222109</v>
      </c>
      <c r="I184" s="17">
        <f t="shared" si="45"/>
        <v>138.76666666666503</v>
      </c>
      <c r="J184" s="17">
        <f t="shared" si="45"/>
        <v>143.79444444444425</v>
      </c>
      <c r="K184" s="18">
        <f t="shared" si="45"/>
        <v>120.66666666666821</v>
      </c>
      <c r="L184" s="18">
        <f t="shared" si="45"/>
        <v>128.71111111111156</v>
      </c>
      <c r="M184" s="18">
        <f t="shared" si="45"/>
        <v>133.73888888889047</v>
      </c>
      <c r="N184" s="19">
        <f t="shared" si="45"/>
        <v>92.511111111110523</v>
      </c>
      <c r="O184" s="19">
        <f t="shared" si="45"/>
        <v>100.55555555555711</v>
      </c>
      <c r="P184" s="19">
        <f t="shared" si="45"/>
        <v>105.58333333333219</v>
      </c>
      <c r="Q184" s="20">
        <f t="shared" si="45"/>
        <v>87.483333333334514</v>
      </c>
      <c r="R184" s="20">
        <f t="shared" si="45"/>
        <v>95.527777777778908</v>
      </c>
      <c r="S184" s="20">
        <f t="shared" si="45"/>
        <v>100.55555555555711</v>
      </c>
      <c r="T184" s="21">
        <f t="shared" si="45"/>
        <v>82.455555555556799</v>
      </c>
      <c r="U184" s="21">
        <f t="shared" si="46"/>
        <v>90.5</v>
      </c>
      <c r="V184" s="21">
        <f t="shared" si="46"/>
        <v>95.527777777778908</v>
      </c>
      <c r="W184" s="22">
        <f t="shared" si="46"/>
        <v>77.427777777777891</v>
      </c>
      <c r="X184" s="22">
        <f t="shared" si="46"/>
        <v>85.472222222221092</v>
      </c>
      <c r="Y184" s="22">
        <f t="shared" si="46"/>
        <v>90.5</v>
      </c>
      <c r="Z184" s="23">
        <f t="shared" si="46"/>
        <v>72.399999999998983</v>
      </c>
      <c r="AA184" s="23">
        <f t="shared" si="46"/>
        <v>80.444444444443718</v>
      </c>
      <c r="AB184" s="23">
        <f t="shared" si="46"/>
        <v>85.472222222221092</v>
      </c>
      <c r="AC184" s="24">
        <f t="shared" si="46"/>
        <v>67.372222222222391</v>
      </c>
      <c r="AD184" s="24">
        <f t="shared" si="46"/>
        <v>75.416666666666558</v>
      </c>
      <c r="AE184" s="24">
        <f t="shared" si="46"/>
        <v>80.444444444443718</v>
      </c>
      <c r="AF184" s="25">
        <f t="shared" si="43"/>
        <v>62.344444444443745</v>
      </c>
      <c r="AG184" s="25">
        <f t="shared" si="43"/>
        <v>70.388888888889454</v>
      </c>
      <c r="AH184" s="25">
        <f t="shared" si="43"/>
        <v>75.416666666666558</v>
      </c>
      <c r="AI184" s="26">
        <f t="shared" si="43"/>
        <v>57.316666666667189</v>
      </c>
      <c r="AJ184" s="26">
        <f t="shared" si="43"/>
        <v>65.361111111110546</v>
      </c>
      <c r="AK184" s="26">
        <f t="shared" si="43"/>
        <v>70.388888888889454</v>
      </c>
    </row>
    <row r="185" spans="4:37" ht="20.100000000000001" customHeight="1">
      <c r="D185" s="27">
        <f t="shared" si="38"/>
        <v>0.50555555555555431</v>
      </c>
      <c r="E185" s="16">
        <f t="shared" si="45"/>
        <v>141.55555555555668</v>
      </c>
      <c r="F185" s="16">
        <f t="shared" si="45"/>
        <v>149.6444444444457</v>
      </c>
      <c r="G185" s="16">
        <f t="shared" si="45"/>
        <v>154.69999999999936</v>
      </c>
      <c r="H185" s="17">
        <f t="shared" si="45"/>
        <v>131.44444444444332</v>
      </c>
      <c r="I185" s="17">
        <f t="shared" si="45"/>
        <v>139.53333333333171</v>
      </c>
      <c r="J185" s="17">
        <f t="shared" si="45"/>
        <v>144.5888888888887</v>
      </c>
      <c r="K185" s="18">
        <f t="shared" si="45"/>
        <v>121.33333333333488</v>
      </c>
      <c r="L185" s="18">
        <f t="shared" si="45"/>
        <v>129.42222222222267</v>
      </c>
      <c r="M185" s="18">
        <f t="shared" si="45"/>
        <v>134.47777777777935</v>
      </c>
      <c r="N185" s="19">
        <f t="shared" si="45"/>
        <v>93.022222222221629</v>
      </c>
      <c r="O185" s="19">
        <f t="shared" si="45"/>
        <v>101.11111111111266</v>
      </c>
      <c r="P185" s="19">
        <f t="shared" si="45"/>
        <v>106.16666666666552</v>
      </c>
      <c r="Q185" s="20">
        <f t="shared" si="45"/>
        <v>87.966666666667848</v>
      </c>
      <c r="R185" s="20">
        <f t="shared" si="45"/>
        <v>96.05555555555668</v>
      </c>
      <c r="S185" s="20">
        <f t="shared" si="45"/>
        <v>101.11111111111266</v>
      </c>
      <c r="T185" s="21">
        <f t="shared" si="45"/>
        <v>82.911111111112348</v>
      </c>
      <c r="U185" s="21">
        <f t="shared" si="46"/>
        <v>91</v>
      </c>
      <c r="V185" s="21">
        <f t="shared" si="46"/>
        <v>96.05555555555668</v>
      </c>
      <c r="W185" s="22">
        <f t="shared" si="46"/>
        <v>77.855555555555668</v>
      </c>
      <c r="X185" s="22">
        <f t="shared" si="46"/>
        <v>85.94444444444332</v>
      </c>
      <c r="Y185" s="22">
        <f t="shared" si="46"/>
        <v>91</v>
      </c>
      <c r="Z185" s="23">
        <f t="shared" si="46"/>
        <v>72.799999999998988</v>
      </c>
      <c r="AA185" s="23">
        <f t="shared" si="46"/>
        <v>80.888888888888161</v>
      </c>
      <c r="AB185" s="23">
        <f t="shared" si="46"/>
        <v>85.94444444444332</v>
      </c>
      <c r="AC185" s="24">
        <f t="shared" si="46"/>
        <v>67.744444444444611</v>
      </c>
      <c r="AD185" s="24">
        <f t="shared" si="46"/>
        <v>75.833333333333229</v>
      </c>
      <c r="AE185" s="24">
        <f t="shared" si="46"/>
        <v>80.888888888888161</v>
      </c>
      <c r="AF185" s="25">
        <f t="shared" si="43"/>
        <v>62.688888888888187</v>
      </c>
      <c r="AG185" s="25">
        <f t="shared" si="43"/>
        <v>70.77777777777834</v>
      </c>
      <c r="AH185" s="25">
        <f t="shared" si="43"/>
        <v>75.833333333333229</v>
      </c>
      <c r="AI185" s="26">
        <f t="shared" si="43"/>
        <v>57.633333333333859</v>
      </c>
      <c r="AJ185" s="26">
        <f t="shared" si="43"/>
        <v>65.72222222222166</v>
      </c>
      <c r="AK185" s="26">
        <f t="shared" si="43"/>
        <v>70.77777777777834</v>
      </c>
    </row>
    <row r="186" spans="4:37" ht="20.100000000000001" customHeight="1">
      <c r="D186" s="27">
        <f t="shared" si="38"/>
        <v>0.50833333333333208</v>
      </c>
      <c r="E186" s="16">
        <f t="shared" si="45"/>
        <v>142.33333333333445</v>
      </c>
      <c r="F186" s="16">
        <f t="shared" si="45"/>
        <v>150.46666666666792</v>
      </c>
      <c r="G186" s="16">
        <f t="shared" si="45"/>
        <v>155.54999999999936</v>
      </c>
      <c r="H186" s="17">
        <f t="shared" si="45"/>
        <v>132.16666666666555</v>
      </c>
      <c r="I186" s="17">
        <f t="shared" si="45"/>
        <v>140.29999999999839</v>
      </c>
      <c r="J186" s="17">
        <f t="shared" si="45"/>
        <v>145.38333333333316</v>
      </c>
      <c r="K186" s="18">
        <f t="shared" si="45"/>
        <v>122.00000000000155</v>
      </c>
      <c r="L186" s="18">
        <f t="shared" si="45"/>
        <v>130.13333333333378</v>
      </c>
      <c r="M186" s="18">
        <f t="shared" si="45"/>
        <v>135.21666666666823</v>
      </c>
      <c r="N186" s="19">
        <f t="shared" si="45"/>
        <v>93.533333333332735</v>
      </c>
      <c r="O186" s="19">
        <f t="shared" si="45"/>
        <v>101.66666666666822</v>
      </c>
      <c r="P186" s="19">
        <f t="shared" si="45"/>
        <v>106.74999999999885</v>
      </c>
      <c r="Q186" s="20">
        <f t="shared" si="45"/>
        <v>88.450000000001182</v>
      </c>
      <c r="R186" s="20">
        <f t="shared" si="45"/>
        <v>96.583333333334451</v>
      </c>
      <c r="S186" s="20">
        <f t="shared" si="45"/>
        <v>101.66666666666822</v>
      </c>
      <c r="T186" s="21">
        <f t="shared" si="45"/>
        <v>83.366666666667896</v>
      </c>
      <c r="U186" s="21">
        <f t="shared" si="46"/>
        <v>91.5</v>
      </c>
      <c r="V186" s="21">
        <f t="shared" si="46"/>
        <v>96.583333333334451</v>
      </c>
      <c r="W186" s="22">
        <f t="shared" si="46"/>
        <v>78.283333333333445</v>
      </c>
      <c r="X186" s="22">
        <f t="shared" si="46"/>
        <v>86.416666666665549</v>
      </c>
      <c r="Y186" s="22">
        <f t="shared" si="46"/>
        <v>91.5</v>
      </c>
      <c r="Z186" s="23">
        <f t="shared" si="46"/>
        <v>73.199999999998994</v>
      </c>
      <c r="AA186" s="23">
        <f t="shared" si="46"/>
        <v>81.333333333332604</v>
      </c>
      <c r="AB186" s="23">
        <f t="shared" si="46"/>
        <v>86.416666666665549</v>
      </c>
      <c r="AC186" s="24">
        <f t="shared" si="46"/>
        <v>68.116666666666831</v>
      </c>
      <c r="AD186" s="24">
        <f t="shared" si="46"/>
        <v>76.249999999999901</v>
      </c>
      <c r="AE186" s="24">
        <f t="shared" si="46"/>
        <v>81.333333333332604</v>
      </c>
      <c r="AF186" s="25">
        <f t="shared" si="43"/>
        <v>63.033333333332628</v>
      </c>
      <c r="AG186" s="25">
        <f t="shared" si="43"/>
        <v>71.166666666667226</v>
      </c>
      <c r="AH186" s="25">
        <f t="shared" si="43"/>
        <v>76.249999999999901</v>
      </c>
      <c r="AI186" s="26">
        <f t="shared" si="43"/>
        <v>57.950000000000529</v>
      </c>
      <c r="AJ186" s="26">
        <f t="shared" si="43"/>
        <v>66.083333333332774</v>
      </c>
      <c r="AK186" s="26">
        <f t="shared" si="43"/>
        <v>71.166666666667226</v>
      </c>
    </row>
    <row r="187" spans="4:37" ht="20.100000000000001" customHeight="1">
      <c r="D187" s="27">
        <f t="shared" si="38"/>
        <v>0.51111111111110985</v>
      </c>
      <c r="E187" s="16">
        <f t="shared" si="45"/>
        <v>143.11111111111222</v>
      </c>
      <c r="F187" s="16">
        <f t="shared" si="45"/>
        <v>151.28888888889014</v>
      </c>
      <c r="G187" s="16">
        <f t="shared" si="45"/>
        <v>156.39999999999935</v>
      </c>
      <c r="H187" s="17">
        <f t="shared" si="45"/>
        <v>132.88888888888778</v>
      </c>
      <c r="I187" s="17">
        <f t="shared" si="45"/>
        <v>141.06666666666507</v>
      </c>
      <c r="J187" s="17">
        <f t="shared" si="45"/>
        <v>146.17777777777761</v>
      </c>
      <c r="K187" s="18">
        <f t="shared" si="45"/>
        <v>122.66666666666822</v>
      </c>
      <c r="L187" s="18">
        <f t="shared" si="45"/>
        <v>130.84444444444489</v>
      </c>
      <c r="M187" s="18">
        <f t="shared" si="45"/>
        <v>135.95555555555711</v>
      </c>
      <c r="N187" s="19">
        <f t="shared" si="45"/>
        <v>94.04444444444384</v>
      </c>
      <c r="O187" s="19">
        <f t="shared" si="45"/>
        <v>102.22222222222378</v>
      </c>
      <c r="P187" s="19">
        <f t="shared" si="45"/>
        <v>107.33333333333218</v>
      </c>
      <c r="Q187" s="20">
        <f t="shared" si="45"/>
        <v>88.933333333334517</v>
      </c>
      <c r="R187" s="20">
        <f t="shared" si="45"/>
        <v>97.111111111112223</v>
      </c>
      <c r="S187" s="20">
        <f t="shared" si="45"/>
        <v>102.22222222222378</v>
      </c>
      <c r="T187" s="21">
        <f t="shared" si="45"/>
        <v>83.822222222223445</v>
      </c>
      <c r="U187" s="21">
        <f t="shared" si="46"/>
        <v>92</v>
      </c>
      <c r="V187" s="21">
        <f t="shared" si="46"/>
        <v>97.111111111112223</v>
      </c>
      <c r="W187" s="22">
        <f t="shared" si="46"/>
        <v>78.711111111111222</v>
      </c>
      <c r="X187" s="22">
        <f t="shared" si="46"/>
        <v>86.888888888887777</v>
      </c>
      <c r="Y187" s="22">
        <f t="shared" si="46"/>
        <v>92</v>
      </c>
      <c r="Z187" s="23">
        <f t="shared" si="46"/>
        <v>73.599999999999</v>
      </c>
      <c r="AA187" s="23">
        <f t="shared" si="46"/>
        <v>81.777777777777047</v>
      </c>
      <c r="AB187" s="23">
        <f t="shared" si="46"/>
        <v>86.888888888887777</v>
      </c>
      <c r="AC187" s="24">
        <f t="shared" si="46"/>
        <v>68.488888888889051</v>
      </c>
      <c r="AD187" s="24">
        <f t="shared" si="46"/>
        <v>76.666666666666572</v>
      </c>
      <c r="AE187" s="24">
        <f t="shared" si="46"/>
        <v>81.777777777777047</v>
      </c>
      <c r="AF187" s="25">
        <f t="shared" si="43"/>
        <v>63.377777777777069</v>
      </c>
      <c r="AG187" s="25">
        <f t="shared" si="43"/>
        <v>71.555555555556111</v>
      </c>
      <c r="AH187" s="25">
        <f t="shared" si="43"/>
        <v>76.666666666666572</v>
      </c>
      <c r="AI187" s="26">
        <f t="shared" si="43"/>
        <v>58.266666666667199</v>
      </c>
      <c r="AJ187" s="26">
        <f t="shared" si="43"/>
        <v>66.444444444443889</v>
      </c>
      <c r="AK187" s="26">
        <f t="shared" si="43"/>
        <v>71.555555555556111</v>
      </c>
    </row>
    <row r="188" spans="4:37" ht="20.100000000000001" customHeight="1">
      <c r="D188" s="27">
        <f t="shared" si="38"/>
        <v>0.51388888888888762</v>
      </c>
      <c r="E188" s="16">
        <f t="shared" si="45"/>
        <v>143.88888888888999</v>
      </c>
      <c r="F188" s="16">
        <f t="shared" si="45"/>
        <v>152.11111111111236</v>
      </c>
      <c r="G188" s="16">
        <f t="shared" si="45"/>
        <v>157.24999999999935</v>
      </c>
      <c r="H188" s="17">
        <f t="shared" si="45"/>
        <v>133.61111111111001</v>
      </c>
      <c r="I188" s="17">
        <f t="shared" si="45"/>
        <v>141.83333333333175</v>
      </c>
      <c r="J188" s="17">
        <f t="shared" si="45"/>
        <v>146.97222222222206</v>
      </c>
      <c r="K188" s="18">
        <f t="shared" si="45"/>
        <v>123.33333333333489</v>
      </c>
      <c r="L188" s="18">
        <f t="shared" si="45"/>
        <v>131.555555555556</v>
      </c>
      <c r="M188" s="18">
        <f t="shared" si="45"/>
        <v>136.69444444444599</v>
      </c>
      <c r="N188" s="19">
        <f t="shared" si="45"/>
        <v>94.555555555554946</v>
      </c>
      <c r="O188" s="19">
        <f t="shared" si="45"/>
        <v>102.77777777777933</v>
      </c>
      <c r="P188" s="19">
        <f t="shared" si="45"/>
        <v>107.91666666666551</v>
      </c>
      <c r="Q188" s="20">
        <f t="shared" si="45"/>
        <v>89.416666666667851</v>
      </c>
      <c r="R188" s="20">
        <f t="shared" si="45"/>
        <v>97.638888888889994</v>
      </c>
      <c r="S188" s="20">
        <f t="shared" si="45"/>
        <v>102.77777777777933</v>
      </c>
      <c r="T188" s="21">
        <f t="shared" si="45"/>
        <v>84.277777777778994</v>
      </c>
      <c r="U188" s="21">
        <f t="shared" si="46"/>
        <v>92.5</v>
      </c>
      <c r="V188" s="21">
        <f t="shared" si="46"/>
        <v>97.638888888889994</v>
      </c>
      <c r="W188" s="22">
        <f t="shared" si="46"/>
        <v>79.138888888888999</v>
      </c>
      <c r="X188" s="22">
        <f t="shared" si="46"/>
        <v>87.361111111110006</v>
      </c>
      <c r="Y188" s="22">
        <f t="shared" si="46"/>
        <v>92.5</v>
      </c>
      <c r="Z188" s="23">
        <f t="shared" si="46"/>
        <v>73.999999999999005</v>
      </c>
      <c r="AA188" s="23">
        <f t="shared" si="46"/>
        <v>82.22222222222149</v>
      </c>
      <c r="AB188" s="23">
        <f t="shared" si="46"/>
        <v>87.361111111110006</v>
      </c>
      <c r="AC188" s="24">
        <f t="shared" si="46"/>
        <v>68.861111111111271</v>
      </c>
      <c r="AD188" s="24">
        <f t="shared" si="46"/>
        <v>77.083333333333243</v>
      </c>
      <c r="AE188" s="24">
        <f t="shared" si="46"/>
        <v>82.22222222222149</v>
      </c>
      <c r="AF188" s="25">
        <f t="shared" si="43"/>
        <v>63.722222222221511</v>
      </c>
      <c r="AG188" s="25">
        <f t="shared" si="43"/>
        <v>71.944444444444997</v>
      </c>
      <c r="AH188" s="25">
        <f t="shared" si="43"/>
        <v>77.083333333333243</v>
      </c>
      <c r="AI188" s="26">
        <f t="shared" si="43"/>
        <v>58.583333333333869</v>
      </c>
      <c r="AJ188" s="26">
        <f t="shared" si="43"/>
        <v>66.805555555555003</v>
      </c>
      <c r="AK188" s="26">
        <f t="shared" si="43"/>
        <v>71.944444444444997</v>
      </c>
    </row>
    <row r="189" spans="4:37" ht="20.100000000000001" customHeight="1">
      <c r="D189" s="27">
        <f t="shared" si="38"/>
        <v>0.51666666666666539</v>
      </c>
      <c r="E189" s="16">
        <f t="shared" si="45"/>
        <v>144.66666666666777</v>
      </c>
      <c r="F189" s="16">
        <f t="shared" si="45"/>
        <v>152.93333333333459</v>
      </c>
      <c r="G189" s="16">
        <f t="shared" si="45"/>
        <v>158.09999999999934</v>
      </c>
      <c r="H189" s="17">
        <f t="shared" si="45"/>
        <v>134.33333333333223</v>
      </c>
      <c r="I189" s="17">
        <f t="shared" si="45"/>
        <v>142.59999999999843</v>
      </c>
      <c r="J189" s="17">
        <f t="shared" si="45"/>
        <v>147.76666666666651</v>
      </c>
      <c r="K189" s="18">
        <f t="shared" si="45"/>
        <v>124.00000000000156</v>
      </c>
      <c r="L189" s="18">
        <f t="shared" si="45"/>
        <v>132.26666666666711</v>
      </c>
      <c r="M189" s="18">
        <f t="shared" si="45"/>
        <v>137.43333333333487</v>
      </c>
      <c r="N189" s="19">
        <f t="shared" si="45"/>
        <v>95.066666666666052</v>
      </c>
      <c r="O189" s="19">
        <f t="shared" si="45"/>
        <v>103.33333333333489</v>
      </c>
      <c r="P189" s="19">
        <f t="shared" si="45"/>
        <v>108.49999999999883</v>
      </c>
      <c r="Q189" s="20">
        <f t="shared" si="45"/>
        <v>89.900000000001185</v>
      </c>
      <c r="R189" s="20">
        <f t="shared" si="45"/>
        <v>98.166666666667766</v>
      </c>
      <c r="S189" s="20">
        <f t="shared" si="45"/>
        <v>103.33333333333489</v>
      </c>
      <c r="T189" s="21">
        <f t="shared" si="45"/>
        <v>84.733333333334542</v>
      </c>
      <c r="U189" s="21">
        <f t="shared" si="46"/>
        <v>93</v>
      </c>
      <c r="V189" s="21">
        <f t="shared" si="46"/>
        <v>98.166666666667766</v>
      </c>
      <c r="W189" s="22">
        <f t="shared" si="46"/>
        <v>79.566666666666777</v>
      </c>
      <c r="X189" s="22">
        <f t="shared" si="46"/>
        <v>87.833333333332234</v>
      </c>
      <c r="Y189" s="22">
        <f t="shared" si="46"/>
        <v>93</v>
      </c>
      <c r="Z189" s="23">
        <f t="shared" si="46"/>
        <v>74.399999999999011</v>
      </c>
      <c r="AA189" s="23">
        <f t="shared" si="46"/>
        <v>82.666666666665932</v>
      </c>
      <c r="AB189" s="23">
        <f t="shared" si="46"/>
        <v>87.833333333332234</v>
      </c>
      <c r="AC189" s="24">
        <f t="shared" si="46"/>
        <v>69.233333333333491</v>
      </c>
      <c r="AD189" s="24">
        <f t="shared" si="46"/>
        <v>77.499999999999915</v>
      </c>
      <c r="AE189" s="24">
        <f t="shared" si="46"/>
        <v>82.666666666665932</v>
      </c>
      <c r="AF189" s="25">
        <f t="shared" si="43"/>
        <v>64.066666666665952</v>
      </c>
      <c r="AG189" s="25">
        <f t="shared" si="43"/>
        <v>72.333333333333883</v>
      </c>
      <c r="AH189" s="25">
        <f t="shared" si="43"/>
        <v>77.499999999999915</v>
      </c>
      <c r="AI189" s="26">
        <f t="shared" si="43"/>
        <v>58.900000000000539</v>
      </c>
      <c r="AJ189" s="26">
        <f t="shared" si="43"/>
        <v>67.166666666666117</v>
      </c>
      <c r="AK189" s="26">
        <f t="shared" si="43"/>
        <v>72.333333333333883</v>
      </c>
    </row>
    <row r="190" spans="4:37" ht="20.100000000000001" customHeight="1">
      <c r="D190" s="27">
        <f t="shared" si="38"/>
        <v>0.51944444444444315</v>
      </c>
      <c r="E190" s="16">
        <f t="shared" si="45"/>
        <v>145.44444444444554</v>
      </c>
      <c r="F190" s="16">
        <f t="shared" si="45"/>
        <v>153.75555555555681</v>
      </c>
      <c r="G190" s="16">
        <f t="shared" si="45"/>
        <v>158.94999999999933</v>
      </c>
      <c r="H190" s="17">
        <f t="shared" si="45"/>
        <v>135.05555555555446</v>
      </c>
      <c r="I190" s="17">
        <f t="shared" si="45"/>
        <v>143.36666666666511</v>
      </c>
      <c r="J190" s="17">
        <f t="shared" si="45"/>
        <v>148.56111111111096</v>
      </c>
      <c r="K190" s="18">
        <f t="shared" si="45"/>
        <v>124.66666666666823</v>
      </c>
      <c r="L190" s="18">
        <f t="shared" si="45"/>
        <v>132.97777777777821</v>
      </c>
      <c r="M190" s="18">
        <f t="shared" si="45"/>
        <v>138.17222222222375</v>
      </c>
      <c r="N190" s="19">
        <f t="shared" si="45"/>
        <v>95.577777777777158</v>
      </c>
      <c r="O190" s="19">
        <f t="shared" si="45"/>
        <v>103.88888888889045</v>
      </c>
      <c r="P190" s="19">
        <f t="shared" si="45"/>
        <v>109.08333333333216</v>
      </c>
      <c r="Q190" s="20">
        <f t="shared" si="45"/>
        <v>90.383333333334519</v>
      </c>
      <c r="R190" s="20">
        <f t="shared" si="45"/>
        <v>98.694444444445537</v>
      </c>
      <c r="S190" s="20">
        <f t="shared" si="45"/>
        <v>103.88888888889045</v>
      </c>
      <c r="T190" s="21">
        <f t="shared" si="45"/>
        <v>85.188888888890091</v>
      </c>
      <c r="U190" s="21">
        <f t="shared" si="46"/>
        <v>93.5</v>
      </c>
      <c r="V190" s="21">
        <f t="shared" si="46"/>
        <v>98.694444444445537</v>
      </c>
      <c r="W190" s="22">
        <f t="shared" si="46"/>
        <v>79.994444444444554</v>
      </c>
      <c r="X190" s="22">
        <f t="shared" si="46"/>
        <v>88.305555555554463</v>
      </c>
      <c r="Y190" s="22">
        <f t="shared" si="46"/>
        <v>93.5</v>
      </c>
      <c r="Z190" s="23">
        <f t="shared" si="46"/>
        <v>74.799999999999017</v>
      </c>
      <c r="AA190" s="23">
        <f t="shared" si="46"/>
        <v>83.111111111110375</v>
      </c>
      <c r="AB190" s="23">
        <f t="shared" si="46"/>
        <v>88.305555555554463</v>
      </c>
      <c r="AC190" s="24">
        <f t="shared" si="46"/>
        <v>69.605555555555711</v>
      </c>
      <c r="AD190" s="24">
        <f t="shared" si="46"/>
        <v>77.916666666666586</v>
      </c>
      <c r="AE190" s="24">
        <f t="shared" si="46"/>
        <v>83.111111111110375</v>
      </c>
      <c r="AF190" s="25">
        <f t="shared" si="43"/>
        <v>64.411111111110401</v>
      </c>
      <c r="AG190" s="25">
        <f t="shared" si="43"/>
        <v>72.722222222222769</v>
      </c>
      <c r="AH190" s="25">
        <f t="shared" si="43"/>
        <v>77.916666666666586</v>
      </c>
      <c r="AI190" s="26">
        <f t="shared" si="43"/>
        <v>59.216666666667209</v>
      </c>
      <c r="AJ190" s="26">
        <f t="shared" si="43"/>
        <v>67.527777777777231</v>
      </c>
      <c r="AK190" s="26">
        <f t="shared" si="43"/>
        <v>72.722222222222769</v>
      </c>
    </row>
    <row r="191" spans="4:37" ht="20.100000000000001" customHeight="1">
      <c r="D191" s="27">
        <f t="shared" si="38"/>
        <v>0.52222222222222092</v>
      </c>
      <c r="E191" s="16">
        <f t="shared" si="45"/>
        <v>146.22222222222331</v>
      </c>
      <c r="F191" s="16">
        <f t="shared" si="45"/>
        <v>154.57777777777903</v>
      </c>
      <c r="G191" s="16">
        <f t="shared" si="45"/>
        <v>159.79999999999933</v>
      </c>
      <c r="H191" s="17">
        <f t="shared" si="45"/>
        <v>135.77777777777669</v>
      </c>
      <c r="I191" s="17">
        <f t="shared" si="45"/>
        <v>144.13333333333179</v>
      </c>
      <c r="J191" s="17">
        <f t="shared" si="45"/>
        <v>149.35555555555541</v>
      </c>
      <c r="K191" s="18">
        <f t="shared" si="45"/>
        <v>125.33333333333491</v>
      </c>
      <c r="L191" s="18">
        <f t="shared" si="45"/>
        <v>133.68888888888932</v>
      </c>
      <c r="M191" s="18">
        <f t="shared" si="45"/>
        <v>138.91111111111263</v>
      </c>
      <c r="N191" s="19">
        <f t="shared" si="45"/>
        <v>96.088888888888263</v>
      </c>
      <c r="O191" s="19">
        <f t="shared" si="45"/>
        <v>104.44444444444601</v>
      </c>
      <c r="P191" s="19">
        <f t="shared" si="45"/>
        <v>109.66666666666549</v>
      </c>
      <c r="Q191" s="20">
        <f t="shared" si="45"/>
        <v>90.866666666667854</v>
      </c>
      <c r="R191" s="20">
        <f t="shared" si="45"/>
        <v>99.222222222223309</v>
      </c>
      <c r="S191" s="20">
        <f t="shared" si="45"/>
        <v>104.44444444444601</v>
      </c>
      <c r="T191" s="21">
        <f t="shared" si="45"/>
        <v>85.644444444445639</v>
      </c>
      <c r="U191" s="21">
        <f t="shared" si="46"/>
        <v>94</v>
      </c>
      <c r="V191" s="21">
        <f t="shared" si="46"/>
        <v>99.222222222223309</v>
      </c>
      <c r="W191" s="22">
        <f t="shared" si="46"/>
        <v>80.422222222222331</v>
      </c>
      <c r="X191" s="22">
        <f t="shared" si="46"/>
        <v>88.777777777776691</v>
      </c>
      <c r="Y191" s="22">
        <f t="shared" si="46"/>
        <v>94</v>
      </c>
      <c r="Z191" s="23">
        <f t="shared" si="46"/>
        <v>75.199999999999022</v>
      </c>
      <c r="AA191" s="23">
        <f t="shared" si="46"/>
        <v>83.555555555554818</v>
      </c>
      <c r="AB191" s="23">
        <f t="shared" si="46"/>
        <v>88.777777777776691</v>
      </c>
      <c r="AC191" s="24">
        <f t="shared" si="46"/>
        <v>69.977777777777931</v>
      </c>
      <c r="AD191" s="24">
        <f t="shared" si="46"/>
        <v>78.333333333333258</v>
      </c>
      <c r="AE191" s="24">
        <f t="shared" si="46"/>
        <v>83.555555555554818</v>
      </c>
      <c r="AF191" s="25">
        <f t="shared" si="43"/>
        <v>64.755555555554849</v>
      </c>
      <c r="AG191" s="25">
        <f t="shared" si="43"/>
        <v>73.111111111111654</v>
      </c>
      <c r="AH191" s="25">
        <f t="shared" si="43"/>
        <v>78.333333333333258</v>
      </c>
      <c r="AI191" s="26">
        <f t="shared" si="43"/>
        <v>59.533333333333879</v>
      </c>
      <c r="AJ191" s="26">
        <f t="shared" si="43"/>
        <v>67.888888888888346</v>
      </c>
      <c r="AK191" s="26">
        <f t="shared" si="43"/>
        <v>73.111111111111654</v>
      </c>
    </row>
    <row r="192" spans="4:37" ht="20.100000000000001" customHeight="1">
      <c r="D192" s="27">
        <f t="shared" si="38"/>
        <v>0.52499999999999869</v>
      </c>
      <c r="E192" s="16">
        <f t="shared" si="45"/>
        <v>147.00000000000108</v>
      </c>
      <c r="F192" s="16">
        <f t="shared" si="45"/>
        <v>155.40000000000126</v>
      </c>
      <c r="G192" s="16">
        <f t="shared" si="45"/>
        <v>160.64999999999932</v>
      </c>
      <c r="H192" s="17">
        <f t="shared" si="45"/>
        <v>136.49999999999892</v>
      </c>
      <c r="I192" s="17">
        <f t="shared" si="45"/>
        <v>144.89999999999847</v>
      </c>
      <c r="J192" s="17">
        <f t="shared" si="45"/>
        <v>150.14999999999986</v>
      </c>
      <c r="K192" s="18">
        <f t="shared" si="45"/>
        <v>126.00000000000158</v>
      </c>
      <c r="L192" s="18">
        <f t="shared" si="45"/>
        <v>134.40000000000043</v>
      </c>
      <c r="M192" s="18">
        <f t="shared" si="45"/>
        <v>139.65000000000151</v>
      </c>
      <c r="N192" s="19">
        <f t="shared" si="45"/>
        <v>96.599999999999369</v>
      </c>
      <c r="O192" s="19">
        <f t="shared" si="45"/>
        <v>105.00000000000156</v>
      </c>
      <c r="P192" s="19">
        <f t="shared" si="45"/>
        <v>110.24999999999882</v>
      </c>
      <c r="Q192" s="20">
        <f t="shared" si="45"/>
        <v>91.350000000001188</v>
      </c>
      <c r="R192" s="20">
        <f t="shared" si="45"/>
        <v>99.75000000000108</v>
      </c>
      <c r="S192" s="20">
        <f t="shared" si="45"/>
        <v>105.00000000000156</v>
      </c>
      <c r="T192" s="21">
        <f t="shared" si="45"/>
        <v>86.100000000001188</v>
      </c>
      <c r="U192" s="21">
        <f t="shared" si="46"/>
        <v>94.5</v>
      </c>
      <c r="V192" s="21">
        <f t="shared" si="46"/>
        <v>99.75000000000108</v>
      </c>
      <c r="W192" s="22">
        <f t="shared" si="46"/>
        <v>80.850000000000108</v>
      </c>
      <c r="X192" s="22">
        <f t="shared" si="46"/>
        <v>89.24999999999892</v>
      </c>
      <c r="Y192" s="22">
        <f t="shared" si="46"/>
        <v>94.5</v>
      </c>
      <c r="Z192" s="23">
        <f t="shared" si="46"/>
        <v>75.599999999999028</v>
      </c>
      <c r="AA192" s="23">
        <f t="shared" si="46"/>
        <v>83.999999999999261</v>
      </c>
      <c r="AB192" s="23">
        <f t="shared" si="46"/>
        <v>89.24999999999892</v>
      </c>
      <c r="AC192" s="24">
        <f t="shared" si="46"/>
        <v>70.350000000000151</v>
      </c>
      <c r="AD192" s="24">
        <f t="shared" si="46"/>
        <v>78.749999999999929</v>
      </c>
      <c r="AE192" s="24">
        <f t="shared" si="46"/>
        <v>83.999999999999261</v>
      </c>
      <c r="AF192" s="25">
        <f t="shared" si="43"/>
        <v>65.099999999999298</v>
      </c>
      <c r="AG192" s="25">
        <f t="shared" si="43"/>
        <v>73.50000000000054</v>
      </c>
      <c r="AH192" s="25">
        <f t="shared" si="43"/>
        <v>78.749999999999929</v>
      </c>
      <c r="AI192" s="26">
        <f t="shared" si="43"/>
        <v>59.850000000000549</v>
      </c>
      <c r="AJ192" s="26">
        <f t="shared" si="43"/>
        <v>68.24999999999946</v>
      </c>
      <c r="AK192" s="26">
        <f t="shared" si="43"/>
        <v>73.50000000000054</v>
      </c>
    </row>
    <row r="193" spans="4:37" ht="20.100000000000001" customHeight="1">
      <c r="D193" s="27">
        <f t="shared" si="38"/>
        <v>0.52777777777777646</v>
      </c>
      <c r="E193" s="16">
        <f t="shared" si="45"/>
        <v>147.77777777777885</v>
      </c>
      <c r="F193" s="16">
        <f t="shared" si="45"/>
        <v>156.22222222222348</v>
      </c>
      <c r="G193" s="16">
        <f t="shared" si="45"/>
        <v>161.49999999999932</v>
      </c>
      <c r="H193" s="17">
        <f t="shared" si="45"/>
        <v>137.22222222222115</v>
      </c>
      <c r="I193" s="17">
        <f t="shared" si="45"/>
        <v>145.66666666666515</v>
      </c>
      <c r="J193" s="17">
        <f t="shared" si="45"/>
        <v>150.94444444444431</v>
      </c>
      <c r="K193" s="18">
        <f t="shared" si="45"/>
        <v>126.66666666666825</v>
      </c>
      <c r="L193" s="18">
        <f t="shared" si="45"/>
        <v>135.11111111111154</v>
      </c>
      <c r="M193" s="18">
        <f t="shared" si="45"/>
        <v>140.38888888889039</v>
      </c>
      <c r="N193" s="19">
        <f t="shared" si="45"/>
        <v>97.111111111110475</v>
      </c>
      <c r="O193" s="19">
        <f t="shared" si="45"/>
        <v>105.55555555555712</v>
      </c>
      <c r="P193" s="19">
        <f t="shared" si="45"/>
        <v>110.83333333333215</v>
      </c>
      <c r="Q193" s="20">
        <f t="shared" si="45"/>
        <v>91.833333333334522</v>
      </c>
      <c r="R193" s="20">
        <f t="shared" si="45"/>
        <v>100.27777777777885</v>
      </c>
      <c r="S193" s="20">
        <f t="shared" si="45"/>
        <v>105.55555555555712</v>
      </c>
      <c r="T193" s="21">
        <f>T194-(T$363/360)</f>
        <v>86.555555555556737</v>
      </c>
      <c r="U193" s="21">
        <f t="shared" si="46"/>
        <v>95</v>
      </c>
      <c r="V193" s="21">
        <f t="shared" si="46"/>
        <v>100.27777777777885</v>
      </c>
      <c r="W193" s="22">
        <f t="shared" si="46"/>
        <v>81.277777777777885</v>
      </c>
      <c r="X193" s="22">
        <f t="shared" si="46"/>
        <v>89.722222222221149</v>
      </c>
      <c r="Y193" s="22">
        <f t="shared" si="46"/>
        <v>95</v>
      </c>
      <c r="Z193" s="23">
        <f t="shared" si="46"/>
        <v>75.999999999999034</v>
      </c>
      <c r="AA193" s="23">
        <f t="shared" si="46"/>
        <v>84.444444444443704</v>
      </c>
      <c r="AB193" s="23">
        <f t="shared" si="46"/>
        <v>89.722222222221149</v>
      </c>
      <c r="AC193" s="24">
        <f t="shared" si="46"/>
        <v>70.722222222222371</v>
      </c>
      <c r="AD193" s="24">
        <f t="shared" si="46"/>
        <v>79.1666666666666</v>
      </c>
      <c r="AE193" s="24">
        <f t="shared" si="46"/>
        <v>84.444444444443704</v>
      </c>
      <c r="AF193" s="25">
        <f t="shared" si="43"/>
        <v>65.444444444443747</v>
      </c>
      <c r="AG193" s="25">
        <f t="shared" si="43"/>
        <v>73.888888888889426</v>
      </c>
      <c r="AH193" s="25">
        <f t="shared" si="43"/>
        <v>79.1666666666666</v>
      </c>
      <c r="AI193" s="26">
        <f t="shared" si="43"/>
        <v>60.166666666667219</v>
      </c>
      <c r="AJ193" s="26">
        <f t="shared" si="43"/>
        <v>68.611111111110574</v>
      </c>
      <c r="AK193" s="26">
        <f t="shared" si="43"/>
        <v>73.888888888889426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148.55555555555662</v>
      </c>
      <c r="F194" s="16">
        <f t="shared" si="47"/>
        <v>157.0444444444457</v>
      </c>
      <c r="G194" s="16">
        <f t="shared" si="47"/>
        <v>162.34999999999931</v>
      </c>
      <c r="H194" s="17">
        <f t="shared" si="47"/>
        <v>137.94444444444338</v>
      </c>
      <c r="I194" s="17">
        <f t="shared" si="47"/>
        <v>146.43333333333183</v>
      </c>
      <c r="J194" s="17">
        <f t="shared" si="47"/>
        <v>151.73888888888877</v>
      </c>
      <c r="K194" s="18">
        <f t="shared" si="47"/>
        <v>127.33333333333492</v>
      </c>
      <c r="L194" s="18">
        <f t="shared" si="47"/>
        <v>135.82222222222265</v>
      </c>
      <c r="M194" s="18">
        <f t="shared" si="47"/>
        <v>141.12777777777927</v>
      </c>
      <c r="N194" s="19">
        <f t="shared" si="47"/>
        <v>97.622222222221581</v>
      </c>
      <c r="O194" s="19">
        <f t="shared" si="47"/>
        <v>106.11111111111268</v>
      </c>
      <c r="P194" s="19">
        <f t="shared" si="47"/>
        <v>111.41666666666548</v>
      </c>
      <c r="Q194" s="20">
        <f t="shared" si="47"/>
        <v>92.316666666667857</v>
      </c>
      <c r="R194" s="20">
        <f t="shared" si="47"/>
        <v>100.80555555555662</v>
      </c>
      <c r="S194" s="20">
        <f t="shared" si="47"/>
        <v>106.11111111111268</v>
      </c>
      <c r="T194" s="21">
        <f t="shared" si="47"/>
        <v>87.011111111112285</v>
      </c>
      <c r="U194" s="21">
        <f t="shared" si="46"/>
        <v>95.5</v>
      </c>
      <c r="V194" s="21">
        <f t="shared" si="46"/>
        <v>100.80555555555662</v>
      </c>
      <c r="W194" s="22">
        <f t="shared" si="46"/>
        <v>81.705555555555662</v>
      </c>
      <c r="X194" s="22">
        <f t="shared" si="46"/>
        <v>90.194444444443377</v>
      </c>
      <c r="Y194" s="22">
        <f t="shared" si="46"/>
        <v>95.5</v>
      </c>
      <c r="Z194" s="23">
        <f t="shared" si="46"/>
        <v>76.399999999999039</v>
      </c>
      <c r="AA194" s="23">
        <f t="shared" si="46"/>
        <v>84.888888888888147</v>
      </c>
      <c r="AB194" s="23">
        <f t="shared" si="46"/>
        <v>90.194444444443377</v>
      </c>
      <c r="AC194" s="24">
        <f t="shared" si="46"/>
        <v>71.094444444444591</v>
      </c>
      <c r="AD194" s="24">
        <f t="shared" si="46"/>
        <v>79.583333333333272</v>
      </c>
      <c r="AE194" s="24">
        <f t="shared" si="46"/>
        <v>84.888888888888147</v>
      </c>
      <c r="AF194" s="25">
        <f t="shared" si="46"/>
        <v>65.788888888888195</v>
      </c>
      <c r="AG194" s="25">
        <f t="shared" si="46"/>
        <v>74.277777777778311</v>
      </c>
      <c r="AH194" s="25">
        <f t="shared" si="46"/>
        <v>79.583333333333272</v>
      </c>
      <c r="AI194" s="26">
        <f t="shared" si="46"/>
        <v>60.483333333333889</v>
      </c>
      <c r="AJ194" s="26">
        <f t="shared" si="46"/>
        <v>68.972222222221689</v>
      </c>
      <c r="AK194" s="26">
        <f t="shared" si="43"/>
        <v>74.277777777778311</v>
      </c>
    </row>
    <row r="195" spans="4:37" ht="20.100000000000001" customHeight="1">
      <c r="D195" s="27">
        <f t="shared" si="38"/>
        <v>0.53333333333333199</v>
      </c>
      <c r="E195" s="16">
        <f t="shared" si="47"/>
        <v>149.33333333333439</v>
      </c>
      <c r="F195" s="16">
        <f t="shared" si="47"/>
        <v>157.86666666666792</v>
      </c>
      <c r="G195" s="16">
        <f t="shared" si="47"/>
        <v>163.19999999999931</v>
      </c>
      <c r="H195" s="17">
        <f t="shared" si="47"/>
        <v>138.66666666666561</v>
      </c>
      <c r="I195" s="17">
        <f t="shared" si="47"/>
        <v>147.19999999999851</v>
      </c>
      <c r="J195" s="17">
        <f t="shared" si="47"/>
        <v>152.53333333333322</v>
      </c>
      <c r="K195" s="18">
        <f t="shared" si="47"/>
        <v>128.00000000000159</v>
      </c>
      <c r="L195" s="18">
        <f t="shared" si="47"/>
        <v>136.53333333333376</v>
      </c>
      <c r="M195" s="18">
        <f t="shared" si="47"/>
        <v>141.86666666666815</v>
      </c>
      <c r="N195" s="19">
        <f t="shared" si="47"/>
        <v>98.133333333332686</v>
      </c>
      <c r="O195" s="19">
        <f t="shared" si="47"/>
        <v>106.66666666666823</v>
      </c>
      <c r="P195" s="19">
        <f t="shared" si="47"/>
        <v>111.99999999999881</v>
      </c>
      <c r="Q195" s="20">
        <f t="shared" si="47"/>
        <v>92.800000000001191</v>
      </c>
      <c r="R195" s="20">
        <f t="shared" si="47"/>
        <v>101.33333333333439</v>
      </c>
      <c r="S195" s="20">
        <f t="shared" si="47"/>
        <v>106.66666666666823</v>
      </c>
      <c r="T195" s="21">
        <f t="shared" si="47"/>
        <v>87.466666666667834</v>
      </c>
      <c r="U195" s="21">
        <f t="shared" si="46"/>
        <v>96</v>
      </c>
      <c r="V195" s="21">
        <f t="shared" si="46"/>
        <v>101.33333333333439</v>
      </c>
      <c r="W195" s="22">
        <f t="shared" si="46"/>
        <v>82.133333333333439</v>
      </c>
      <c r="X195" s="22">
        <f t="shared" si="46"/>
        <v>90.666666666665606</v>
      </c>
      <c r="Y195" s="22">
        <f t="shared" si="46"/>
        <v>96</v>
      </c>
      <c r="Z195" s="23">
        <f t="shared" si="46"/>
        <v>76.799999999999045</v>
      </c>
      <c r="AA195" s="23">
        <f t="shared" si="46"/>
        <v>85.33333333333259</v>
      </c>
      <c r="AB195" s="23">
        <f t="shared" si="46"/>
        <v>90.666666666665606</v>
      </c>
      <c r="AC195" s="24">
        <f t="shared" si="46"/>
        <v>71.466666666666811</v>
      </c>
      <c r="AD195" s="24">
        <f t="shared" si="46"/>
        <v>79.999999999999943</v>
      </c>
      <c r="AE195" s="24">
        <f t="shared" si="46"/>
        <v>85.33333333333259</v>
      </c>
      <c r="AF195" s="25">
        <f t="shared" si="43"/>
        <v>66.133333333332644</v>
      </c>
      <c r="AG195" s="25">
        <f t="shared" si="43"/>
        <v>74.666666666667197</v>
      </c>
      <c r="AH195" s="25">
        <f t="shared" si="43"/>
        <v>79.999999999999943</v>
      </c>
      <c r="AI195" s="26">
        <f t="shared" si="43"/>
        <v>60.800000000000558</v>
      </c>
      <c r="AJ195" s="26">
        <f t="shared" si="43"/>
        <v>69.333333333332803</v>
      </c>
      <c r="AK195" s="26">
        <f t="shared" si="43"/>
        <v>74.666666666667197</v>
      </c>
    </row>
    <row r="196" spans="4:37" ht="20.100000000000001" customHeight="1">
      <c r="D196" s="27">
        <f t="shared" si="38"/>
        <v>0.53611111111110976</v>
      </c>
      <c r="E196" s="16">
        <f t="shared" si="47"/>
        <v>150.11111111111217</v>
      </c>
      <c r="F196" s="16">
        <f t="shared" si="47"/>
        <v>158.68888888889015</v>
      </c>
      <c r="G196" s="16">
        <f t="shared" si="47"/>
        <v>164.0499999999993</v>
      </c>
      <c r="H196" s="17">
        <f t="shared" si="47"/>
        <v>139.38888888888783</v>
      </c>
      <c r="I196" s="17">
        <f t="shared" si="47"/>
        <v>147.96666666666519</v>
      </c>
      <c r="J196" s="17">
        <f t="shared" si="47"/>
        <v>153.32777777777767</v>
      </c>
      <c r="K196" s="18">
        <f t="shared" si="47"/>
        <v>128.66666666666825</v>
      </c>
      <c r="L196" s="18">
        <f t="shared" si="47"/>
        <v>137.24444444444487</v>
      </c>
      <c r="M196" s="18">
        <f t="shared" si="47"/>
        <v>142.60555555555703</v>
      </c>
      <c r="N196" s="19">
        <f t="shared" si="47"/>
        <v>98.644444444443792</v>
      </c>
      <c r="O196" s="19">
        <f t="shared" si="47"/>
        <v>107.22222222222379</v>
      </c>
      <c r="P196" s="19">
        <f t="shared" si="47"/>
        <v>112.58333333333213</v>
      </c>
      <c r="Q196" s="20">
        <f t="shared" si="47"/>
        <v>93.283333333334525</v>
      </c>
      <c r="R196" s="20">
        <f t="shared" si="47"/>
        <v>101.86111111111217</v>
      </c>
      <c r="S196" s="20">
        <f t="shared" si="47"/>
        <v>107.22222222222379</v>
      </c>
      <c r="T196" s="21">
        <f t="shared" si="47"/>
        <v>87.922222222223382</v>
      </c>
      <c r="U196" s="21">
        <f t="shared" si="46"/>
        <v>96.5</v>
      </c>
      <c r="V196" s="21">
        <f t="shared" si="46"/>
        <v>101.86111111111217</v>
      </c>
      <c r="W196" s="22">
        <f t="shared" si="46"/>
        <v>82.561111111111217</v>
      </c>
      <c r="X196" s="22">
        <f t="shared" si="46"/>
        <v>91.138888888887834</v>
      </c>
      <c r="Y196" s="22">
        <f t="shared" si="46"/>
        <v>96.5</v>
      </c>
      <c r="Z196" s="23">
        <f t="shared" si="46"/>
        <v>77.199999999999051</v>
      </c>
      <c r="AA196" s="23">
        <f t="shared" si="46"/>
        <v>85.777777777777032</v>
      </c>
      <c r="AB196" s="23">
        <f t="shared" si="46"/>
        <v>91.138888888887834</v>
      </c>
      <c r="AC196" s="24">
        <f t="shared" si="46"/>
        <v>71.838888888889031</v>
      </c>
      <c r="AD196" s="24">
        <f t="shared" si="46"/>
        <v>80.416666666666615</v>
      </c>
      <c r="AE196" s="24">
        <f t="shared" si="46"/>
        <v>85.777777777777032</v>
      </c>
      <c r="AF196" s="25">
        <f t="shared" si="43"/>
        <v>66.477777777777092</v>
      </c>
      <c r="AG196" s="25">
        <f t="shared" si="43"/>
        <v>75.055555555556083</v>
      </c>
      <c r="AH196" s="25">
        <f t="shared" si="43"/>
        <v>80.416666666666615</v>
      </c>
      <c r="AI196" s="26">
        <f t="shared" si="43"/>
        <v>61.116666666667228</v>
      </c>
      <c r="AJ196" s="26">
        <f t="shared" si="43"/>
        <v>69.694444444443917</v>
      </c>
      <c r="AK196" s="26">
        <f t="shared" si="43"/>
        <v>75.055555555556083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150.88888888888994</v>
      </c>
      <c r="F197" s="16">
        <f t="shared" si="47"/>
        <v>159.51111111111237</v>
      </c>
      <c r="G197" s="16">
        <f t="shared" si="47"/>
        <v>164.8999999999993</v>
      </c>
      <c r="H197" s="17">
        <f t="shared" si="47"/>
        <v>140.11111111111006</v>
      </c>
      <c r="I197" s="17">
        <f t="shared" si="47"/>
        <v>148.73333333333187</v>
      </c>
      <c r="J197" s="17">
        <f t="shared" si="47"/>
        <v>154.12222222222212</v>
      </c>
      <c r="K197" s="18">
        <f t="shared" si="47"/>
        <v>129.33333333333491</v>
      </c>
      <c r="L197" s="18">
        <f t="shared" si="47"/>
        <v>137.95555555555597</v>
      </c>
      <c r="M197" s="18">
        <f t="shared" si="47"/>
        <v>143.34444444444591</v>
      </c>
      <c r="N197" s="19">
        <f t="shared" si="47"/>
        <v>99.155555555554898</v>
      </c>
      <c r="O197" s="19">
        <f t="shared" si="47"/>
        <v>107.77777777777935</v>
      </c>
      <c r="P197" s="19">
        <f t="shared" si="47"/>
        <v>113.16666666666546</v>
      </c>
      <c r="Q197" s="20">
        <f t="shared" si="47"/>
        <v>93.766666666667859</v>
      </c>
      <c r="R197" s="20">
        <f t="shared" si="47"/>
        <v>102.38888888888994</v>
      </c>
      <c r="S197" s="20">
        <f t="shared" si="47"/>
        <v>107.77777777777935</v>
      </c>
      <c r="T197" s="21">
        <f t="shared" si="47"/>
        <v>88.377777777778931</v>
      </c>
      <c r="U197" s="21">
        <f t="shared" si="46"/>
        <v>97</v>
      </c>
      <c r="V197" s="21">
        <f t="shared" si="46"/>
        <v>102.38888888888994</v>
      </c>
      <c r="W197" s="22">
        <f t="shared" si="46"/>
        <v>82.988888888888994</v>
      </c>
      <c r="X197" s="22">
        <f t="shared" si="46"/>
        <v>91.611111111110063</v>
      </c>
      <c r="Y197" s="22">
        <f t="shared" si="46"/>
        <v>97</v>
      </c>
      <c r="Z197" s="23">
        <f t="shared" si="46"/>
        <v>77.599999999999056</v>
      </c>
      <c r="AA197" s="23">
        <f t="shared" si="46"/>
        <v>86.222222222221475</v>
      </c>
      <c r="AB197" s="23">
        <f t="shared" si="46"/>
        <v>91.611111111110063</v>
      </c>
      <c r="AC197" s="24">
        <f t="shared" si="46"/>
        <v>72.211111111111251</v>
      </c>
      <c r="AD197" s="24">
        <f t="shared" si="46"/>
        <v>80.833333333333286</v>
      </c>
      <c r="AE197" s="24">
        <f t="shared" si="46"/>
        <v>86.222222222221475</v>
      </c>
      <c r="AF197" s="25">
        <f t="shared" si="43"/>
        <v>66.822222222221541</v>
      </c>
      <c r="AG197" s="25">
        <f t="shared" si="43"/>
        <v>75.444444444444969</v>
      </c>
      <c r="AH197" s="25">
        <f t="shared" si="43"/>
        <v>80.833333333333286</v>
      </c>
      <c r="AI197" s="26">
        <f t="shared" si="43"/>
        <v>61.433333333333898</v>
      </c>
      <c r="AJ197" s="26">
        <f t="shared" si="43"/>
        <v>70.055555555555031</v>
      </c>
      <c r="AK197" s="26">
        <f t="shared" si="43"/>
        <v>75.444444444444969</v>
      </c>
    </row>
    <row r="198" spans="4:37" ht="20.100000000000001" customHeight="1">
      <c r="D198" s="27">
        <f t="shared" si="48"/>
        <v>0.5416666666666653</v>
      </c>
      <c r="E198" s="16">
        <f t="shared" si="47"/>
        <v>151.66666666666771</v>
      </c>
      <c r="F198" s="16">
        <f t="shared" si="47"/>
        <v>160.33333333333459</v>
      </c>
      <c r="G198" s="16">
        <f t="shared" si="47"/>
        <v>165.74999999999929</v>
      </c>
      <c r="H198" s="17">
        <f t="shared" si="47"/>
        <v>140.83333333333229</v>
      </c>
      <c r="I198" s="17">
        <f t="shared" si="47"/>
        <v>149.49999999999855</v>
      </c>
      <c r="J198" s="17">
        <f t="shared" si="47"/>
        <v>154.91666666666657</v>
      </c>
      <c r="K198" s="18">
        <f t="shared" si="47"/>
        <v>130.00000000000156</v>
      </c>
      <c r="L198" s="18">
        <f t="shared" si="47"/>
        <v>138.66666666666708</v>
      </c>
      <c r="M198" s="18">
        <f t="shared" si="47"/>
        <v>144.08333333333479</v>
      </c>
      <c r="N198" s="19">
        <f t="shared" si="47"/>
        <v>99.666666666666003</v>
      </c>
      <c r="O198" s="19">
        <f t="shared" si="47"/>
        <v>108.33333333333491</v>
      </c>
      <c r="P198" s="19">
        <f t="shared" si="47"/>
        <v>113.74999999999879</v>
      </c>
      <c r="Q198" s="20">
        <f t="shared" si="47"/>
        <v>94.250000000001194</v>
      </c>
      <c r="R198" s="20">
        <f t="shared" si="47"/>
        <v>102.91666666666771</v>
      </c>
      <c r="S198" s="20">
        <f t="shared" si="47"/>
        <v>108.33333333333491</v>
      </c>
      <c r="T198" s="21">
        <f t="shared" si="47"/>
        <v>88.83333333333448</v>
      </c>
      <c r="U198" s="21">
        <f t="shared" si="46"/>
        <v>97.5</v>
      </c>
      <c r="V198" s="21">
        <f t="shared" si="46"/>
        <v>102.91666666666771</v>
      </c>
      <c r="W198" s="22">
        <f t="shared" si="46"/>
        <v>83.416666666666771</v>
      </c>
      <c r="X198" s="22">
        <f t="shared" si="46"/>
        <v>92.083333333332291</v>
      </c>
      <c r="Y198" s="22">
        <f t="shared" si="46"/>
        <v>97.5</v>
      </c>
      <c r="Z198" s="23">
        <f t="shared" si="46"/>
        <v>77.999999999999062</v>
      </c>
      <c r="AA198" s="23">
        <f t="shared" si="46"/>
        <v>86.666666666665918</v>
      </c>
      <c r="AB198" s="23">
        <f t="shared" si="46"/>
        <v>92.083333333332291</v>
      </c>
      <c r="AC198" s="24">
        <f t="shared" si="46"/>
        <v>72.583333333333471</v>
      </c>
      <c r="AD198" s="24">
        <f t="shared" si="46"/>
        <v>81.249999999999957</v>
      </c>
      <c r="AE198" s="24">
        <f t="shared" si="46"/>
        <v>86.666666666665918</v>
      </c>
      <c r="AF198" s="25">
        <f t="shared" si="43"/>
        <v>67.166666666665989</v>
      </c>
      <c r="AG198" s="25">
        <f t="shared" si="43"/>
        <v>75.833333333333854</v>
      </c>
      <c r="AH198" s="25">
        <f t="shared" si="43"/>
        <v>81.249999999999957</v>
      </c>
      <c r="AI198" s="26">
        <f t="shared" si="43"/>
        <v>61.750000000000568</v>
      </c>
      <c r="AJ198" s="26">
        <f t="shared" si="43"/>
        <v>70.416666666666146</v>
      </c>
      <c r="AK198" s="26">
        <f t="shared" si="43"/>
        <v>75.833333333333854</v>
      </c>
    </row>
    <row r="199" spans="4:37" ht="20.100000000000001" customHeight="1">
      <c r="D199" s="27">
        <f t="shared" si="48"/>
        <v>0.54444444444444307</v>
      </c>
      <c r="E199" s="16">
        <f t="shared" si="47"/>
        <v>152.44444444444548</v>
      </c>
      <c r="F199" s="16">
        <f t="shared" si="47"/>
        <v>161.15555555555682</v>
      </c>
      <c r="G199" s="16">
        <f t="shared" si="47"/>
        <v>166.59999999999928</v>
      </c>
      <c r="H199" s="17">
        <f t="shared" si="47"/>
        <v>141.55555555555452</v>
      </c>
      <c r="I199" s="17">
        <f t="shared" si="47"/>
        <v>150.26666666666523</v>
      </c>
      <c r="J199" s="17">
        <f t="shared" si="47"/>
        <v>155.71111111111102</v>
      </c>
      <c r="K199" s="18">
        <f t="shared" si="47"/>
        <v>130.66666666666822</v>
      </c>
      <c r="L199" s="18">
        <f t="shared" si="47"/>
        <v>139.37777777777819</v>
      </c>
      <c r="M199" s="18">
        <f t="shared" si="47"/>
        <v>144.82222222222367</v>
      </c>
      <c r="N199" s="19">
        <f t="shared" si="47"/>
        <v>100.17777777777711</v>
      </c>
      <c r="O199" s="19">
        <f t="shared" si="47"/>
        <v>108.88888888889046</v>
      </c>
      <c r="P199" s="19">
        <f t="shared" si="47"/>
        <v>114.33333333333212</v>
      </c>
      <c r="Q199" s="20">
        <f t="shared" si="47"/>
        <v>94.733333333334528</v>
      </c>
      <c r="R199" s="20">
        <f t="shared" si="47"/>
        <v>103.44444444444548</v>
      </c>
      <c r="S199" s="20">
        <f t="shared" si="47"/>
        <v>108.88888888889046</v>
      </c>
      <c r="T199" s="21">
        <f t="shared" si="47"/>
        <v>89.288888888890028</v>
      </c>
      <c r="U199" s="21">
        <f t="shared" si="46"/>
        <v>98</v>
      </c>
      <c r="V199" s="21">
        <f t="shared" si="46"/>
        <v>103.44444444444548</v>
      </c>
      <c r="W199" s="22">
        <f t="shared" si="46"/>
        <v>83.844444444444548</v>
      </c>
      <c r="X199" s="22">
        <f t="shared" si="46"/>
        <v>92.55555555555452</v>
      </c>
      <c r="Y199" s="22">
        <f t="shared" si="46"/>
        <v>98</v>
      </c>
      <c r="Z199" s="23">
        <f t="shared" si="46"/>
        <v>78.399999999999068</v>
      </c>
      <c r="AA199" s="23">
        <f t="shared" si="46"/>
        <v>87.111111111110361</v>
      </c>
      <c r="AB199" s="23">
        <f t="shared" si="46"/>
        <v>92.55555555555452</v>
      </c>
      <c r="AC199" s="24">
        <f t="shared" si="46"/>
        <v>72.955555555555691</v>
      </c>
      <c r="AD199" s="24">
        <f t="shared" si="46"/>
        <v>81.666666666666629</v>
      </c>
      <c r="AE199" s="24">
        <f t="shared" si="46"/>
        <v>87.111111111110361</v>
      </c>
      <c r="AF199" s="25">
        <f t="shared" si="46"/>
        <v>67.511111111110438</v>
      </c>
      <c r="AG199" s="25">
        <f t="shared" si="46"/>
        <v>76.22222222222274</v>
      </c>
      <c r="AH199" s="25">
        <f t="shared" si="46"/>
        <v>81.666666666666629</v>
      </c>
      <c r="AI199" s="26">
        <f t="shared" si="46"/>
        <v>62.066666666667238</v>
      </c>
      <c r="AJ199" s="26">
        <f t="shared" si="46"/>
        <v>70.77777777777726</v>
      </c>
      <c r="AK199" s="26">
        <f t="shared" ref="AK199:AK233" si="49">AK200-(AK$363/360)</f>
        <v>76.22222222222274</v>
      </c>
    </row>
    <row r="200" spans="4:37" ht="20.100000000000001" customHeight="1">
      <c r="D200" s="27">
        <f t="shared" si="48"/>
        <v>0.54722222222222083</v>
      </c>
      <c r="E200" s="16">
        <f t="shared" si="47"/>
        <v>153.22222222222325</v>
      </c>
      <c r="F200" s="16">
        <f t="shared" si="47"/>
        <v>161.97777777777904</v>
      </c>
      <c r="G200" s="16">
        <f t="shared" si="47"/>
        <v>167.44999999999928</v>
      </c>
      <c r="H200" s="17">
        <f t="shared" si="47"/>
        <v>142.27777777777675</v>
      </c>
      <c r="I200" s="17">
        <f t="shared" si="47"/>
        <v>151.03333333333191</v>
      </c>
      <c r="J200" s="17">
        <f t="shared" si="47"/>
        <v>156.50555555555547</v>
      </c>
      <c r="K200" s="18">
        <f t="shared" si="47"/>
        <v>131.33333333333488</v>
      </c>
      <c r="L200" s="18">
        <f t="shared" si="47"/>
        <v>140.0888888888893</v>
      </c>
      <c r="M200" s="18">
        <f t="shared" si="47"/>
        <v>145.56111111111255</v>
      </c>
      <c r="N200" s="19">
        <f t="shared" si="47"/>
        <v>100.68888888888821</v>
      </c>
      <c r="O200" s="19">
        <f t="shared" si="47"/>
        <v>109.44444444444602</v>
      </c>
      <c r="P200" s="19">
        <f t="shared" si="47"/>
        <v>114.91666666666545</v>
      </c>
      <c r="Q200" s="20">
        <f t="shared" si="47"/>
        <v>95.216666666667862</v>
      </c>
      <c r="R200" s="20">
        <f t="shared" si="47"/>
        <v>103.97222222222325</v>
      </c>
      <c r="S200" s="20">
        <f t="shared" si="47"/>
        <v>109.44444444444602</v>
      </c>
      <c r="T200" s="21">
        <f t="shared" si="47"/>
        <v>89.744444444445577</v>
      </c>
      <c r="U200" s="21">
        <f t="shared" si="46"/>
        <v>98.5</v>
      </c>
      <c r="V200" s="21">
        <f t="shared" si="46"/>
        <v>103.97222222222325</v>
      </c>
      <c r="W200" s="22">
        <f t="shared" si="46"/>
        <v>84.272222222222325</v>
      </c>
      <c r="X200" s="22">
        <f t="shared" si="46"/>
        <v>93.027777777776748</v>
      </c>
      <c r="Y200" s="22">
        <f t="shared" si="46"/>
        <v>98.5</v>
      </c>
      <c r="Z200" s="23">
        <f t="shared" si="46"/>
        <v>78.799999999999073</v>
      </c>
      <c r="AA200" s="23">
        <f t="shared" si="46"/>
        <v>87.555555555554804</v>
      </c>
      <c r="AB200" s="23">
        <f t="shared" si="46"/>
        <v>93.027777777776748</v>
      </c>
      <c r="AC200" s="24">
        <f t="shared" si="46"/>
        <v>73.327777777777911</v>
      </c>
      <c r="AD200" s="24">
        <f t="shared" si="46"/>
        <v>82.0833333333333</v>
      </c>
      <c r="AE200" s="24">
        <f t="shared" si="46"/>
        <v>87.555555555554804</v>
      </c>
      <c r="AF200" s="25">
        <f t="shared" si="46"/>
        <v>67.855555555554886</v>
      </c>
      <c r="AG200" s="25">
        <f t="shared" si="46"/>
        <v>76.611111111111626</v>
      </c>
      <c r="AH200" s="25">
        <f t="shared" si="46"/>
        <v>82.0833333333333</v>
      </c>
      <c r="AI200" s="26">
        <f t="shared" si="46"/>
        <v>62.383333333333908</v>
      </c>
      <c r="AJ200" s="26">
        <f t="shared" si="46"/>
        <v>71.138888888888374</v>
      </c>
      <c r="AK200" s="26">
        <f t="shared" si="49"/>
        <v>76.611111111111626</v>
      </c>
    </row>
    <row r="201" spans="4:37" ht="20.100000000000001" customHeight="1">
      <c r="D201" s="27">
        <f t="shared" si="48"/>
        <v>0.5499999999999986</v>
      </c>
      <c r="E201" s="16">
        <f t="shared" si="47"/>
        <v>154.00000000000102</v>
      </c>
      <c r="F201" s="16">
        <f t="shared" si="47"/>
        <v>162.80000000000126</v>
      </c>
      <c r="G201" s="16">
        <f t="shared" si="47"/>
        <v>168.29999999999927</v>
      </c>
      <c r="H201" s="17">
        <f t="shared" si="47"/>
        <v>142.99999999999898</v>
      </c>
      <c r="I201" s="17">
        <f t="shared" si="47"/>
        <v>151.79999999999859</v>
      </c>
      <c r="J201" s="17">
        <f t="shared" si="47"/>
        <v>157.29999999999993</v>
      </c>
      <c r="K201" s="18">
        <f t="shared" si="47"/>
        <v>132.00000000000153</v>
      </c>
      <c r="L201" s="18">
        <f t="shared" si="47"/>
        <v>140.80000000000041</v>
      </c>
      <c r="M201" s="18">
        <f t="shared" si="47"/>
        <v>146.30000000000143</v>
      </c>
      <c r="N201" s="19">
        <f t="shared" si="47"/>
        <v>101.19999999999932</v>
      </c>
      <c r="O201" s="19">
        <f t="shared" si="47"/>
        <v>110.00000000000158</v>
      </c>
      <c r="P201" s="19">
        <f t="shared" si="47"/>
        <v>115.49999999999878</v>
      </c>
      <c r="Q201" s="20">
        <f t="shared" si="47"/>
        <v>95.700000000001197</v>
      </c>
      <c r="R201" s="20">
        <f t="shared" si="47"/>
        <v>104.50000000000102</v>
      </c>
      <c r="S201" s="20">
        <f t="shared" si="47"/>
        <v>110.00000000000158</v>
      </c>
      <c r="T201" s="21">
        <f t="shared" si="47"/>
        <v>90.200000000001125</v>
      </c>
      <c r="U201" s="21">
        <f t="shared" si="46"/>
        <v>99</v>
      </c>
      <c r="V201" s="21">
        <f t="shared" si="46"/>
        <v>104.50000000000102</v>
      </c>
      <c r="W201" s="22">
        <f t="shared" si="46"/>
        <v>84.700000000000102</v>
      </c>
      <c r="X201" s="22">
        <f t="shared" si="46"/>
        <v>93.499999999998977</v>
      </c>
      <c r="Y201" s="22">
        <f t="shared" si="46"/>
        <v>99</v>
      </c>
      <c r="Z201" s="23">
        <f t="shared" si="46"/>
        <v>79.199999999999079</v>
      </c>
      <c r="AA201" s="23">
        <f t="shared" si="46"/>
        <v>87.999999999999247</v>
      </c>
      <c r="AB201" s="23">
        <f t="shared" si="46"/>
        <v>93.499999999998977</v>
      </c>
      <c r="AC201" s="24">
        <f t="shared" si="46"/>
        <v>73.700000000000131</v>
      </c>
      <c r="AD201" s="24">
        <f t="shared" si="46"/>
        <v>82.499999999999972</v>
      </c>
      <c r="AE201" s="24">
        <f t="shared" si="46"/>
        <v>87.999999999999247</v>
      </c>
      <c r="AF201" s="25">
        <f t="shared" si="46"/>
        <v>68.199999999999335</v>
      </c>
      <c r="AG201" s="25">
        <f t="shared" si="46"/>
        <v>77.000000000000512</v>
      </c>
      <c r="AH201" s="25">
        <f t="shared" si="46"/>
        <v>82.499999999999972</v>
      </c>
      <c r="AI201" s="26">
        <f t="shared" si="46"/>
        <v>62.700000000000578</v>
      </c>
      <c r="AJ201" s="26">
        <f t="shared" si="46"/>
        <v>71.499999999999488</v>
      </c>
      <c r="AK201" s="26">
        <f t="shared" si="49"/>
        <v>77.000000000000512</v>
      </c>
    </row>
    <row r="202" spans="4:37" ht="20.100000000000001" customHeight="1">
      <c r="D202" s="27">
        <f t="shared" si="48"/>
        <v>0.55277777777777637</v>
      </c>
      <c r="E202" s="16">
        <f t="shared" si="47"/>
        <v>154.77777777777879</v>
      </c>
      <c r="F202" s="16">
        <f t="shared" si="47"/>
        <v>163.62222222222348</v>
      </c>
      <c r="G202" s="16">
        <f t="shared" si="47"/>
        <v>169.14999999999927</v>
      </c>
      <c r="H202" s="17">
        <f t="shared" si="47"/>
        <v>143.72222222222121</v>
      </c>
      <c r="I202" s="17">
        <f t="shared" si="47"/>
        <v>152.56666666666527</v>
      </c>
      <c r="J202" s="17">
        <f t="shared" si="47"/>
        <v>158.09444444444438</v>
      </c>
      <c r="K202" s="18">
        <f t="shared" si="47"/>
        <v>132.66666666666819</v>
      </c>
      <c r="L202" s="18">
        <f t="shared" si="47"/>
        <v>141.51111111111152</v>
      </c>
      <c r="M202" s="18">
        <f t="shared" si="47"/>
        <v>147.03888888889031</v>
      </c>
      <c r="N202" s="19">
        <f t="shared" si="47"/>
        <v>101.71111111111043</v>
      </c>
      <c r="O202" s="19">
        <f t="shared" si="47"/>
        <v>110.55555555555713</v>
      </c>
      <c r="P202" s="19">
        <f t="shared" si="47"/>
        <v>116.08333333333211</v>
      </c>
      <c r="Q202" s="20">
        <f t="shared" si="47"/>
        <v>96.183333333334531</v>
      </c>
      <c r="R202" s="20">
        <f t="shared" si="47"/>
        <v>105.02777777777879</v>
      </c>
      <c r="S202" s="20">
        <f t="shared" si="47"/>
        <v>110.55555555555713</v>
      </c>
      <c r="T202" s="21">
        <f t="shared" si="47"/>
        <v>90.655555555556674</v>
      </c>
      <c r="U202" s="21">
        <f t="shared" si="46"/>
        <v>99.5</v>
      </c>
      <c r="V202" s="21">
        <f t="shared" si="46"/>
        <v>105.02777777777879</v>
      </c>
      <c r="W202" s="22">
        <f t="shared" si="46"/>
        <v>85.127777777777879</v>
      </c>
      <c r="X202" s="22">
        <f t="shared" si="46"/>
        <v>93.972222222221205</v>
      </c>
      <c r="Y202" s="22">
        <f t="shared" ref="Y202:AJ202" si="50">Y203-(Y$363/360)</f>
        <v>99.5</v>
      </c>
      <c r="Z202" s="23">
        <f t="shared" si="50"/>
        <v>79.599999999999085</v>
      </c>
      <c r="AA202" s="23">
        <f t="shared" si="50"/>
        <v>88.44444444444369</v>
      </c>
      <c r="AB202" s="23">
        <f t="shared" si="50"/>
        <v>93.972222222221205</v>
      </c>
      <c r="AC202" s="24">
        <f t="shared" si="50"/>
        <v>74.072222222222351</v>
      </c>
      <c r="AD202" s="24">
        <f t="shared" si="50"/>
        <v>82.916666666666643</v>
      </c>
      <c r="AE202" s="24">
        <f t="shared" si="50"/>
        <v>88.44444444444369</v>
      </c>
      <c r="AF202" s="25">
        <f t="shared" si="50"/>
        <v>68.544444444443783</v>
      </c>
      <c r="AG202" s="25">
        <f t="shared" si="50"/>
        <v>77.388888888889397</v>
      </c>
      <c r="AH202" s="25">
        <f t="shared" si="50"/>
        <v>82.916666666666643</v>
      </c>
      <c r="AI202" s="26">
        <f t="shared" si="50"/>
        <v>63.016666666667248</v>
      </c>
      <c r="AJ202" s="26">
        <f t="shared" si="50"/>
        <v>71.861111111110603</v>
      </c>
      <c r="AK202" s="26">
        <f t="shared" si="49"/>
        <v>77.388888888889397</v>
      </c>
    </row>
    <row r="203" spans="4:37" ht="20.100000000000001" customHeight="1">
      <c r="D203" s="27">
        <f t="shared" si="48"/>
        <v>0.55555555555555414</v>
      </c>
      <c r="E203" s="16">
        <f t="shared" si="47"/>
        <v>155.55555555555657</v>
      </c>
      <c r="F203" s="16">
        <f t="shared" si="47"/>
        <v>164.44444444444571</v>
      </c>
      <c r="G203" s="16">
        <f t="shared" si="47"/>
        <v>169.99999999999926</v>
      </c>
      <c r="H203" s="17">
        <f t="shared" si="47"/>
        <v>144.44444444444343</v>
      </c>
      <c r="I203" s="17">
        <f t="shared" si="47"/>
        <v>153.33333333333195</v>
      </c>
      <c r="J203" s="17">
        <f t="shared" si="47"/>
        <v>158.88888888888883</v>
      </c>
      <c r="K203" s="18">
        <f t="shared" si="47"/>
        <v>133.33333333333485</v>
      </c>
      <c r="L203" s="18">
        <f t="shared" si="47"/>
        <v>142.22222222222263</v>
      </c>
      <c r="M203" s="18">
        <f t="shared" si="47"/>
        <v>147.77777777777919</v>
      </c>
      <c r="N203" s="19">
        <f t="shared" si="47"/>
        <v>102.22222222222153</v>
      </c>
      <c r="O203" s="19">
        <f t="shared" si="47"/>
        <v>111.11111111111269</v>
      </c>
      <c r="P203" s="19">
        <f t="shared" si="47"/>
        <v>116.66666666666544</v>
      </c>
      <c r="Q203" s="20">
        <f t="shared" si="47"/>
        <v>96.666666666667865</v>
      </c>
      <c r="R203" s="20">
        <f t="shared" si="47"/>
        <v>105.55555555555657</v>
      </c>
      <c r="S203" s="20">
        <f t="shared" si="47"/>
        <v>111.11111111111269</v>
      </c>
      <c r="T203" s="21">
        <f t="shared" si="47"/>
        <v>91.111111111112223</v>
      </c>
      <c r="U203" s="21">
        <f t="shared" ref="U203:AI223" si="51">U204-(U$363/360)</f>
        <v>100</v>
      </c>
      <c r="V203" s="21">
        <f t="shared" si="51"/>
        <v>105.55555555555657</v>
      </c>
      <c r="W203" s="22">
        <f t="shared" si="51"/>
        <v>85.555555555555657</v>
      </c>
      <c r="X203" s="22">
        <f t="shared" si="51"/>
        <v>94.444444444443434</v>
      </c>
      <c r="Y203" s="22">
        <f t="shared" si="51"/>
        <v>100</v>
      </c>
      <c r="Z203" s="23">
        <f t="shared" si="51"/>
        <v>79.999999999999091</v>
      </c>
      <c r="AA203" s="23">
        <f t="shared" si="51"/>
        <v>88.888888888888133</v>
      </c>
      <c r="AB203" s="23">
        <f t="shared" si="51"/>
        <v>94.444444444443434</v>
      </c>
      <c r="AC203" s="24">
        <f t="shared" si="51"/>
        <v>74.444444444444571</v>
      </c>
      <c r="AD203" s="24">
        <f t="shared" si="51"/>
        <v>83.333333333333314</v>
      </c>
      <c r="AE203" s="24">
        <f t="shared" si="51"/>
        <v>88.888888888888133</v>
      </c>
      <c r="AF203" s="25">
        <f t="shared" ref="AF203:AF214" si="52">AF204-(AF$363/360)</f>
        <v>68.888888888888232</v>
      </c>
      <c r="AG203" s="25">
        <f t="shared" ref="AG203:AG214" si="53">AG204-(AG$363/360)</f>
        <v>77.777777777778283</v>
      </c>
      <c r="AH203" s="25">
        <f t="shared" ref="AH203:AH214" si="54">AH204-(AH$363/360)</f>
        <v>83.333333333333314</v>
      </c>
      <c r="AI203" s="26">
        <f t="shared" ref="AI203:AI214" si="55">AI204-(AI$363/360)</f>
        <v>63.333333333333918</v>
      </c>
      <c r="AJ203" s="26">
        <f t="shared" ref="AJ203:AJ214" si="56">AJ204-(AJ$363/360)</f>
        <v>72.222222222221717</v>
      </c>
      <c r="AK203" s="26">
        <f t="shared" si="49"/>
        <v>77.777777777778283</v>
      </c>
    </row>
    <row r="204" spans="4:37" ht="20.100000000000001" customHeight="1">
      <c r="D204" s="27">
        <f t="shared" si="48"/>
        <v>0.5583333333333319</v>
      </c>
      <c r="E204" s="16">
        <f t="shared" si="47"/>
        <v>156.33333333333434</v>
      </c>
      <c r="F204" s="16">
        <f t="shared" si="47"/>
        <v>165.26666666666793</v>
      </c>
      <c r="G204" s="16">
        <f t="shared" si="47"/>
        <v>170.84999999999926</v>
      </c>
      <c r="H204" s="17">
        <f t="shared" si="47"/>
        <v>145.16666666666566</v>
      </c>
      <c r="I204" s="17">
        <f t="shared" si="47"/>
        <v>154.09999999999863</v>
      </c>
      <c r="J204" s="17">
        <f t="shared" si="47"/>
        <v>159.68333333333328</v>
      </c>
      <c r="K204" s="18">
        <f t="shared" si="47"/>
        <v>134.00000000000151</v>
      </c>
      <c r="L204" s="18">
        <f t="shared" si="47"/>
        <v>142.93333333333374</v>
      </c>
      <c r="M204" s="18">
        <f t="shared" si="47"/>
        <v>148.51666666666807</v>
      </c>
      <c r="N204" s="19">
        <f t="shared" si="47"/>
        <v>102.73333333333264</v>
      </c>
      <c r="O204" s="19">
        <f t="shared" si="47"/>
        <v>111.66666666666825</v>
      </c>
      <c r="P204" s="19">
        <f t="shared" si="47"/>
        <v>117.24999999999876</v>
      </c>
      <c r="Q204" s="20">
        <f t="shared" si="47"/>
        <v>97.150000000001199</v>
      </c>
      <c r="R204" s="20">
        <f t="shared" si="47"/>
        <v>106.08333333333434</v>
      </c>
      <c r="S204" s="20">
        <f t="shared" si="47"/>
        <v>111.66666666666825</v>
      </c>
      <c r="T204" s="21">
        <f t="shared" si="47"/>
        <v>91.566666666667771</v>
      </c>
      <c r="U204" s="21">
        <f t="shared" si="51"/>
        <v>100.5</v>
      </c>
      <c r="V204" s="21">
        <f t="shared" si="51"/>
        <v>106.08333333333434</v>
      </c>
      <c r="W204" s="22">
        <f t="shared" si="51"/>
        <v>85.983333333333434</v>
      </c>
      <c r="X204" s="22">
        <f t="shared" si="51"/>
        <v>94.916666666665662</v>
      </c>
      <c r="Y204" s="22">
        <f t="shared" si="51"/>
        <v>100.5</v>
      </c>
      <c r="Z204" s="23">
        <f t="shared" si="51"/>
        <v>80.399999999999096</v>
      </c>
      <c r="AA204" s="23">
        <f t="shared" si="51"/>
        <v>89.333333333332575</v>
      </c>
      <c r="AB204" s="23">
        <f t="shared" si="51"/>
        <v>94.916666666665662</v>
      </c>
      <c r="AC204" s="24">
        <f t="shared" si="51"/>
        <v>74.816666666666791</v>
      </c>
      <c r="AD204" s="24">
        <f t="shared" si="51"/>
        <v>83.749999999999986</v>
      </c>
      <c r="AE204" s="24">
        <f t="shared" si="51"/>
        <v>89.333333333332575</v>
      </c>
      <c r="AF204" s="25">
        <f t="shared" si="52"/>
        <v>69.233333333332681</v>
      </c>
      <c r="AG204" s="25">
        <f t="shared" si="53"/>
        <v>78.166666666667169</v>
      </c>
      <c r="AH204" s="25">
        <f t="shared" si="54"/>
        <v>83.749999999999986</v>
      </c>
      <c r="AI204" s="26">
        <f t="shared" si="55"/>
        <v>63.650000000000588</v>
      </c>
      <c r="AJ204" s="26">
        <f t="shared" si="56"/>
        <v>72.583333333332831</v>
      </c>
      <c r="AK204" s="26">
        <f t="shared" si="49"/>
        <v>78.166666666667169</v>
      </c>
    </row>
    <row r="205" spans="4:37" ht="20.100000000000001" customHeight="1">
      <c r="D205" s="27">
        <f t="shared" si="48"/>
        <v>0.56111111111110967</v>
      </c>
      <c r="E205" s="16">
        <f t="shared" si="47"/>
        <v>157.11111111111211</v>
      </c>
      <c r="F205" s="16">
        <f t="shared" si="47"/>
        <v>166.08888888889015</v>
      </c>
      <c r="G205" s="16">
        <f t="shared" si="47"/>
        <v>171.69999999999925</v>
      </c>
      <c r="H205" s="17">
        <f t="shared" si="47"/>
        <v>145.88888888888789</v>
      </c>
      <c r="I205" s="17">
        <f t="shared" si="47"/>
        <v>154.86666666666531</v>
      </c>
      <c r="J205" s="17">
        <f t="shared" si="47"/>
        <v>160.47777777777773</v>
      </c>
      <c r="K205" s="18">
        <f t="shared" si="47"/>
        <v>134.66666666666816</v>
      </c>
      <c r="L205" s="18">
        <f t="shared" si="47"/>
        <v>143.64444444444484</v>
      </c>
      <c r="M205" s="18">
        <f t="shared" si="47"/>
        <v>149.25555555555695</v>
      </c>
      <c r="N205" s="19">
        <f t="shared" si="47"/>
        <v>103.24444444444374</v>
      </c>
      <c r="O205" s="19">
        <f t="shared" si="47"/>
        <v>112.22222222222381</v>
      </c>
      <c r="P205" s="19">
        <f t="shared" si="47"/>
        <v>117.83333333333209</v>
      </c>
      <c r="Q205" s="20">
        <f t="shared" si="47"/>
        <v>97.633333333334534</v>
      </c>
      <c r="R205" s="20">
        <f t="shared" si="47"/>
        <v>106.61111111111211</v>
      </c>
      <c r="S205" s="20">
        <f t="shared" si="47"/>
        <v>112.22222222222381</v>
      </c>
      <c r="T205" s="21">
        <f t="shared" si="47"/>
        <v>92.02222222222332</v>
      </c>
      <c r="U205" s="21">
        <f t="shared" si="51"/>
        <v>101</v>
      </c>
      <c r="V205" s="21">
        <f t="shared" si="51"/>
        <v>106.61111111111211</v>
      </c>
      <c r="W205" s="22">
        <f t="shared" si="51"/>
        <v>86.411111111111211</v>
      </c>
      <c r="X205" s="22">
        <f t="shared" si="51"/>
        <v>95.388888888887891</v>
      </c>
      <c r="Y205" s="22">
        <f t="shared" si="51"/>
        <v>101</v>
      </c>
      <c r="Z205" s="23">
        <f t="shared" si="51"/>
        <v>80.799999999999102</v>
      </c>
      <c r="AA205" s="23">
        <f t="shared" si="51"/>
        <v>89.777777777777018</v>
      </c>
      <c r="AB205" s="23">
        <f t="shared" si="51"/>
        <v>95.388888888887891</v>
      </c>
      <c r="AC205" s="24">
        <f t="shared" si="51"/>
        <v>75.188888888889011</v>
      </c>
      <c r="AD205" s="24">
        <f t="shared" si="51"/>
        <v>84.166666666666657</v>
      </c>
      <c r="AE205" s="24">
        <f t="shared" si="51"/>
        <v>89.777777777777018</v>
      </c>
      <c r="AF205" s="25">
        <f t="shared" si="52"/>
        <v>69.577777777777129</v>
      </c>
      <c r="AG205" s="25">
        <f t="shared" si="53"/>
        <v>78.555555555556055</v>
      </c>
      <c r="AH205" s="25">
        <f t="shared" si="54"/>
        <v>84.166666666666657</v>
      </c>
      <c r="AI205" s="26">
        <f t="shared" si="55"/>
        <v>63.966666666667258</v>
      </c>
      <c r="AJ205" s="26">
        <f t="shared" si="56"/>
        <v>72.944444444443945</v>
      </c>
      <c r="AK205" s="26">
        <f t="shared" si="49"/>
        <v>78.555555555556055</v>
      </c>
    </row>
    <row r="206" spans="4:37" ht="20.100000000000001" customHeight="1">
      <c r="D206" s="27">
        <f t="shared" si="48"/>
        <v>0.56388888888888744</v>
      </c>
      <c r="E206" s="16">
        <f t="shared" si="47"/>
        <v>157.88888888888988</v>
      </c>
      <c r="F206" s="16">
        <f t="shared" si="47"/>
        <v>166.91111111111238</v>
      </c>
      <c r="G206" s="16">
        <f t="shared" si="47"/>
        <v>172.54999999999924</v>
      </c>
      <c r="H206" s="17">
        <f t="shared" si="47"/>
        <v>146.61111111111012</v>
      </c>
      <c r="I206" s="17">
        <f t="shared" si="47"/>
        <v>155.63333333333199</v>
      </c>
      <c r="J206" s="17">
        <f t="shared" si="47"/>
        <v>161.27222222222218</v>
      </c>
      <c r="K206" s="18">
        <f t="shared" si="47"/>
        <v>135.33333333333482</v>
      </c>
      <c r="L206" s="18">
        <f t="shared" si="47"/>
        <v>144.35555555555595</v>
      </c>
      <c r="M206" s="18">
        <f t="shared" si="47"/>
        <v>149.99444444444583</v>
      </c>
      <c r="N206" s="19">
        <f t="shared" si="47"/>
        <v>103.75555555555485</v>
      </c>
      <c r="O206" s="19">
        <f t="shared" si="47"/>
        <v>112.77777777777936</v>
      </c>
      <c r="P206" s="19">
        <f t="shared" si="47"/>
        <v>118.41666666666542</v>
      </c>
      <c r="Q206" s="20">
        <f t="shared" si="47"/>
        <v>98.116666666667868</v>
      </c>
      <c r="R206" s="20">
        <f t="shared" si="47"/>
        <v>107.13888888888988</v>
      </c>
      <c r="S206" s="20">
        <f t="shared" si="47"/>
        <v>112.77777777777936</v>
      </c>
      <c r="T206" s="21">
        <f t="shared" si="47"/>
        <v>92.477777777778869</v>
      </c>
      <c r="U206" s="21">
        <f t="shared" si="51"/>
        <v>101.5</v>
      </c>
      <c r="V206" s="21">
        <f t="shared" si="51"/>
        <v>107.13888888888988</v>
      </c>
      <c r="W206" s="22">
        <f t="shared" si="51"/>
        <v>86.838888888888988</v>
      </c>
      <c r="X206" s="22">
        <f t="shared" si="51"/>
        <v>95.86111111111012</v>
      </c>
      <c r="Y206" s="22">
        <f t="shared" si="51"/>
        <v>101.5</v>
      </c>
      <c r="Z206" s="23">
        <f t="shared" si="51"/>
        <v>81.199999999999108</v>
      </c>
      <c r="AA206" s="23">
        <f t="shared" si="51"/>
        <v>90.222222222221461</v>
      </c>
      <c r="AB206" s="23">
        <f t="shared" si="51"/>
        <v>95.86111111111012</v>
      </c>
      <c r="AC206" s="24">
        <f t="shared" si="51"/>
        <v>75.561111111111231</v>
      </c>
      <c r="AD206" s="24">
        <f t="shared" si="51"/>
        <v>84.583333333333329</v>
      </c>
      <c r="AE206" s="24">
        <f t="shared" si="51"/>
        <v>90.222222222221461</v>
      </c>
      <c r="AF206" s="25">
        <f t="shared" si="52"/>
        <v>69.922222222221578</v>
      </c>
      <c r="AG206" s="25">
        <f t="shared" si="53"/>
        <v>78.94444444444494</v>
      </c>
      <c r="AH206" s="25">
        <f t="shared" si="54"/>
        <v>84.583333333333329</v>
      </c>
      <c r="AI206" s="26">
        <f t="shared" si="55"/>
        <v>64.283333333333928</v>
      </c>
      <c r="AJ206" s="26">
        <f t="shared" si="56"/>
        <v>73.30555555555506</v>
      </c>
      <c r="AK206" s="26">
        <f t="shared" si="49"/>
        <v>78.94444444444494</v>
      </c>
    </row>
    <row r="207" spans="4:37" ht="20.100000000000001" customHeight="1">
      <c r="D207" s="27">
        <f t="shared" si="48"/>
        <v>0.56666666666666521</v>
      </c>
      <c r="E207" s="16">
        <f t="shared" si="47"/>
        <v>158.66666666666765</v>
      </c>
      <c r="F207" s="16">
        <f t="shared" si="47"/>
        <v>167.7333333333346</v>
      </c>
      <c r="G207" s="16">
        <f t="shared" si="47"/>
        <v>173.39999999999924</v>
      </c>
      <c r="H207" s="17">
        <f t="shared" si="47"/>
        <v>147.33333333333235</v>
      </c>
      <c r="I207" s="17">
        <f t="shared" si="47"/>
        <v>156.39999999999867</v>
      </c>
      <c r="J207" s="17">
        <f t="shared" si="47"/>
        <v>162.06666666666663</v>
      </c>
      <c r="K207" s="18">
        <f t="shared" si="47"/>
        <v>136.00000000000148</v>
      </c>
      <c r="L207" s="18">
        <f t="shared" si="47"/>
        <v>145.06666666666706</v>
      </c>
      <c r="M207" s="18">
        <f t="shared" si="47"/>
        <v>150.73333333333471</v>
      </c>
      <c r="N207" s="19">
        <f t="shared" si="47"/>
        <v>104.26666666666596</v>
      </c>
      <c r="O207" s="19">
        <f t="shared" si="47"/>
        <v>113.33333333333492</v>
      </c>
      <c r="P207" s="19">
        <f t="shared" si="47"/>
        <v>118.99999999999875</v>
      </c>
      <c r="Q207" s="20">
        <f t="shared" si="47"/>
        <v>98.600000000001202</v>
      </c>
      <c r="R207" s="20">
        <f t="shared" si="47"/>
        <v>107.66666666666765</v>
      </c>
      <c r="S207" s="20">
        <f t="shared" si="47"/>
        <v>113.33333333333492</v>
      </c>
      <c r="T207" s="21">
        <f t="shared" si="47"/>
        <v>92.933333333334417</v>
      </c>
      <c r="U207" s="21">
        <f t="shared" si="51"/>
        <v>102</v>
      </c>
      <c r="V207" s="21">
        <f t="shared" si="51"/>
        <v>107.66666666666765</v>
      </c>
      <c r="W207" s="22">
        <f t="shared" si="51"/>
        <v>87.266666666666765</v>
      </c>
      <c r="X207" s="22">
        <f t="shared" si="51"/>
        <v>96.333333333332348</v>
      </c>
      <c r="Y207" s="22">
        <f t="shared" si="51"/>
        <v>102</v>
      </c>
      <c r="Z207" s="23">
        <f t="shared" si="51"/>
        <v>81.599999999999113</v>
      </c>
      <c r="AA207" s="23">
        <f t="shared" si="51"/>
        <v>90.666666666665904</v>
      </c>
      <c r="AB207" s="23">
        <f t="shared" si="51"/>
        <v>96.333333333332348</v>
      </c>
      <c r="AC207" s="24">
        <f t="shared" si="51"/>
        <v>75.933333333333451</v>
      </c>
      <c r="AD207" s="24">
        <f t="shared" si="51"/>
        <v>85</v>
      </c>
      <c r="AE207" s="24">
        <f t="shared" si="51"/>
        <v>90.666666666665904</v>
      </c>
      <c r="AF207" s="25">
        <f t="shared" si="52"/>
        <v>70.266666666666026</v>
      </c>
      <c r="AG207" s="25">
        <f t="shared" si="53"/>
        <v>79.333333333333826</v>
      </c>
      <c r="AH207" s="25">
        <f t="shared" si="54"/>
        <v>85</v>
      </c>
      <c r="AI207" s="26">
        <f t="shared" si="55"/>
        <v>64.600000000000591</v>
      </c>
      <c r="AJ207" s="26">
        <f t="shared" si="56"/>
        <v>73.666666666666174</v>
      </c>
      <c r="AK207" s="26">
        <f t="shared" si="49"/>
        <v>79.333333333333826</v>
      </c>
    </row>
    <row r="208" spans="4:37" ht="20.100000000000001" customHeight="1">
      <c r="D208" s="27">
        <f t="shared" si="48"/>
        <v>0.56944444444444298</v>
      </c>
      <c r="E208" s="16">
        <f t="shared" si="47"/>
        <v>159.44444444444542</v>
      </c>
      <c r="F208" s="16">
        <f t="shared" si="47"/>
        <v>168.55555555555682</v>
      </c>
      <c r="G208" s="16">
        <f t="shared" si="47"/>
        <v>174.24999999999923</v>
      </c>
      <c r="H208" s="17">
        <f t="shared" si="47"/>
        <v>148.05555555555458</v>
      </c>
      <c r="I208" s="17">
        <f t="shared" si="47"/>
        <v>157.16666666666535</v>
      </c>
      <c r="J208" s="17">
        <f t="shared" si="47"/>
        <v>162.86111111111109</v>
      </c>
      <c r="K208" s="18">
        <f t="shared" si="47"/>
        <v>136.66666666666814</v>
      </c>
      <c r="L208" s="18">
        <f t="shared" si="47"/>
        <v>145.77777777777817</v>
      </c>
      <c r="M208" s="18">
        <f t="shared" si="47"/>
        <v>151.47222222222359</v>
      </c>
      <c r="N208" s="19">
        <f t="shared" si="47"/>
        <v>104.77777777777706</v>
      </c>
      <c r="O208" s="19">
        <f t="shared" si="47"/>
        <v>113.88888888889048</v>
      </c>
      <c r="P208" s="19">
        <f t="shared" si="47"/>
        <v>119.58333333333208</v>
      </c>
      <c r="Q208" s="20">
        <f t="shared" si="47"/>
        <v>99.083333333334537</v>
      </c>
      <c r="R208" s="20">
        <f t="shared" si="47"/>
        <v>108.19444444444542</v>
      </c>
      <c r="S208" s="20">
        <f t="shared" si="47"/>
        <v>113.88888888889048</v>
      </c>
      <c r="T208" s="21">
        <f t="shared" si="47"/>
        <v>93.388888888889966</v>
      </c>
      <c r="U208" s="21">
        <f t="shared" si="51"/>
        <v>102.5</v>
      </c>
      <c r="V208" s="21">
        <f t="shared" si="51"/>
        <v>108.19444444444542</v>
      </c>
      <c r="W208" s="22">
        <f t="shared" si="51"/>
        <v>87.694444444444542</v>
      </c>
      <c r="X208" s="22">
        <f t="shared" si="51"/>
        <v>96.805555555554577</v>
      </c>
      <c r="Y208" s="22">
        <f t="shared" si="51"/>
        <v>102.5</v>
      </c>
      <c r="Z208" s="23">
        <f t="shared" si="51"/>
        <v>81.999999999999119</v>
      </c>
      <c r="AA208" s="23">
        <f t="shared" si="51"/>
        <v>91.111111111110347</v>
      </c>
      <c r="AB208" s="23">
        <f t="shared" si="51"/>
        <v>96.805555555554577</v>
      </c>
      <c r="AC208" s="24">
        <f t="shared" si="51"/>
        <v>76.305555555555671</v>
      </c>
      <c r="AD208" s="24">
        <f t="shared" si="51"/>
        <v>85.416666666666671</v>
      </c>
      <c r="AE208" s="24">
        <f t="shared" si="51"/>
        <v>91.111111111110347</v>
      </c>
      <c r="AF208" s="25">
        <f t="shared" si="52"/>
        <v>70.611111111110475</v>
      </c>
      <c r="AG208" s="25">
        <f t="shared" si="53"/>
        <v>79.722222222222712</v>
      </c>
      <c r="AH208" s="25">
        <f t="shared" si="54"/>
        <v>85.416666666666671</v>
      </c>
      <c r="AI208" s="26">
        <f t="shared" si="55"/>
        <v>64.916666666667254</v>
      </c>
      <c r="AJ208" s="26">
        <f t="shared" si="56"/>
        <v>74.027777777777288</v>
      </c>
      <c r="AK208" s="26">
        <f t="shared" si="49"/>
        <v>79.722222222222712</v>
      </c>
    </row>
    <row r="209" spans="4:37" ht="20.100000000000001" customHeight="1">
      <c r="D209" s="27">
        <f t="shared" si="48"/>
        <v>0.57222222222222074</v>
      </c>
      <c r="E209" s="16">
        <f t="shared" si="47"/>
        <v>160.22222222222319</v>
      </c>
      <c r="F209" s="16">
        <f t="shared" si="47"/>
        <v>169.37777777777904</v>
      </c>
      <c r="G209" s="16">
        <f t="shared" si="47"/>
        <v>175.09999999999923</v>
      </c>
      <c r="H209" s="17">
        <f t="shared" si="47"/>
        <v>148.77777777777681</v>
      </c>
      <c r="I209" s="17">
        <f t="shared" si="47"/>
        <v>157.93333333333203</v>
      </c>
      <c r="J209" s="17">
        <f t="shared" si="47"/>
        <v>163.65555555555554</v>
      </c>
      <c r="K209" s="18">
        <f t="shared" si="47"/>
        <v>137.33333333333479</v>
      </c>
      <c r="L209" s="18">
        <f t="shared" si="47"/>
        <v>146.48888888888928</v>
      </c>
      <c r="M209" s="18">
        <f t="shared" si="47"/>
        <v>152.21111111111247</v>
      </c>
      <c r="N209" s="19">
        <f t="shared" si="47"/>
        <v>105.28888888888817</v>
      </c>
      <c r="O209" s="19">
        <f t="shared" si="47"/>
        <v>114.44444444444603</v>
      </c>
      <c r="P209" s="19">
        <f t="shared" si="47"/>
        <v>120.16666666666541</v>
      </c>
      <c r="Q209" s="20">
        <f t="shared" si="47"/>
        <v>99.566666666667871</v>
      </c>
      <c r="R209" s="20">
        <f t="shared" si="47"/>
        <v>108.72222222222319</v>
      </c>
      <c r="S209" s="20">
        <f t="shared" si="47"/>
        <v>114.44444444444603</v>
      </c>
      <c r="T209" s="21">
        <f>T210-(T$363/360)</f>
        <v>93.844444444445514</v>
      </c>
      <c r="U209" s="21">
        <f t="shared" si="51"/>
        <v>103</v>
      </c>
      <c r="V209" s="21">
        <f t="shared" si="51"/>
        <v>108.72222222222319</v>
      </c>
      <c r="W209" s="22">
        <f t="shared" si="51"/>
        <v>88.122222222222319</v>
      </c>
      <c r="X209" s="22">
        <f t="shared" si="51"/>
        <v>97.277777777776805</v>
      </c>
      <c r="Y209" s="22">
        <f t="shared" si="51"/>
        <v>103</v>
      </c>
      <c r="Z209" s="23">
        <f t="shared" si="51"/>
        <v>82.399999999999125</v>
      </c>
      <c r="AA209" s="23">
        <f t="shared" si="51"/>
        <v>91.55555555555479</v>
      </c>
      <c r="AB209" s="23">
        <f t="shared" si="51"/>
        <v>97.277777777776805</v>
      </c>
      <c r="AC209" s="24">
        <f t="shared" si="51"/>
        <v>76.677777777777891</v>
      </c>
      <c r="AD209" s="24">
        <f t="shared" si="51"/>
        <v>85.833333333333343</v>
      </c>
      <c r="AE209" s="24">
        <f t="shared" si="51"/>
        <v>91.55555555555479</v>
      </c>
      <c r="AF209" s="25">
        <f t="shared" si="52"/>
        <v>70.955555555554923</v>
      </c>
      <c r="AG209" s="25">
        <f t="shared" si="53"/>
        <v>80.111111111111597</v>
      </c>
      <c r="AH209" s="25">
        <f t="shared" si="54"/>
        <v>85.833333333333343</v>
      </c>
      <c r="AI209" s="26">
        <f t="shared" si="55"/>
        <v>65.233333333333917</v>
      </c>
      <c r="AJ209" s="26">
        <f t="shared" si="56"/>
        <v>74.388888888888403</v>
      </c>
      <c r="AK209" s="26">
        <f t="shared" si="49"/>
        <v>80.111111111111597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161.00000000000097</v>
      </c>
      <c r="F210" s="16">
        <f t="shared" si="57"/>
        <v>170.20000000000127</v>
      </c>
      <c r="G210" s="16">
        <f t="shared" si="57"/>
        <v>175.94999999999922</v>
      </c>
      <c r="H210" s="17">
        <f t="shared" si="57"/>
        <v>149.49999999999903</v>
      </c>
      <c r="I210" s="17">
        <f t="shared" si="57"/>
        <v>158.69999999999871</v>
      </c>
      <c r="J210" s="17">
        <f t="shared" si="57"/>
        <v>164.45</v>
      </c>
      <c r="K210" s="18">
        <f t="shared" si="57"/>
        <v>138.00000000000145</v>
      </c>
      <c r="L210" s="18">
        <f t="shared" si="57"/>
        <v>147.20000000000039</v>
      </c>
      <c r="M210" s="18">
        <f t="shared" si="57"/>
        <v>152.95000000000135</v>
      </c>
      <c r="N210" s="19">
        <f t="shared" si="57"/>
        <v>105.79999999999927</v>
      </c>
      <c r="O210" s="19">
        <f t="shared" si="57"/>
        <v>115.00000000000159</v>
      </c>
      <c r="P210" s="19">
        <f t="shared" si="57"/>
        <v>120.74999999999874</v>
      </c>
      <c r="Q210" s="20">
        <f t="shared" si="57"/>
        <v>100.05000000000121</v>
      </c>
      <c r="R210" s="20">
        <f t="shared" si="57"/>
        <v>109.25000000000097</v>
      </c>
      <c r="S210" s="20">
        <f t="shared" si="57"/>
        <v>115.00000000000159</v>
      </c>
      <c r="T210" s="21">
        <f t="shared" si="57"/>
        <v>94.300000000001063</v>
      </c>
      <c r="U210" s="21">
        <f t="shared" si="51"/>
        <v>103.5</v>
      </c>
      <c r="V210" s="21">
        <f t="shared" si="51"/>
        <v>109.25000000000097</v>
      </c>
      <c r="W210" s="22">
        <f t="shared" si="51"/>
        <v>88.550000000000097</v>
      </c>
      <c r="X210" s="22">
        <f t="shared" si="51"/>
        <v>97.749999999999034</v>
      </c>
      <c r="Y210" s="22">
        <f t="shared" si="51"/>
        <v>103.5</v>
      </c>
      <c r="Z210" s="23">
        <f t="shared" si="51"/>
        <v>82.79999999999913</v>
      </c>
      <c r="AA210" s="23">
        <f t="shared" si="51"/>
        <v>91.999999999999233</v>
      </c>
      <c r="AB210" s="23">
        <f t="shared" si="51"/>
        <v>97.749999999999034</v>
      </c>
      <c r="AC210" s="24">
        <f t="shared" si="51"/>
        <v>77.050000000000111</v>
      </c>
      <c r="AD210" s="24">
        <f t="shared" si="51"/>
        <v>86.250000000000014</v>
      </c>
      <c r="AE210" s="24">
        <f t="shared" si="51"/>
        <v>91.999999999999233</v>
      </c>
      <c r="AF210" s="25">
        <f t="shared" si="52"/>
        <v>71.299999999999372</v>
      </c>
      <c r="AG210" s="25">
        <f t="shared" si="53"/>
        <v>80.500000000000483</v>
      </c>
      <c r="AH210" s="25">
        <f t="shared" si="54"/>
        <v>86.250000000000014</v>
      </c>
      <c r="AI210" s="26">
        <f t="shared" si="55"/>
        <v>65.55000000000058</v>
      </c>
      <c r="AJ210" s="26">
        <f t="shared" si="56"/>
        <v>74.749999999999517</v>
      </c>
      <c r="AK210" s="26">
        <f t="shared" si="49"/>
        <v>80.500000000000483</v>
      </c>
    </row>
    <row r="211" spans="4:37" ht="20.100000000000001" customHeight="1">
      <c r="D211" s="27">
        <f t="shared" si="48"/>
        <v>0.57777777777777628</v>
      </c>
      <c r="E211" s="16">
        <f t="shared" si="57"/>
        <v>161.77777777777874</v>
      </c>
      <c r="F211" s="16">
        <f t="shared" si="57"/>
        <v>171.02222222222349</v>
      </c>
      <c r="G211" s="16">
        <f t="shared" si="57"/>
        <v>176.79999999999922</v>
      </c>
      <c r="H211" s="17">
        <f t="shared" si="57"/>
        <v>150.22222222222126</v>
      </c>
      <c r="I211" s="17">
        <f t="shared" si="57"/>
        <v>159.46666666666539</v>
      </c>
      <c r="J211" s="17">
        <f t="shared" si="57"/>
        <v>165.24444444444444</v>
      </c>
      <c r="K211" s="18">
        <f t="shared" si="57"/>
        <v>138.66666666666811</v>
      </c>
      <c r="L211" s="18">
        <f t="shared" si="57"/>
        <v>147.9111111111115</v>
      </c>
      <c r="M211" s="18">
        <f t="shared" si="57"/>
        <v>153.68888888889023</v>
      </c>
      <c r="N211" s="19">
        <f t="shared" si="57"/>
        <v>106.31111111111038</v>
      </c>
      <c r="O211" s="19">
        <f t="shared" si="57"/>
        <v>115.55555555555715</v>
      </c>
      <c r="P211" s="19">
        <f t="shared" si="57"/>
        <v>121.33333333333206</v>
      </c>
      <c r="Q211" s="20">
        <f t="shared" si="57"/>
        <v>100.53333333333454</v>
      </c>
      <c r="R211" s="20">
        <f t="shared" si="57"/>
        <v>109.77777777777874</v>
      </c>
      <c r="S211" s="20">
        <f t="shared" si="57"/>
        <v>115.55555555555715</v>
      </c>
      <c r="T211" s="21">
        <f t="shared" si="57"/>
        <v>94.755555555556612</v>
      </c>
      <c r="U211" s="21">
        <f t="shared" si="51"/>
        <v>104</v>
      </c>
      <c r="V211" s="21">
        <f t="shared" si="51"/>
        <v>109.77777777777874</v>
      </c>
      <c r="W211" s="22">
        <f t="shared" si="51"/>
        <v>88.977777777777874</v>
      </c>
      <c r="X211" s="22">
        <f t="shared" si="51"/>
        <v>98.222222222221262</v>
      </c>
      <c r="Y211" s="22">
        <f t="shared" si="51"/>
        <v>104</v>
      </c>
      <c r="Z211" s="23">
        <f t="shared" si="51"/>
        <v>83.199999999999136</v>
      </c>
      <c r="AA211" s="23">
        <f t="shared" si="51"/>
        <v>92.444444444443675</v>
      </c>
      <c r="AB211" s="23">
        <f t="shared" si="51"/>
        <v>98.222222222221262</v>
      </c>
      <c r="AC211" s="24">
        <f t="shared" si="51"/>
        <v>77.422222222222331</v>
      </c>
      <c r="AD211" s="24">
        <f t="shared" si="51"/>
        <v>86.666666666666686</v>
      </c>
      <c r="AE211" s="24">
        <f t="shared" si="51"/>
        <v>92.444444444443675</v>
      </c>
      <c r="AF211" s="25">
        <f t="shared" si="52"/>
        <v>71.64444444444382</v>
      </c>
      <c r="AG211" s="25">
        <f t="shared" si="53"/>
        <v>80.888888888889369</v>
      </c>
      <c r="AH211" s="25">
        <f t="shared" si="54"/>
        <v>86.666666666666686</v>
      </c>
      <c r="AI211" s="26">
        <f t="shared" si="55"/>
        <v>65.866666666667243</v>
      </c>
      <c r="AJ211" s="26">
        <f t="shared" si="56"/>
        <v>75.111111111110631</v>
      </c>
      <c r="AK211" s="26">
        <f t="shared" si="49"/>
        <v>80.888888888889369</v>
      </c>
    </row>
    <row r="212" spans="4:37" ht="20.100000000000001" customHeight="1">
      <c r="D212" s="27">
        <f t="shared" si="48"/>
        <v>0.58055555555555405</v>
      </c>
      <c r="E212" s="16">
        <f t="shared" si="57"/>
        <v>162.55555555555651</v>
      </c>
      <c r="F212" s="16">
        <f t="shared" si="57"/>
        <v>171.84444444444571</v>
      </c>
      <c r="G212" s="16">
        <f t="shared" si="57"/>
        <v>177.64999999999921</v>
      </c>
      <c r="H212" s="17">
        <f t="shared" si="57"/>
        <v>150.94444444444349</v>
      </c>
      <c r="I212" s="17">
        <f t="shared" si="57"/>
        <v>160.23333333333207</v>
      </c>
      <c r="J212" s="17">
        <f t="shared" si="57"/>
        <v>166.03888888888889</v>
      </c>
      <c r="K212" s="18">
        <f t="shared" si="57"/>
        <v>139.33333333333476</v>
      </c>
      <c r="L212" s="18">
        <f t="shared" si="57"/>
        <v>148.6222222222226</v>
      </c>
      <c r="M212" s="18">
        <f t="shared" si="57"/>
        <v>154.42777777777911</v>
      </c>
      <c r="N212" s="19">
        <f t="shared" si="57"/>
        <v>106.82222222222148</v>
      </c>
      <c r="O212" s="19">
        <f t="shared" si="57"/>
        <v>116.11111111111271</v>
      </c>
      <c r="P212" s="19">
        <f t="shared" si="57"/>
        <v>121.91666666666539</v>
      </c>
      <c r="Q212" s="20">
        <f t="shared" si="57"/>
        <v>101.01666666666787</v>
      </c>
      <c r="R212" s="20">
        <f t="shared" si="57"/>
        <v>110.30555555555651</v>
      </c>
      <c r="S212" s="20">
        <f t="shared" si="57"/>
        <v>116.11111111111271</v>
      </c>
      <c r="T212" s="21">
        <f t="shared" si="57"/>
        <v>95.21111111111216</v>
      </c>
      <c r="U212" s="21">
        <f t="shared" si="51"/>
        <v>104.5</v>
      </c>
      <c r="V212" s="21">
        <f t="shared" si="51"/>
        <v>110.30555555555651</v>
      </c>
      <c r="W212" s="22">
        <f t="shared" si="51"/>
        <v>89.405555555555651</v>
      </c>
      <c r="X212" s="22">
        <f t="shared" si="51"/>
        <v>98.694444444443491</v>
      </c>
      <c r="Y212" s="22">
        <f t="shared" si="51"/>
        <v>104.5</v>
      </c>
      <c r="Z212" s="23">
        <f t="shared" si="51"/>
        <v>83.599999999999142</v>
      </c>
      <c r="AA212" s="23">
        <f t="shared" si="51"/>
        <v>92.888888888888118</v>
      </c>
      <c r="AB212" s="23">
        <f t="shared" si="51"/>
        <v>98.694444444443491</v>
      </c>
      <c r="AC212" s="24">
        <f t="shared" si="51"/>
        <v>77.794444444444551</v>
      </c>
      <c r="AD212" s="24">
        <f t="shared" si="51"/>
        <v>87.083333333333357</v>
      </c>
      <c r="AE212" s="24">
        <f t="shared" si="51"/>
        <v>92.888888888888118</v>
      </c>
      <c r="AF212" s="25">
        <f t="shared" si="52"/>
        <v>71.988888888888269</v>
      </c>
      <c r="AG212" s="25">
        <f t="shared" si="53"/>
        <v>81.277777777778255</v>
      </c>
      <c r="AH212" s="25">
        <f t="shared" si="54"/>
        <v>87.083333333333357</v>
      </c>
      <c r="AI212" s="26">
        <f t="shared" si="55"/>
        <v>66.183333333333906</v>
      </c>
      <c r="AJ212" s="26">
        <f t="shared" si="56"/>
        <v>75.472222222221745</v>
      </c>
      <c r="AK212" s="26">
        <f t="shared" si="49"/>
        <v>81.277777777778255</v>
      </c>
    </row>
    <row r="213" spans="4:37" ht="20.100000000000001" customHeight="1">
      <c r="D213" s="27">
        <f t="shared" si="48"/>
        <v>0.58333333333333182</v>
      </c>
      <c r="E213" s="16">
        <f t="shared" si="57"/>
        <v>163.33333333333428</v>
      </c>
      <c r="F213" s="16">
        <f t="shared" si="57"/>
        <v>172.66666666666794</v>
      </c>
      <c r="G213" s="16">
        <f t="shared" si="57"/>
        <v>178.4999999999992</v>
      </c>
      <c r="H213" s="17">
        <f t="shared" si="57"/>
        <v>151.66666666666572</v>
      </c>
      <c r="I213" s="17">
        <f t="shared" si="57"/>
        <v>160.99999999999875</v>
      </c>
      <c r="J213" s="17">
        <f t="shared" si="57"/>
        <v>166.83333333333334</v>
      </c>
      <c r="K213" s="18">
        <f t="shared" si="57"/>
        <v>140.00000000000142</v>
      </c>
      <c r="L213" s="18">
        <f t="shared" si="57"/>
        <v>149.33333333333371</v>
      </c>
      <c r="M213" s="18">
        <f t="shared" si="57"/>
        <v>155.16666666666799</v>
      </c>
      <c r="N213" s="19">
        <f t="shared" si="57"/>
        <v>107.33333333333259</v>
      </c>
      <c r="O213" s="19">
        <f t="shared" si="57"/>
        <v>116.66666666666826</v>
      </c>
      <c r="P213" s="19">
        <f t="shared" si="57"/>
        <v>122.49999999999872</v>
      </c>
      <c r="Q213" s="20">
        <f t="shared" si="57"/>
        <v>101.50000000000121</v>
      </c>
      <c r="R213" s="20">
        <f t="shared" si="57"/>
        <v>110.83333333333428</v>
      </c>
      <c r="S213" s="20">
        <f t="shared" si="57"/>
        <v>116.66666666666826</v>
      </c>
      <c r="T213" s="21">
        <f t="shared" si="57"/>
        <v>95.666666666667709</v>
      </c>
      <c r="U213" s="21">
        <f t="shared" si="51"/>
        <v>105</v>
      </c>
      <c r="V213" s="21">
        <f t="shared" si="51"/>
        <v>110.83333333333428</v>
      </c>
      <c r="W213" s="22">
        <f t="shared" si="51"/>
        <v>89.833333333333428</v>
      </c>
      <c r="X213" s="22">
        <f t="shared" si="51"/>
        <v>99.166666666665719</v>
      </c>
      <c r="Y213" s="22">
        <f t="shared" si="51"/>
        <v>105</v>
      </c>
      <c r="Z213" s="23">
        <f t="shared" si="51"/>
        <v>83.999999999999147</v>
      </c>
      <c r="AA213" s="23">
        <f t="shared" si="51"/>
        <v>93.333333333332561</v>
      </c>
      <c r="AB213" s="23">
        <f t="shared" si="51"/>
        <v>99.166666666665719</v>
      </c>
      <c r="AC213" s="24">
        <f t="shared" si="51"/>
        <v>78.166666666666771</v>
      </c>
      <c r="AD213" s="24">
        <f t="shared" si="51"/>
        <v>87.500000000000028</v>
      </c>
      <c r="AE213" s="24">
        <f t="shared" si="51"/>
        <v>93.333333333332561</v>
      </c>
      <c r="AF213" s="25">
        <f t="shared" si="52"/>
        <v>72.333333333332718</v>
      </c>
      <c r="AG213" s="25">
        <f t="shared" si="53"/>
        <v>81.66666666666714</v>
      </c>
      <c r="AH213" s="25">
        <f t="shared" si="54"/>
        <v>87.500000000000028</v>
      </c>
      <c r="AI213" s="26">
        <f t="shared" si="55"/>
        <v>66.500000000000568</v>
      </c>
      <c r="AJ213" s="26">
        <f t="shared" si="56"/>
        <v>75.83333333333286</v>
      </c>
      <c r="AK213" s="26">
        <f t="shared" si="49"/>
        <v>81.66666666666714</v>
      </c>
    </row>
    <row r="214" spans="4:37" ht="20.100000000000001" customHeight="1">
      <c r="D214" s="27">
        <f t="shared" si="48"/>
        <v>0.58611111111110958</v>
      </c>
      <c r="E214" s="16">
        <f t="shared" si="57"/>
        <v>164.11111111111205</v>
      </c>
      <c r="F214" s="16">
        <f t="shared" si="57"/>
        <v>173.48888888889016</v>
      </c>
      <c r="G214" s="16">
        <f t="shared" si="57"/>
        <v>179.3499999999992</v>
      </c>
      <c r="H214" s="17">
        <f t="shared" si="57"/>
        <v>152.38888888888795</v>
      </c>
      <c r="I214" s="17">
        <f t="shared" si="57"/>
        <v>161.76666666666543</v>
      </c>
      <c r="J214" s="17">
        <f t="shared" si="57"/>
        <v>167.62777777777779</v>
      </c>
      <c r="K214" s="18">
        <f t="shared" si="57"/>
        <v>140.66666666666808</v>
      </c>
      <c r="L214" s="18">
        <f t="shared" si="57"/>
        <v>150.04444444444482</v>
      </c>
      <c r="M214" s="18">
        <f t="shared" si="57"/>
        <v>155.90555555555687</v>
      </c>
      <c r="N214" s="19">
        <f t="shared" si="57"/>
        <v>107.8444444444437</v>
      </c>
      <c r="O214" s="19">
        <f t="shared" si="57"/>
        <v>117.22222222222382</v>
      </c>
      <c r="P214" s="19">
        <f t="shared" si="57"/>
        <v>123.08333333333205</v>
      </c>
      <c r="Q214" s="20">
        <f t="shared" si="57"/>
        <v>101.98333333333454</v>
      </c>
      <c r="R214" s="20">
        <f t="shared" si="57"/>
        <v>111.36111111111205</v>
      </c>
      <c r="S214" s="20">
        <f t="shared" si="57"/>
        <v>117.22222222222382</v>
      </c>
      <c r="T214" s="21">
        <f t="shared" si="57"/>
        <v>96.122222222223257</v>
      </c>
      <c r="U214" s="21">
        <f t="shared" si="51"/>
        <v>105.5</v>
      </c>
      <c r="V214" s="21">
        <f t="shared" si="51"/>
        <v>111.36111111111205</v>
      </c>
      <c r="W214" s="22">
        <f t="shared" si="51"/>
        <v>90.261111111111205</v>
      </c>
      <c r="X214" s="22">
        <f t="shared" si="51"/>
        <v>99.638888888887948</v>
      </c>
      <c r="Y214" s="22">
        <f t="shared" si="51"/>
        <v>105.5</v>
      </c>
      <c r="Z214" s="23">
        <f t="shared" si="51"/>
        <v>84.399999999999153</v>
      </c>
      <c r="AA214" s="23">
        <f t="shared" si="51"/>
        <v>93.777777777777004</v>
      </c>
      <c r="AB214" s="23">
        <f t="shared" si="51"/>
        <v>99.638888888887948</v>
      </c>
      <c r="AC214" s="24">
        <f t="shared" si="51"/>
        <v>78.538888888888991</v>
      </c>
      <c r="AD214" s="24">
        <f t="shared" si="51"/>
        <v>87.9166666666667</v>
      </c>
      <c r="AE214" s="24">
        <f t="shared" si="51"/>
        <v>93.777777777777004</v>
      </c>
      <c r="AF214" s="25">
        <f t="shared" si="52"/>
        <v>72.677777777777166</v>
      </c>
      <c r="AG214" s="25">
        <f t="shared" si="53"/>
        <v>82.055555555556026</v>
      </c>
      <c r="AH214" s="25">
        <f t="shared" si="54"/>
        <v>87.9166666666667</v>
      </c>
      <c r="AI214" s="26">
        <f t="shared" si="55"/>
        <v>66.816666666667231</v>
      </c>
      <c r="AJ214" s="26">
        <f t="shared" si="56"/>
        <v>76.194444444443974</v>
      </c>
      <c r="AK214" s="26">
        <f t="shared" si="49"/>
        <v>82.055555555556026</v>
      </c>
    </row>
    <row r="215" spans="4:37" ht="20.100000000000001" customHeight="1">
      <c r="D215" s="27">
        <f t="shared" si="48"/>
        <v>0.58888888888888735</v>
      </c>
      <c r="E215" s="16">
        <f t="shared" si="57"/>
        <v>164.88888888888982</v>
      </c>
      <c r="F215" s="16">
        <f t="shared" si="57"/>
        <v>174.31111111111238</v>
      </c>
      <c r="G215" s="16">
        <f t="shared" si="57"/>
        <v>180.19999999999919</v>
      </c>
      <c r="H215" s="17">
        <f t="shared" si="57"/>
        <v>153.11111111111018</v>
      </c>
      <c r="I215" s="17">
        <f t="shared" si="57"/>
        <v>162.53333333333211</v>
      </c>
      <c r="J215" s="17">
        <f t="shared" si="57"/>
        <v>168.42222222222225</v>
      </c>
      <c r="K215" s="18">
        <f t="shared" si="57"/>
        <v>141.33333333333474</v>
      </c>
      <c r="L215" s="18">
        <f t="shared" si="57"/>
        <v>150.75555555555593</v>
      </c>
      <c r="M215" s="18">
        <f t="shared" si="57"/>
        <v>156.64444444444575</v>
      </c>
      <c r="N215" s="19">
        <f t="shared" si="57"/>
        <v>108.3555555555548</v>
      </c>
      <c r="O215" s="19">
        <f t="shared" si="57"/>
        <v>117.77777777777938</v>
      </c>
      <c r="P215" s="19">
        <f t="shared" si="57"/>
        <v>123.66666666666538</v>
      </c>
      <c r="Q215" s="20">
        <f t="shared" si="57"/>
        <v>102.46666666666788</v>
      </c>
      <c r="R215" s="20">
        <f t="shared" si="57"/>
        <v>111.88888888888982</v>
      </c>
      <c r="S215" s="20">
        <f t="shared" si="57"/>
        <v>117.77777777777938</v>
      </c>
      <c r="T215" s="21">
        <f t="shared" si="57"/>
        <v>96.577777777778806</v>
      </c>
      <c r="U215" s="21">
        <f t="shared" si="51"/>
        <v>106</v>
      </c>
      <c r="V215" s="21">
        <f t="shared" si="51"/>
        <v>111.88888888888982</v>
      </c>
      <c r="W215" s="22">
        <f t="shared" si="51"/>
        <v>90.688888888888982</v>
      </c>
      <c r="X215" s="22">
        <f t="shared" si="51"/>
        <v>100.11111111111018</v>
      </c>
      <c r="Y215" s="22">
        <f t="shared" si="51"/>
        <v>106</v>
      </c>
      <c r="Z215" s="23">
        <f t="shared" si="51"/>
        <v>84.799999999999159</v>
      </c>
      <c r="AA215" s="23">
        <f t="shared" si="51"/>
        <v>94.222222222221447</v>
      </c>
      <c r="AB215" s="23">
        <f t="shared" si="51"/>
        <v>100.11111111111018</v>
      </c>
      <c r="AC215" s="24">
        <f t="shared" si="51"/>
        <v>78.911111111111211</v>
      </c>
      <c r="AD215" s="24">
        <f t="shared" si="51"/>
        <v>88.333333333333371</v>
      </c>
      <c r="AE215" s="24">
        <f t="shared" si="51"/>
        <v>94.222222222221447</v>
      </c>
      <c r="AF215" s="25">
        <f t="shared" si="51"/>
        <v>73.022222222221615</v>
      </c>
      <c r="AG215" s="25">
        <f t="shared" si="51"/>
        <v>82.444444444444912</v>
      </c>
      <c r="AH215" s="25">
        <f t="shared" ref="AH215:AJ216" si="58">AH216-(AH$363/360)</f>
        <v>88.333333333333371</v>
      </c>
      <c r="AI215" s="26">
        <f t="shared" si="58"/>
        <v>67.133333333333894</v>
      </c>
      <c r="AJ215" s="26">
        <f t="shared" si="58"/>
        <v>76.555555555555088</v>
      </c>
      <c r="AK215" s="26">
        <f t="shared" si="49"/>
        <v>82.444444444444912</v>
      </c>
    </row>
    <row r="216" spans="4:37" ht="20.100000000000001" customHeight="1">
      <c r="D216" s="27">
        <f t="shared" si="48"/>
        <v>0.59166666666666512</v>
      </c>
      <c r="E216" s="16">
        <f t="shared" si="57"/>
        <v>165.6666666666676</v>
      </c>
      <c r="F216" s="16">
        <f t="shared" si="57"/>
        <v>175.1333333333346</v>
      </c>
      <c r="G216" s="16">
        <f t="shared" si="57"/>
        <v>181.04999999999919</v>
      </c>
      <c r="H216" s="17">
        <f t="shared" si="57"/>
        <v>153.8333333333324</v>
      </c>
      <c r="I216" s="17">
        <f t="shared" si="57"/>
        <v>163.29999999999879</v>
      </c>
      <c r="J216" s="17">
        <f t="shared" si="57"/>
        <v>169.2166666666667</v>
      </c>
      <c r="K216" s="18">
        <f t="shared" si="57"/>
        <v>142.00000000000139</v>
      </c>
      <c r="L216" s="18">
        <f t="shared" si="57"/>
        <v>151.46666666666704</v>
      </c>
      <c r="M216" s="18">
        <f t="shared" si="57"/>
        <v>157.38333333333463</v>
      </c>
      <c r="N216" s="19">
        <f t="shared" si="57"/>
        <v>108.86666666666591</v>
      </c>
      <c r="O216" s="19">
        <f t="shared" si="57"/>
        <v>118.33333333333493</v>
      </c>
      <c r="P216" s="19">
        <f t="shared" si="57"/>
        <v>124.24999999999871</v>
      </c>
      <c r="Q216" s="20">
        <f t="shared" si="57"/>
        <v>102.95000000000121</v>
      </c>
      <c r="R216" s="20">
        <f t="shared" si="57"/>
        <v>112.4166666666676</v>
      </c>
      <c r="S216" s="20">
        <f t="shared" si="57"/>
        <v>118.33333333333493</v>
      </c>
      <c r="T216" s="21">
        <f t="shared" si="57"/>
        <v>97.033333333334355</v>
      </c>
      <c r="U216" s="21">
        <f t="shared" si="51"/>
        <v>106.5</v>
      </c>
      <c r="V216" s="21">
        <f t="shared" si="51"/>
        <v>112.4166666666676</v>
      </c>
      <c r="W216" s="22">
        <f t="shared" si="51"/>
        <v>91.11666666666676</v>
      </c>
      <c r="X216" s="22">
        <f t="shared" si="51"/>
        <v>100.5833333333324</v>
      </c>
      <c r="Y216" s="22">
        <f t="shared" si="51"/>
        <v>106.5</v>
      </c>
      <c r="Z216" s="23">
        <f t="shared" si="51"/>
        <v>85.199999999999164</v>
      </c>
      <c r="AA216" s="23">
        <f t="shared" si="51"/>
        <v>94.66666666666589</v>
      </c>
      <c r="AB216" s="23">
        <f t="shared" si="51"/>
        <v>100.5833333333324</v>
      </c>
      <c r="AC216" s="24">
        <f t="shared" si="51"/>
        <v>79.283333333333431</v>
      </c>
      <c r="AD216" s="24">
        <f t="shared" si="51"/>
        <v>88.750000000000043</v>
      </c>
      <c r="AE216" s="24">
        <f t="shared" si="51"/>
        <v>94.66666666666589</v>
      </c>
      <c r="AF216" s="25">
        <f t="shared" si="51"/>
        <v>73.366666666666063</v>
      </c>
      <c r="AG216" s="25">
        <f t="shared" si="51"/>
        <v>82.833333333333798</v>
      </c>
      <c r="AH216" s="25">
        <f t="shared" si="58"/>
        <v>88.750000000000043</v>
      </c>
      <c r="AI216" s="26">
        <f t="shared" si="58"/>
        <v>67.450000000000557</v>
      </c>
      <c r="AJ216" s="26">
        <f t="shared" si="58"/>
        <v>76.916666666666202</v>
      </c>
      <c r="AK216" s="26">
        <f t="shared" si="49"/>
        <v>82.833333333333798</v>
      </c>
    </row>
    <row r="217" spans="4:37" ht="20.100000000000001" customHeight="1">
      <c r="D217" s="27">
        <f t="shared" si="48"/>
        <v>0.59444444444444289</v>
      </c>
      <c r="E217" s="16">
        <f t="shared" si="57"/>
        <v>166.44444444444537</v>
      </c>
      <c r="F217" s="16">
        <f t="shared" si="57"/>
        <v>175.95555555555683</v>
      </c>
      <c r="G217" s="16">
        <f t="shared" si="57"/>
        <v>181.89999999999918</v>
      </c>
      <c r="H217" s="17">
        <f t="shared" si="57"/>
        <v>154.55555555555463</v>
      </c>
      <c r="I217" s="17">
        <f t="shared" si="57"/>
        <v>164.06666666666547</v>
      </c>
      <c r="J217" s="17">
        <f t="shared" si="57"/>
        <v>170.01111111111115</v>
      </c>
      <c r="K217" s="18">
        <f t="shared" si="57"/>
        <v>142.66666666666805</v>
      </c>
      <c r="L217" s="18">
        <f t="shared" si="57"/>
        <v>152.17777777777815</v>
      </c>
      <c r="M217" s="18">
        <f t="shared" si="57"/>
        <v>158.12222222222351</v>
      </c>
      <c r="N217" s="19">
        <f t="shared" si="57"/>
        <v>109.37777777777701</v>
      </c>
      <c r="O217" s="19">
        <f t="shared" si="57"/>
        <v>118.88888888889049</v>
      </c>
      <c r="P217" s="19">
        <f t="shared" si="57"/>
        <v>124.83333333333204</v>
      </c>
      <c r="Q217" s="20">
        <f t="shared" si="57"/>
        <v>103.43333333333455</v>
      </c>
      <c r="R217" s="20">
        <f t="shared" si="57"/>
        <v>112.94444444444537</v>
      </c>
      <c r="S217" s="20">
        <f t="shared" si="57"/>
        <v>118.88888888889049</v>
      </c>
      <c r="T217" s="21">
        <f t="shared" si="57"/>
        <v>97.488888888889903</v>
      </c>
      <c r="U217" s="21">
        <f t="shared" si="51"/>
        <v>107</v>
      </c>
      <c r="V217" s="21">
        <f t="shared" si="51"/>
        <v>112.94444444444537</v>
      </c>
      <c r="W217" s="22">
        <f t="shared" si="51"/>
        <v>91.544444444444537</v>
      </c>
      <c r="X217" s="22">
        <f t="shared" si="51"/>
        <v>101.05555555555463</v>
      </c>
      <c r="Y217" s="22">
        <f t="shared" si="51"/>
        <v>107</v>
      </c>
      <c r="Z217" s="23">
        <f t="shared" si="51"/>
        <v>85.59999999999917</v>
      </c>
      <c r="AA217" s="23">
        <f t="shared" si="51"/>
        <v>95.111111111110333</v>
      </c>
      <c r="AB217" s="23">
        <f t="shared" si="51"/>
        <v>101.05555555555463</v>
      </c>
      <c r="AC217" s="24">
        <f t="shared" si="51"/>
        <v>79.655555555555651</v>
      </c>
      <c r="AD217" s="24">
        <f t="shared" si="51"/>
        <v>89.166666666666714</v>
      </c>
      <c r="AE217" s="24">
        <f t="shared" si="51"/>
        <v>95.111111111110333</v>
      </c>
      <c r="AF217" s="25">
        <f t="shared" si="51"/>
        <v>73.711111111110512</v>
      </c>
      <c r="AG217" s="25">
        <f t="shared" si="51"/>
        <v>83.222222222222683</v>
      </c>
      <c r="AH217" s="25">
        <f t="shared" si="51"/>
        <v>89.166666666666714</v>
      </c>
      <c r="AI217" s="26">
        <f t="shared" si="51"/>
        <v>67.76666666666722</v>
      </c>
      <c r="AJ217" s="26">
        <f t="shared" ref="AJ217:AJ233" si="59">AJ218-(AJ$363/360)</f>
        <v>77.277777777777317</v>
      </c>
      <c r="AK217" s="26">
        <f t="shared" si="49"/>
        <v>83.222222222222683</v>
      </c>
    </row>
    <row r="218" spans="4:37" ht="20.100000000000001" customHeight="1">
      <c r="D218" s="27">
        <f t="shared" si="48"/>
        <v>0.59722222222222066</v>
      </c>
      <c r="E218" s="16">
        <f t="shared" si="57"/>
        <v>167.22222222222314</v>
      </c>
      <c r="F218" s="16">
        <f t="shared" si="57"/>
        <v>176.77777777777905</v>
      </c>
      <c r="G218" s="16">
        <f t="shared" si="57"/>
        <v>182.74999999999918</v>
      </c>
      <c r="H218" s="17">
        <f t="shared" si="57"/>
        <v>155.27777777777686</v>
      </c>
      <c r="I218" s="17">
        <f t="shared" si="57"/>
        <v>164.83333333333215</v>
      </c>
      <c r="J218" s="17">
        <f t="shared" si="57"/>
        <v>170.8055555555556</v>
      </c>
      <c r="K218" s="18">
        <f t="shared" si="57"/>
        <v>143.33333333333471</v>
      </c>
      <c r="L218" s="18">
        <f t="shared" si="57"/>
        <v>152.88888888888926</v>
      </c>
      <c r="M218" s="18">
        <f t="shared" si="57"/>
        <v>158.86111111111239</v>
      </c>
      <c r="N218" s="19">
        <f t="shared" si="57"/>
        <v>109.88888888888812</v>
      </c>
      <c r="O218" s="19">
        <f t="shared" si="57"/>
        <v>119.44444444444605</v>
      </c>
      <c r="P218" s="19">
        <f t="shared" si="57"/>
        <v>125.41666666666536</v>
      </c>
      <c r="Q218" s="20">
        <f t="shared" si="57"/>
        <v>103.91666666666788</v>
      </c>
      <c r="R218" s="20">
        <f t="shared" si="57"/>
        <v>113.47222222222314</v>
      </c>
      <c r="S218" s="20">
        <f t="shared" si="57"/>
        <v>119.44444444444605</v>
      </c>
      <c r="T218" s="21">
        <f t="shared" si="57"/>
        <v>97.944444444445452</v>
      </c>
      <c r="U218" s="21">
        <f t="shared" si="51"/>
        <v>107.5</v>
      </c>
      <c r="V218" s="21">
        <f t="shared" si="51"/>
        <v>113.47222222222314</v>
      </c>
      <c r="W218" s="22">
        <f t="shared" si="51"/>
        <v>91.972222222222314</v>
      </c>
      <c r="X218" s="22">
        <f t="shared" si="51"/>
        <v>101.52777777777686</v>
      </c>
      <c r="Y218" s="22">
        <f t="shared" si="51"/>
        <v>107.5</v>
      </c>
      <c r="Z218" s="23">
        <f t="shared" si="51"/>
        <v>85.999999999999176</v>
      </c>
      <c r="AA218" s="23">
        <f t="shared" si="51"/>
        <v>95.555555555554776</v>
      </c>
      <c r="AB218" s="23">
        <f t="shared" si="51"/>
        <v>101.52777777777686</v>
      </c>
      <c r="AC218" s="24">
        <f t="shared" si="51"/>
        <v>80.027777777777871</v>
      </c>
      <c r="AD218" s="24">
        <f t="shared" si="51"/>
        <v>89.583333333333385</v>
      </c>
      <c r="AE218" s="24">
        <f t="shared" si="51"/>
        <v>95.555555555554776</v>
      </c>
      <c r="AF218" s="25">
        <f t="shared" si="51"/>
        <v>74.05555555555496</v>
      </c>
      <c r="AG218" s="25">
        <f t="shared" si="51"/>
        <v>83.611111111111569</v>
      </c>
      <c r="AH218" s="25">
        <f t="shared" si="51"/>
        <v>89.583333333333385</v>
      </c>
      <c r="AI218" s="26">
        <f t="shared" si="51"/>
        <v>68.083333333333883</v>
      </c>
      <c r="AJ218" s="26">
        <f t="shared" si="59"/>
        <v>77.638888888888431</v>
      </c>
      <c r="AK218" s="26">
        <f t="shared" si="49"/>
        <v>83.611111111111569</v>
      </c>
    </row>
    <row r="219" spans="4:37" ht="20.100000000000001" customHeight="1">
      <c r="D219" s="27">
        <f t="shared" si="48"/>
        <v>0.59999999999999842</v>
      </c>
      <c r="E219" s="16">
        <f t="shared" si="57"/>
        <v>168.00000000000091</v>
      </c>
      <c r="F219" s="16">
        <f t="shared" si="57"/>
        <v>177.60000000000127</v>
      </c>
      <c r="G219" s="16">
        <f t="shared" si="57"/>
        <v>183.59999999999917</v>
      </c>
      <c r="H219" s="17">
        <f t="shared" si="57"/>
        <v>155.99999999999909</v>
      </c>
      <c r="I219" s="17">
        <f t="shared" si="57"/>
        <v>165.59999999999883</v>
      </c>
      <c r="J219" s="17">
        <f t="shared" si="57"/>
        <v>171.60000000000005</v>
      </c>
      <c r="K219" s="18">
        <f t="shared" si="57"/>
        <v>144.00000000000136</v>
      </c>
      <c r="L219" s="18">
        <f t="shared" si="57"/>
        <v>153.60000000000036</v>
      </c>
      <c r="M219" s="18">
        <f t="shared" si="57"/>
        <v>159.60000000000127</v>
      </c>
      <c r="N219" s="19">
        <f t="shared" si="57"/>
        <v>110.39999999999922</v>
      </c>
      <c r="O219" s="19">
        <f t="shared" si="57"/>
        <v>120.00000000000161</v>
      </c>
      <c r="P219" s="19">
        <f t="shared" si="57"/>
        <v>125.99999999999869</v>
      </c>
      <c r="Q219" s="20">
        <f t="shared" si="57"/>
        <v>104.40000000000121</v>
      </c>
      <c r="R219" s="20">
        <f t="shared" si="57"/>
        <v>114.00000000000091</v>
      </c>
      <c r="S219" s="20">
        <f t="shared" si="57"/>
        <v>120.00000000000161</v>
      </c>
      <c r="T219" s="21">
        <f t="shared" si="57"/>
        <v>98.400000000001</v>
      </c>
      <c r="U219" s="21">
        <f t="shared" si="51"/>
        <v>108</v>
      </c>
      <c r="V219" s="21">
        <f t="shared" si="51"/>
        <v>114.00000000000091</v>
      </c>
      <c r="W219" s="22">
        <f t="shared" si="51"/>
        <v>92.400000000000091</v>
      </c>
      <c r="X219" s="22">
        <f t="shared" si="51"/>
        <v>101.99999999999909</v>
      </c>
      <c r="Y219" s="22">
        <f t="shared" si="51"/>
        <v>108</v>
      </c>
      <c r="Z219" s="23">
        <f t="shared" si="51"/>
        <v>86.399999999999181</v>
      </c>
      <c r="AA219" s="23">
        <f t="shared" si="51"/>
        <v>95.999999999999218</v>
      </c>
      <c r="AB219" s="23">
        <f t="shared" si="51"/>
        <v>101.99999999999909</v>
      </c>
      <c r="AC219" s="24">
        <f t="shared" si="51"/>
        <v>80.400000000000091</v>
      </c>
      <c r="AD219" s="24">
        <f t="shared" si="51"/>
        <v>90.000000000000057</v>
      </c>
      <c r="AE219" s="24">
        <f t="shared" si="51"/>
        <v>95.999999999999218</v>
      </c>
      <c r="AF219" s="25">
        <f t="shared" si="51"/>
        <v>74.399999999999409</v>
      </c>
      <c r="AG219" s="25">
        <f t="shared" si="51"/>
        <v>84.000000000000455</v>
      </c>
      <c r="AH219" s="25">
        <f t="shared" si="51"/>
        <v>90.000000000000057</v>
      </c>
      <c r="AI219" s="26">
        <f t="shared" si="51"/>
        <v>68.400000000000546</v>
      </c>
      <c r="AJ219" s="26">
        <f t="shared" si="59"/>
        <v>77.999999999999545</v>
      </c>
      <c r="AK219" s="26">
        <f t="shared" si="49"/>
        <v>84.000000000000455</v>
      </c>
    </row>
    <row r="220" spans="4:37" ht="20.100000000000001" customHeight="1">
      <c r="D220" s="27">
        <f t="shared" si="48"/>
        <v>0.60277777777777619</v>
      </c>
      <c r="E220" s="16">
        <f t="shared" si="57"/>
        <v>168.77777777777868</v>
      </c>
      <c r="F220" s="16">
        <f t="shared" si="57"/>
        <v>178.4222222222235</v>
      </c>
      <c r="G220" s="16">
        <f t="shared" si="57"/>
        <v>184.44999999999916</v>
      </c>
      <c r="H220" s="17">
        <f t="shared" si="57"/>
        <v>156.72222222222132</v>
      </c>
      <c r="I220" s="17">
        <f t="shared" si="57"/>
        <v>166.36666666666551</v>
      </c>
      <c r="J220" s="17">
        <f t="shared" si="57"/>
        <v>172.3944444444445</v>
      </c>
      <c r="K220" s="18">
        <f t="shared" si="57"/>
        <v>144.66666666666802</v>
      </c>
      <c r="L220" s="18">
        <f t="shared" si="57"/>
        <v>154.31111111111147</v>
      </c>
      <c r="M220" s="18">
        <f t="shared" si="57"/>
        <v>160.33888888889015</v>
      </c>
      <c r="N220" s="19">
        <f t="shared" si="57"/>
        <v>110.91111111111033</v>
      </c>
      <c r="O220" s="19">
        <f t="shared" si="57"/>
        <v>120.55555555555716</v>
      </c>
      <c r="P220" s="19">
        <f t="shared" si="57"/>
        <v>126.58333333333202</v>
      </c>
      <c r="Q220" s="20">
        <f t="shared" si="57"/>
        <v>104.88333333333455</v>
      </c>
      <c r="R220" s="20">
        <f t="shared" si="57"/>
        <v>114.52777777777868</v>
      </c>
      <c r="S220" s="20">
        <f t="shared" si="57"/>
        <v>120.55555555555716</v>
      </c>
      <c r="T220" s="21">
        <f t="shared" si="57"/>
        <v>98.855555555556549</v>
      </c>
      <c r="U220" s="21">
        <f t="shared" si="51"/>
        <v>108.5</v>
      </c>
      <c r="V220" s="21">
        <f t="shared" si="51"/>
        <v>114.52777777777868</v>
      </c>
      <c r="W220" s="22">
        <f t="shared" si="51"/>
        <v>92.827777777777868</v>
      </c>
      <c r="X220" s="22">
        <f t="shared" si="51"/>
        <v>102.47222222222132</v>
      </c>
      <c r="Y220" s="22">
        <f t="shared" si="51"/>
        <v>108.5</v>
      </c>
      <c r="Z220" s="23">
        <f t="shared" si="51"/>
        <v>86.799999999999187</v>
      </c>
      <c r="AA220" s="23">
        <f t="shared" si="51"/>
        <v>96.444444444443661</v>
      </c>
      <c r="AB220" s="23">
        <f t="shared" si="51"/>
        <v>102.47222222222132</v>
      </c>
      <c r="AC220" s="24">
        <f t="shared" si="51"/>
        <v>80.772222222222311</v>
      </c>
      <c r="AD220" s="24">
        <f t="shared" si="51"/>
        <v>90.416666666666728</v>
      </c>
      <c r="AE220" s="24">
        <f t="shared" si="51"/>
        <v>96.444444444443661</v>
      </c>
      <c r="AF220" s="25">
        <f t="shared" si="51"/>
        <v>74.744444444443857</v>
      </c>
      <c r="AG220" s="25">
        <f t="shared" si="51"/>
        <v>84.38888888888934</v>
      </c>
      <c r="AH220" s="25">
        <f t="shared" si="51"/>
        <v>90.416666666666728</v>
      </c>
      <c r="AI220" s="26">
        <f t="shared" si="51"/>
        <v>68.716666666667209</v>
      </c>
      <c r="AJ220" s="26">
        <f t="shared" si="59"/>
        <v>78.36111111111066</v>
      </c>
      <c r="AK220" s="26">
        <f t="shared" si="49"/>
        <v>84.38888888888934</v>
      </c>
    </row>
    <row r="221" spans="4:37" ht="20.100000000000001" customHeight="1">
      <c r="D221" s="27">
        <f t="shared" si="48"/>
        <v>0.60555555555555396</v>
      </c>
      <c r="E221" s="16">
        <f t="shared" si="57"/>
        <v>169.55555555555645</v>
      </c>
      <c r="F221" s="16">
        <f t="shared" si="57"/>
        <v>179.24444444444572</v>
      </c>
      <c r="G221" s="16">
        <f t="shared" si="57"/>
        <v>185.29999999999916</v>
      </c>
      <c r="H221" s="17">
        <f t="shared" si="57"/>
        <v>157.44444444444355</v>
      </c>
      <c r="I221" s="17">
        <f t="shared" si="57"/>
        <v>167.13333333333219</v>
      </c>
      <c r="J221" s="17">
        <f t="shared" si="57"/>
        <v>173.18888888888895</v>
      </c>
      <c r="K221" s="18">
        <f t="shared" si="57"/>
        <v>145.33333333333468</v>
      </c>
      <c r="L221" s="18">
        <f t="shared" si="57"/>
        <v>155.02222222222258</v>
      </c>
      <c r="M221" s="18">
        <f t="shared" si="57"/>
        <v>161.07777777777903</v>
      </c>
      <c r="N221" s="19">
        <f t="shared" si="57"/>
        <v>111.42222222222144</v>
      </c>
      <c r="O221" s="19">
        <f t="shared" si="57"/>
        <v>121.11111111111272</v>
      </c>
      <c r="P221" s="19">
        <f t="shared" si="57"/>
        <v>127.16666666666535</v>
      </c>
      <c r="Q221" s="20">
        <f t="shared" si="57"/>
        <v>105.36666666666788</v>
      </c>
      <c r="R221" s="20">
        <f t="shared" si="57"/>
        <v>115.05555555555645</v>
      </c>
      <c r="S221" s="20">
        <f t="shared" si="57"/>
        <v>121.11111111111272</v>
      </c>
      <c r="T221" s="21">
        <f t="shared" si="57"/>
        <v>99.311111111112098</v>
      </c>
      <c r="U221" s="21">
        <f t="shared" si="51"/>
        <v>109</v>
      </c>
      <c r="V221" s="21">
        <f t="shared" si="51"/>
        <v>115.05555555555645</v>
      </c>
      <c r="W221" s="22">
        <f t="shared" si="51"/>
        <v>93.255555555555645</v>
      </c>
      <c r="X221" s="22">
        <f t="shared" si="51"/>
        <v>102.94444444444355</v>
      </c>
      <c r="Y221" s="22">
        <f t="shared" si="51"/>
        <v>109</v>
      </c>
      <c r="Z221" s="23">
        <f t="shared" si="51"/>
        <v>87.199999999999193</v>
      </c>
      <c r="AA221" s="23">
        <f t="shared" si="51"/>
        <v>96.888888888888104</v>
      </c>
      <c r="AB221" s="23">
        <f t="shared" si="51"/>
        <v>102.94444444444355</v>
      </c>
      <c r="AC221" s="24">
        <f t="shared" si="51"/>
        <v>81.144444444444531</v>
      </c>
      <c r="AD221" s="24">
        <f t="shared" si="51"/>
        <v>90.8333333333334</v>
      </c>
      <c r="AE221" s="24">
        <f t="shared" si="51"/>
        <v>96.888888888888104</v>
      </c>
      <c r="AF221" s="25">
        <f t="shared" si="51"/>
        <v>75.088888888888306</v>
      </c>
      <c r="AG221" s="25">
        <f t="shared" si="51"/>
        <v>84.777777777778226</v>
      </c>
      <c r="AH221" s="25">
        <f t="shared" si="51"/>
        <v>90.8333333333334</v>
      </c>
      <c r="AI221" s="26">
        <f t="shared" si="51"/>
        <v>69.033333333333871</v>
      </c>
      <c r="AJ221" s="26">
        <f t="shared" si="59"/>
        <v>78.722222222221774</v>
      </c>
      <c r="AK221" s="26">
        <f t="shared" si="49"/>
        <v>84.777777777778226</v>
      </c>
    </row>
    <row r="222" spans="4:37" ht="20.100000000000001" customHeight="1">
      <c r="D222" s="27">
        <f t="shared" si="48"/>
        <v>0.60833333333333173</v>
      </c>
      <c r="E222" s="16">
        <f t="shared" si="57"/>
        <v>170.33333333333422</v>
      </c>
      <c r="F222" s="16">
        <f t="shared" si="57"/>
        <v>180.06666666666794</v>
      </c>
      <c r="G222" s="16">
        <f t="shared" si="57"/>
        <v>186.14999999999915</v>
      </c>
      <c r="H222" s="17">
        <f t="shared" si="57"/>
        <v>158.16666666666578</v>
      </c>
      <c r="I222" s="17">
        <f t="shared" si="57"/>
        <v>167.89999999999887</v>
      </c>
      <c r="J222" s="17">
        <f t="shared" si="57"/>
        <v>173.98333333333341</v>
      </c>
      <c r="K222" s="18">
        <f t="shared" si="57"/>
        <v>146.00000000000134</v>
      </c>
      <c r="L222" s="18">
        <f t="shared" si="57"/>
        <v>155.73333333333369</v>
      </c>
      <c r="M222" s="18">
        <f t="shared" si="57"/>
        <v>161.81666666666791</v>
      </c>
      <c r="N222" s="19">
        <f t="shared" si="57"/>
        <v>111.93333333333254</v>
      </c>
      <c r="O222" s="19">
        <f t="shared" si="57"/>
        <v>121.66666666666828</v>
      </c>
      <c r="P222" s="19">
        <f t="shared" si="57"/>
        <v>127.74999999999868</v>
      </c>
      <c r="Q222" s="20">
        <f t="shared" si="57"/>
        <v>105.85000000000122</v>
      </c>
      <c r="R222" s="20">
        <f t="shared" si="57"/>
        <v>115.58333333333422</v>
      </c>
      <c r="S222" s="20">
        <f t="shared" si="57"/>
        <v>121.66666666666828</v>
      </c>
      <c r="T222" s="21">
        <f t="shared" si="57"/>
        <v>99.766666666667646</v>
      </c>
      <c r="U222" s="21">
        <f t="shared" si="51"/>
        <v>109.5</v>
      </c>
      <c r="V222" s="21">
        <f t="shared" si="51"/>
        <v>115.58333333333422</v>
      </c>
      <c r="W222" s="22">
        <f t="shared" si="51"/>
        <v>93.683333333333422</v>
      </c>
      <c r="X222" s="22">
        <f t="shared" si="51"/>
        <v>103.41666666666578</v>
      </c>
      <c r="Y222" s="22">
        <f t="shared" si="51"/>
        <v>109.5</v>
      </c>
      <c r="Z222" s="23">
        <f t="shared" si="51"/>
        <v>87.599999999999199</v>
      </c>
      <c r="AA222" s="23">
        <f t="shared" si="51"/>
        <v>97.333333333332547</v>
      </c>
      <c r="AB222" s="23">
        <f t="shared" si="51"/>
        <v>103.41666666666578</v>
      </c>
      <c r="AC222" s="24">
        <f t="shared" si="51"/>
        <v>81.516666666666751</v>
      </c>
      <c r="AD222" s="24">
        <f t="shared" si="51"/>
        <v>91.250000000000071</v>
      </c>
      <c r="AE222" s="24">
        <f t="shared" si="51"/>
        <v>97.333333333332547</v>
      </c>
      <c r="AF222" s="25">
        <f t="shared" si="51"/>
        <v>75.433333333332754</v>
      </c>
      <c r="AG222" s="25">
        <f t="shared" si="51"/>
        <v>85.166666666667112</v>
      </c>
      <c r="AH222" s="25">
        <f t="shared" si="51"/>
        <v>91.250000000000071</v>
      </c>
      <c r="AI222" s="26">
        <f t="shared" si="51"/>
        <v>69.350000000000534</v>
      </c>
      <c r="AJ222" s="26">
        <f t="shared" si="59"/>
        <v>79.083333333332888</v>
      </c>
      <c r="AK222" s="26">
        <f t="shared" si="49"/>
        <v>85.166666666667112</v>
      </c>
    </row>
    <row r="223" spans="4:37" ht="20.100000000000001" customHeight="1">
      <c r="D223" s="27">
        <f t="shared" si="48"/>
        <v>0.6111111111111095</v>
      </c>
      <c r="E223" s="16">
        <f t="shared" si="57"/>
        <v>171.111111111112</v>
      </c>
      <c r="F223" s="16">
        <f t="shared" si="57"/>
        <v>180.88888888889016</v>
      </c>
      <c r="G223" s="16">
        <f t="shared" si="57"/>
        <v>186.99999999999915</v>
      </c>
      <c r="H223" s="17">
        <f t="shared" si="57"/>
        <v>158.888888888888</v>
      </c>
      <c r="I223" s="17">
        <f t="shared" si="57"/>
        <v>168.66666666666555</v>
      </c>
      <c r="J223" s="17">
        <f t="shared" si="57"/>
        <v>174.77777777777786</v>
      </c>
      <c r="K223" s="18">
        <f t="shared" si="57"/>
        <v>146.66666666666799</v>
      </c>
      <c r="L223" s="18">
        <f t="shared" si="57"/>
        <v>156.4444444444448</v>
      </c>
      <c r="M223" s="18">
        <f t="shared" si="57"/>
        <v>162.55555555555679</v>
      </c>
      <c r="N223" s="19">
        <f t="shared" si="57"/>
        <v>112.44444444444365</v>
      </c>
      <c r="O223" s="19">
        <f t="shared" si="57"/>
        <v>122.22222222222383</v>
      </c>
      <c r="P223" s="19">
        <f t="shared" si="57"/>
        <v>128.33333333333201</v>
      </c>
      <c r="Q223" s="20">
        <f t="shared" si="57"/>
        <v>106.33333333333455</v>
      </c>
      <c r="R223" s="20">
        <f t="shared" si="57"/>
        <v>116.111111111112</v>
      </c>
      <c r="S223" s="20">
        <f t="shared" si="57"/>
        <v>122.22222222222383</v>
      </c>
      <c r="T223" s="21">
        <f t="shared" si="57"/>
        <v>100.22222222222319</v>
      </c>
      <c r="U223" s="21">
        <f t="shared" si="51"/>
        <v>110</v>
      </c>
      <c r="V223" s="21">
        <f t="shared" si="51"/>
        <v>116.111111111112</v>
      </c>
      <c r="W223" s="22">
        <f t="shared" si="51"/>
        <v>94.1111111111112</v>
      </c>
      <c r="X223" s="22">
        <f t="shared" si="51"/>
        <v>103.888888888888</v>
      </c>
      <c r="Y223" s="22">
        <f t="shared" si="51"/>
        <v>110</v>
      </c>
      <c r="Z223" s="23">
        <f t="shared" si="51"/>
        <v>87.999999999999204</v>
      </c>
      <c r="AA223" s="23">
        <f t="shared" si="51"/>
        <v>97.77777777777699</v>
      </c>
      <c r="AB223" s="23">
        <f t="shared" ref="AB223:AI223" si="60">AB224-(AB$363/360)</f>
        <v>103.888888888888</v>
      </c>
      <c r="AC223" s="24">
        <f t="shared" si="60"/>
        <v>81.888888888888971</v>
      </c>
      <c r="AD223" s="24">
        <f t="shared" si="60"/>
        <v>91.666666666666742</v>
      </c>
      <c r="AE223" s="24">
        <f t="shared" si="60"/>
        <v>97.77777777777699</v>
      </c>
      <c r="AF223" s="25">
        <f t="shared" si="60"/>
        <v>75.777777777777203</v>
      </c>
      <c r="AG223" s="25">
        <f t="shared" si="60"/>
        <v>85.555555555555998</v>
      </c>
      <c r="AH223" s="25">
        <f t="shared" si="60"/>
        <v>91.666666666666742</v>
      </c>
      <c r="AI223" s="26">
        <f t="shared" si="60"/>
        <v>69.666666666667197</v>
      </c>
      <c r="AJ223" s="26">
        <f t="shared" si="59"/>
        <v>79.444444444444002</v>
      </c>
      <c r="AK223" s="26">
        <f t="shared" si="49"/>
        <v>85.555555555555998</v>
      </c>
    </row>
    <row r="224" spans="4:37" ht="20.100000000000001" customHeight="1">
      <c r="D224" s="27">
        <f t="shared" si="48"/>
        <v>0.61388888888888726</v>
      </c>
      <c r="E224" s="16">
        <f t="shared" si="57"/>
        <v>171.88888888888977</v>
      </c>
      <c r="F224" s="16">
        <f t="shared" si="57"/>
        <v>181.71111111111239</v>
      </c>
      <c r="G224" s="16">
        <f t="shared" si="57"/>
        <v>187.84999999999914</v>
      </c>
      <c r="H224" s="17">
        <f t="shared" si="57"/>
        <v>159.61111111111023</v>
      </c>
      <c r="I224" s="17">
        <f t="shared" si="57"/>
        <v>169.43333333333223</v>
      </c>
      <c r="J224" s="17">
        <f t="shared" si="57"/>
        <v>175.57222222222231</v>
      </c>
      <c r="K224" s="18">
        <f t="shared" si="57"/>
        <v>147.33333333333465</v>
      </c>
      <c r="L224" s="18">
        <f t="shared" si="57"/>
        <v>157.15555555555591</v>
      </c>
      <c r="M224" s="18">
        <f t="shared" si="57"/>
        <v>163.29444444444567</v>
      </c>
      <c r="N224" s="19">
        <f t="shared" si="57"/>
        <v>112.95555555555475</v>
      </c>
      <c r="O224" s="19">
        <f t="shared" si="57"/>
        <v>122.77777777777939</v>
      </c>
      <c r="P224" s="19">
        <f t="shared" si="57"/>
        <v>128.91666666666535</v>
      </c>
      <c r="Q224" s="20">
        <f t="shared" si="57"/>
        <v>106.81666666666789</v>
      </c>
      <c r="R224" s="20">
        <f t="shared" si="57"/>
        <v>116.63888888888977</v>
      </c>
      <c r="S224" s="20">
        <f t="shared" si="57"/>
        <v>122.77777777777939</v>
      </c>
      <c r="T224" s="21">
        <f t="shared" si="57"/>
        <v>100.67777777777874</v>
      </c>
      <c r="U224" s="21">
        <f t="shared" ref="U224:AI224" si="61">U225-(U$363/360)</f>
        <v>110.5</v>
      </c>
      <c r="V224" s="21">
        <f t="shared" si="61"/>
        <v>116.63888888888977</v>
      </c>
      <c r="W224" s="22">
        <f t="shared" si="61"/>
        <v>94.538888888888977</v>
      </c>
      <c r="X224" s="22">
        <f t="shared" si="61"/>
        <v>104.36111111111023</v>
      </c>
      <c r="Y224" s="22">
        <f t="shared" si="61"/>
        <v>110.5</v>
      </c>
      <c r="Z224" s="23">
        <f t="shared" si="61"/>
        <v>88.39999999999921</v>
      </c>
      <c r="AA224" s="23">
        <f t="shared" si="61"/>
        <v>98.222222222221433</v>
      </c>
      <c r="AB224" s="23">
        <f t="shared" si="61"/>
        <v>104.36111111111023</v>
      </c>
      <c r="AC224" s="24">
        <f t="shared" si="61"/>
        <v>82.261111111111191</v>
      </c>
      <c r="AD224" s="24">
        <f t="shared" si="61"/>
        <v>92.083333333333414</v>
      </c>
      <c r="AE224" s="24">
        <f t="shared" si="61"/>
        <v>98.222222222221433</v>
      </c>
      <c r="AF224" s="25">
        <f t="shared" si="61"/>
        <v>76.122222222221652</v>
      </c>
      <c r="AG224" s="25">
        <f t="shared" si="61"/>
        <v>85.944444444444883</v>
      </c>
      <c r="AH224" s="25">
        <f t="shared" si="61"/>
        <v>92.083333333333414</v>
      </c>
      <c r="AI224" s="26">
        <f t="shared" si="61"/>
        <v>69.98333333333386</v>
      </c>
      <c r="AJ224" s="26">
        <f t="shared" si="59"/>
        <v>79.805555555555117</v>
      </c>
      <c r="AK224" s="26">
        <f t="shared" si="49"/>
        <v>85.944444444444883</v>
      </c>
    </row>
    <row r="225" spans="4:37" ht="20.100000000000001" customHeight="1">
      <c r="D225" s="27">
        <f t="shared" si="48"/>
        <v>0.61666666666666503</v>
      </c>
      <c r="E225" s="16">
        <f t="shared" si="57"/>
        <v>172.66666666666754</v>
      </c>
      <c r="F225" s="16">
        <f t="shared" si="57"/>
        <v>182.53333333333461</v>
      </c>
      <c r="G225" s="16">
        <f t="shared" si="57"/>
        <v>188.69999999999914</v>
      </c>
      <c r="H225" s="17">
        <f t="shared" si="57"/>
        <v>160.33333333333246</v>
      </c>
      <c r="I225" s="17">
        <f t="shared" si="57"/>
        <v>170.19999999999891</v>
      </c>
      <c r="J225" s="17">
        <f t="shared" si="57"/>
        <v>176.36666666666676</v>
      </c>
      <c r="K225" s="18">
        <f t="shared" si="57"/>
        <v>148.00000000000131</v>
      </c>
      <c r="L225" s="18">
        <f t="shared" si="57"/>
        <v>157.86666666666702</v>
      </c>
      <c r="M225" s="18">
        <f t="shared" si="57"/>
        <v>164.03333333333455</v>
      </c>
      <c r="N225" s="19">
        <f t="shared" si="57"/>
        <v>113.46666666666586</v>
      </c>
      <c r="O225" s="19">
        <f t="shared" si="57"/>
        <v>123.33333333333495</v>
      </c>
      <c r="P225" s="19">
        <f t="shared" si="57"/>
        <v>129.49999999999869</v>
      </c>
      <c r="Q225" s="20">
        <f t="shared" si="57"/>
        <v>107.30000000000122</v>
      </c>
      <c r="R225" s="20">
        <f t="shared" si="57"/>
        <v>117.16666666666754</v>
      </c>
      <c r="S225" s="20">
        <f t="shared" si="57"/>
        <v>123.33333333333495</v>
      </c>
      <c r="T225" s="21">
        <f t="shared" ref="T225:AI240" si="62">T226-(T$363/360)</f>
        <v>101.13333333333429</v>
      </c>
      <c r="U225" s="21">
        <f t="shared" si="62"/>
        <v>111</v>
      </c>
      <c r="V225" s="21">
        <f t="shared" si="62"/>
        <v>117.16666666666754</v>
      </c>
      <c r="W225" s="22">
        <f t="shared" si="62"/>
        <v>94.966666666666754</v>
      </c>
      <c r="X225" s="22">
        <f t="shared" si="62"/>
        <v>104.83333333333246</v>
      </c>
      <c r="Y225" s="22">
        <f t="shared" si="62"/>
        <v>111</v>
      </c>
      <c r="Z225" s="23">
        <f t="shared" si="62"/>
        <v>88.799999999999216</v>
      </c>
      <c r="AA225" s="23">
        <f t="shared" si="62"/>
        <v>98.666666666665876</v>
      </c>
      <c r="AB225" s="23">
        <f t="shared" si="62"/>
        <v>104.83333333333246</v>
      </c>
      <c r="AC225" s="24">
        <f t="shared" si="62"/>
        <v>82.633333333333411</v>
      </c>
      <c r="AD225" s="24">
        <f t="shared" si="62"/>
        <v>92.500000000000085</v>
      </c>
      <c r="AE225" s="24">
        <f t="shared" si="62"/>
        <v>98.666666666665876</v>
      </c>
      <c r="AF225" s="25">
        <f t="shared" si="62"/>
        <v>76.4666666666661</v>
      </c>
      <c r="AG225" s="25">
        <f t="shared" si="62"/>
        <v>86.333333333333769</v>
      </c>
      <c r="AH225" s="25">
        <f t="shared" si="62"/>
        <v>92.500000000000085</v>
      </c>
      <c r="AI225" s="26">
        <f t="shared" si="62"/>
        <v>70.300000000000523</v>
      </c>
      <c r="AJ225" s="26">
        <f t="shared" si="59"/>
        <v>80.166666666666231</v>
      </c>
      <c r="AK225" s="26">
        <f t="shared" si="49"/>
        <v>86.333333333333769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173.44444444444531</v>
      </c>
      <c r="F226" s="16">
        <f t="shared" si="63"/>
        <v>183.35555555555683</v>
      </c>
      <c r="G226" s="16">
        <f t="shared" si="63"/>
        <v>189.54999999999913</v>
      </c>
      <c r="H226" s="17">
        <f t="shared" si="63"/>
        <v>161.05555555555469</v>
      </c>
      <c r="I226" s="17">
        <f t="shared" si="63"/>
        <v>170.96666666666559</v>
      </c>
      <c r="J226" s="17">
        <f t="shared" si="63"/>
        <v>177.16111111111121</v>
      </c>
      <c r="K226" s="18">
        <f t="shared" si="63"/>
        <v>148.66666666666796</v>
      </c>
      <c r="L226" s="18">
        <f t="shared" si="63"/>
        <v>158.57777777777812</v>
      </c>
      <c r="M226" s="18">
        <f t="shared" si="63"/>
        <v>164.77222222222343</v>
      </c>
      <c r="N226" s="19">
        <f t="shared" si="63"/>
        <v>113.97777777777696</v>
      </c>
      <c r="O226" s="19">
        <f t="shared" si="63"/>
        <v>123.88888888889051</v>
      </c>
      <c r="P226" s="19">
        <f t="shared" si="63"/>
        <v>130.08333333333204</v>
      </c>
      <c r="Q226" s="20">
        <f t="shared" si="63"/>
        <v>107.78333333333455</v>
      </c>
      <c r="R226" s="20">
        <f t="shared" si="63"/>
        <v>117.69444444444531</v>
      </c>
      <c r="S226" s="20">
        <f t="shared" si="63"/>
        <v>123.88888888889051</v>
      </c>
      <c r="T226" s="21">
        <f t="shared" si="62"/>
        <v>101.58888888888984</v>
      </c>
      <c r="U226" s="21">
        <f t="shared" si="62"/>
        <v>111.5</v>
      </c>
      <c r="V226" s="21">
        <f t="shared" si="62"/>
        <v>117.69444444444531</v>
      </c>
      <c r="W226" s="22">
        <f t="shared" si="62"/>
        <v>95.394444444444531</v>
      </c>
      <c r="X226" s="22">
        <f t="shared" si="62"/>
        <v>105.30555555555469</v>
      </c>
      <c r="Y226" s="22">
        <f t="shared" si="62"/>
        <v>111.5</v>
      </c>
      <c r="Z226" s="23">
        <f t="shared" si="62"/>
        <v>89.199999999999221</v>
      </c>
      <c r="AA226" s="23">
        <f t="shared" si="62"/>
        <v>99.111111111110318</v>
      </c>
      <c r="AB226" s="23">
        <f t="shared" si="62"/>
        <v>105.30555555555469</v>
      </c>
      <c r="AC226" s="24">
        <f t="shared" si="62"/>
        <v>83.005555555555631</v>
      </c>
      <c r="AD226" s="24">
        <f t="shared" si="62"/>
        <v>92.916666666666757</v>
      </c>
      <c r="AE226" s="24">
        <f t="shared" si="62"/>
        <v>99.111111111110318</v>
      </c>
      <c r="AF226" s="25">
        <f t="shared" si="62"/>
        <v>76.811111111110549</v>
      </c>
      <c r="AG226" s="25">
        <f t="shared" si="62"/>
        <v>86.722222222222655</v>
      </c>
      <c r="AH226" s="25">
        <f t="shared" si="62"/>
        <v>92.916666666666757</v>
      </c>
      <c r="AI226" s="26">
        <f t="shared" si="62"/>
        <v>70.616666666667186</v>
      </c>
      <c r="AJ226" s="26">
        <f t="shared" si="59"/>
        <v>80.527777777777345</v>
      </c>
      <c r="AK226" s="26">
        <f t="shared" si="49"/>
        <v>86.722222222222655</v>
      </c>
    </row>
    <row r="227" spans="4:37" ht="20.100000000000001" customHeight="1">
      <c r="D227" s="27">
        <f t="shared" si="48"/>
        <v>0.62222222222222057</v>
      </c>
      <c r="E227" s="16">
        <f t="shared" si="63"/>
        <v>174.22222222222308</v>
      </c>
      <c r="F227" s="16">
        <f t="shared" si="63"/>
        <v>184.17777777777906</v>
      </c>
      <c r="G227" s="16">
        <f t="shared" si="63"/>
        <v>190.39999999999912</v>
      </c>
      <c r="H227" s="17">
        <f t="shared" si="63"/>
        <v>161.77777777777692</v>
      </c>
      <c r="I227" s="17">
        <f t="shared" si="63"/>
        <v>171.73333333333227</v>
      </c>
      <c r="J227" s="17">
        <f t="shared" si="63"/>
        <v>177.95555555555566</v>
      </c>
      <c r="K227" s="18">
        <f t="shared" si="63"/>
        <v>149.33333333333462</v>
      </c>
      <c r="L227" s="18">
        <f t="shared" si="63"/>
        <v>159.28888888888923</v>
      </c>
      <c r="M227" s="18">
        <f t="shared" si="63"/>
        <v>165.51111111111231</v>
      </c>
      <c r="N227" s="19">
        <f t="shared" si="63"/>
        <v>114.48888888888807</v>
      </c>
      <c r="O227" s="19">
        <f t="shared" si="63"/>
        <v>124.44444444444606</v>
      </c>
      <c r="P227" s="19">
        <f t="shared" si="63"/>
        <v>130.66666666666538</v>
      </c>
      <c r="Q227" s="20">
        <f t="shared" si="63"/>
        <v>108.26666666666789</v>
      </c>
      <c r="R227" s="20">
        <f t="shared" si="63"/>
        <v>118.22222222222308</v>
      </c>
      <c r="S227" s="20">
        <f t="shared" si="63"/>
        <v>124.44444444444606</v>
      </c>
      <c r="T227" s="21">
        <f t="shared" si="62"/>
        <v>102.04444444444539</v>
      </c>
      <c r="U227" s="21">
        <f t="shared" si="62"/>
        <v>112</v>
      </c>
      <c r="V227" s="21">
        <f t="shared" si="62"/>
        <v>118.22222222222308</v>
      </c>
      <c r="W227" s="22">
        <f t="shared" si="62"/>
        <v>95.822222222222308</v>
      </c>
      <c r="X227" s="22">
        <f t="shared" si="62"/>
        <v>105.77777777777692</v>
      </c>
      <c r="Y227" s="22">
        <f t="shared" si="62"/>
        <v>112</v>
      </c>
      <c r="Z227" s="23">
        <f t="shared" si="62"/>
        <v>89.599999999999227</v>
      </c>
      <c r="AA227" s="23">
        <f t="shared" si="62"/>
        <v>99.555555555554761</v>
      </c>
      <c r="AB227" s="23">
        <f t="shared" si="62"/>
        <v>105.77777777777692</v>
      </c>
      <c r="AC227" s="24">
        <f t="shared" si="62"/>
        <v>83.377777777777851</v>
      </c>
      <c r="AD227" s="24">
        <f t="shared" si="62"/>
        <v>93.333333333333428</v>
      </c>
      <c r="AE227" s="24">
        <f t="shared" si="62"/>
        <v>99.555555555554761</v>
      </c>
      <c r="AF227" s="25">
        <f t="shared" si="62"/>
        <v>77.155555555554997</v>
      </c>
      <c r="AG227" s="25">
        <f t="shared" si="62"/>
        <v>87.111111111111541</v>
      </c>
      <c r="AH227" s="25">
        <f t="shared" si="62"/>
        <v>93.333333333333428</v>
      </c>
      <c r="AI227" s="26">
        <f t="shared" si="62"/>
        <v>70.933333333333849</v>
      </c>
      <c r="AJ227" s="26">
        <f t="shared" si="59"/>
        <v>80.888888888888459</v>
      </c>
      <c r="AK227" s="26">
        <f t="shared" si="49"/>
        <v>87.111111111111541</v>
      </c>
    </row>
    <row r="228" spans="4:37" ht="20.100000000000001" customHeight="1">
      <c r="D228" s="27">
        <f t="shared" si="48"/>
        <v>0.62499999999999833</v>
      </c>
      <c r="E228" s="16">
        <f t="shared" si="63"/>
        <v>175.00000000000085</v>
      </c>
      <c r="F228" s="16">
        <f t="shared" si="63"/>
        <v>185.00000000000128</v>
      </c>
      <c r="G228" s="16">
        <f t="shared" si="63"/>
        <v>191.24999999999912</v>
      </c>
      <c r="H228" s="17">
        <f t="shared" si="63"/>
        <v>162.49999999999915</v>
      </c>
      <c r="I228" s="17">
        <f t="shared" si="63"/>
        <v>172.49999999999895</v>
      </c>
      <c r="J228" s="17">
        <f t="shared" si="63"/>
        <v>178.75000000000011</v>
      </c>
      <c r="K228" s="18">
        <f t="shared" si="63"/>
        <v>150.00000000000128</v>
      </c>
      <c r="L228" s="18">
        <f t="shared" si="63"/>
        <v>160.00000000000034</v>
      </c>
      <c r="M228" s="18">
        <f t="shared" si="63"/>
        <v>166.25000000000119</v>
      </c>
      <c r="N228" s="19">
        <f t="shared" si="63"/>
        <v>114.99999999999918</v>
      </c>
      <c r="O228" s="19">
        <f t="shared" si="63"/>
        <v>125.00000000000162</v>
      </c>
      <c r="P228" s="19">
        <f t="shared" si="63"/>
        <v>131.24999999999872</v>
      </c>
      <c r="Q228" s="20">
        <f t="shared" si="63"/>
        <v>108.75000000000122</v>
      </c>
      <c r="R228" s="20">
        <f t="shared" si="63"/>
        <v>118.75000000000085</v>
      </c>
      <c r="S228" s="20">
        <f t="shared" si="63"/>
        <v>125.00000000000162</v>
      </c>
      <c r="T228" s="21">
        <f t="shared" si="62"/>
        <v>102.50000000000094</v>
      </c>
      <c r="U228" s="21">
        <f t="shared" si="62"/>
        <v>112.5</v>
      </c>
      <c r="V228" s="21">
        <f t="shared" si="62"/>
        <v>118.75000000000085</v>
      </c>
      <c r="W228" s="22">
        <f t="shared" si="62"/>
        <v>96.250000000000085</v>
      </c>
      <c r="X228" s="22">
        <f t="shared" si="62"/>
        <v>106.24999999999915</v>
      </c>
      <c r="Y228" s="22">
        <f t="shared" si="62"/>
        <v>112.5</v>
      </c>
      <c r="Z228" s="23">
        <f t="shared" si="62"/>
        <v>89.999999999999233</v>
      </c>
      <c r="AA228" s="23">
        <f t="shared" si="62"/>
        <v>99.999999999999204</v>
      </c>
      <c r="AB228" s="23">
        <f t="shared" si="62"/>
        <v>106.24999999999915</v>
      </c>
      <c r="AC228" s="24">
        <f t="shared" si="62"/>
        <v>83.750000000000071</v>
      </c>
      <c r="AD228" s="24">
        <f t="shared" si="62"/>
        <v>93.750000000000099</v>
      </c>
      <c r="AE228" s="24">
        <f t="shared" si="62"/>
        <v>99.999999999999204</v>
      </c>
      <c r="AF228" s="25">
        <f t="shared" si="62"/>
        <v>77.499999999999446</v>
      </c>
      <c r="AG228" s="25">
        <f t="shared" si="62"/>
        <v>87.500000000000426</v>
      </c>
      <c r="AH228" s="25">
        <f t="shared" si="62"/>
        <v>93.750000000000099</v>
      </c>
      <c r="AI228" s="26">
        <f t="shared" si="62"/>
        <v>71.250000000000512</v>
      </c>
      <c r="AJ228" s="26">
        <f t="shared" si="59"/>
        <v>81.249999999999574</v>
      </c>
      <c r="AK228" s="26">
        <f t="shared" si="49"/>
        <v>87.500000000000426</v>
      </c>
    </row>
    <row r="229" spans="4:37" ht="20.100000000000001" customHeight="1">
      <c r="D229" s="27">
        <f t="shared" si="48"/>
        <v>0.6277777777777761</v>
      </c>
      <c r="E229" s="16">
        <f t="shared" si="63"/>
        <v>175.77777777777862</v>
      </c>
      <c r="F229" s="16">
        <f t="shared" si="63"/>
        <v>185.8222222222235</v>
      </c>
      <c r="G229" s="16">
        <f t="shared" si="63"/>
        <v>192.09999999999911</v>
      </c>
      <c r="H229" s="17">
        <f t="shared" si="63"/>
        <v>163.22222222222138</v>
      </c>
      <c r="I229" s="17">
        <f t="shared" si="63"/>
        <v>173.26666666666563</v>
      </c>
      <c r="J229" s="17">
        <f t="shared" si="63"/>
        <v>179.54444444444457</v>
      </c>
      <c r="K229" s="18">
        <f t="shared" si="63"/>
        <v>150.66666666666794</v>
      </c>
      <c r="L229" s="18">
        <f t="shared" si="63"/>
        <v>160.71111111111145</v>
      </c>
      <c r="M229" s="18">
        <f t="shared" si="63"/>
        <v>166.98888888889007</v>
      </c>
      <c r="N229" s="19">
        <f t="shared" si="63"/>
        <v>115.51111111111028</v>
      </c>
      <c r="O229" s="19">
        <f t="shared" si="63"/>
        <v>125.55555555555718</v>
      </c>
      <c r="P229" s="19">
        <f t="shared" si="63"/>
        <v>131.83333333333206</v>
      </c>
      <c r="Q229" s="20">
        <f t="shared" si="63"/>
        <v>109.23333333333456</v>
      </c>
      <c r="R229" s="20">
        <f t="shared" si="63"/>
        <v>119.27777777777862</v>
      </c>
      <c r="S229" s="20">
        <f t="shared" si="63"/>
        <v>125.55555555555718</v>
      </c>
      <c r="T229" s="21">
        <f t="shared" si="63"/>
        <v>102.95555555555649</v>
      </c>
      <c r="U229" s="21">
        <f t="shared" si="62"/>
        <v>113</v>
      </c>
      <c r="V229" s="21">
        <f t="shared" si="62"/>
        <v>119.27777777777862</v>
      </c>
      <c r="W229" s="22">
        <f t="shared" si="62"/>
        <v>96.677777777777862</v>
      </c>
      <c r="X229" s="22">
        <f t="shared" si="62"/>
        <v>106.72222222222138</v>
      </c>
      <c r="Y229" s="22">
        <f t="shared" si="62"/>
        <v>113</v>
      </c>
      <c r="Z229" s="23">
        <f t="shared" si="62"/>
        <v>90.399999999999238</v>
      </c>
      <c r="AA229" s="23">
        <f t="shared" si="62"/>
        <v>100.44444444444365</v>
      </c>
      <c r="AB229" s="23">
        <f t="shared" si="62"/>
        <v>106.72222222222138</v>
      </c>
      <c r="AC229" s="24">
        <f t="shared" si="62"/>
        <v>84.122222222222291</v>
      </c>
      <c r="AD229" s="24">
        <f t="shared" si="62"/>
        <v>94.166666666666771</v>
      </c>
      <c r="AE229" s="24">
        <f t="shared" si="62"/>
        <v>100.44444444444365</v>
      </c>
      <c r="AF229" s="25">
        <f t="shared" si="62"/>
        <v>77.844444444443894</v>
      </c>
      <c r="AG229" s="25">
        <f t="shared" si="62"/>
        <v>87.888888888889312</v>
      </c>
      <c r="AH229" s="25">
        <f t="shared" si="62"/>
        <v>94.166666666666771</v>
      </c>
      <c r="AI229" s="26">
        <f t="shared" si="62"/>
        <v>71.566666666667174</v>
      </c>
      <c r="AJ229" s="26">
        <f t="shared" si="59"/>
        <v>81.611111111110688</v>
      </c>
      <c r="AK229" s="26">
        <f t="shared" si="49"/>
        <v>87.888888888889312</v>
      </c>
    </row>
    <row r="230" spans="4:37" ht="20.100000000000001" customHeight="1">
      <c r="D230" s="27">
        <f t="shared" si="48"/>
        <v>0.63055555555555387</v>
      </c>
      <c r="E230" s="16">
        <f t="shared" si="63"/>
        <v>176.5555555555564</v>
      </c>
      <c r="F230" s="16">
        <f t="shared" si="63"/>
        <v>186.64444444444572</v>
      </c>
      <c r="G230" s="16">
        <f t="shared" si="63"/>
        <v>192.94999999999911</v>
      </c>
      <c r="H230" s="17">
        <f t="shared" si="63"/>
        <v>163.9444444444436</v>
      </c>
      <c r="I230" s="17">
        <f t="shared" si="63"/>
        <v>174.03333333333231</v>
      </c>
      <c r="J230" s="17">
        <f t="shared" si="63"/>
        <v>180.33888888888902</v>
      </c>
      <c r="K230" s="18">
        <f t="shared" si="63"/>
        <v>151.33333333333459</v>
      </c>
      <c r="L230" s="18">
        <f t="shared" si="63"/>
        <v>161.42222222222256</v>
      </c>
      <c r="M230" s="18">
        <f t="shared" si="63"/>
        <v>167.72777777777895</v>
      </c>
      <c r="N230" s="19">
        <f t="shared" si="63"/>
        <v>116.02222222222139</v>
      </c>
      <c r="O230" s="19">
        <f t="shared" si="63"/>
        <v>126.11111111111273</v>
      </c>
      <c r="P230" s="19">
        <f t="shared" si="63"/>
        <v>132.41666666666541</v>
      </c>
      <c r="Q230" s="20">
        <f t="shared" si="63"/>
        <v>109.71666666666789</v>
      </c>
      <c r="R230" s="20">
        <f t="shared" si="63"/>
        <v>119.8055555555564</v>
      </c>
      <c r="S230" s="20">
        <f t="shared" si="63"/>
        <v>126.11111111111273</v>
      </c>
      <c r="T230" s="21">
        <f t="shared" si="63"/>
        <v>103.41111111111204</v>
      </c>
      <c r="U230" s="21">
        <f t="shared" si="62"/>
        <v>113.5</v>
      </c>
      <c r="V230" s="21">
        <f t="shared" si="62"/>
        <v>119.8055555555564</v>
      </c>
      <c r="W230" s="22">
        <f t="shared" si="62"/>
        <v>97.10555555555564</v>
      </c>
      <c r="X230" s="22">
        <f t="shared" si="62"/>
        <v>107.1944444444436</v>
      </c>
      <c r="Y230" s="22">
        <f t="shared" si="62"/>
        <v>113.5</v>
      </c>
      <c r="Z230" s="23">
        <f t="shared" si="62"/>
        <v>90.799999999999244</v>
      </c>
      <c r="AA230" s="23">
        <f t="shared" si="62"/>
        <v>100.88888888888809</v>
      </c>
      <c r="AB230" s="23">
        <f t="shared" si="62"/>
        <v>107.1944444444436</v>
      </c>
      <c r="AC230" s="24">
        <f t="shared" si="62"/>
        <v>84.494444444444511</v>
      </c>
      <c r="AD230" s="24">
        <f t="shared" si="62"/>
        <v>94.583333333333442</v>
      </c>
      <c r="AE230" s="24">
        <f t="shared" si="62"/>
        <v>100.88888888888809</v>
      </c>
      <c r="AF230" s="25">
        <f t="shared" si="62"/>
        <v>78.188888888888343</v>
      </c>
      <c r="AG230" s="25">
        <f t="shared" si="62"/>
        <v>88.277777777778198</v>
      </c>
      <c r="AH230" s="25">
        <f t="shared" ref="AH230:AI233" si="64">AH231-(AH$363/360)</f>
        <v>94.583333333333442</v>
      </c>
      <c r="AI230" s="26">
        <f t="shared" si="64"/>
        <v>71.883333333333837</v>
      </c>
      <c r="AJ230" s="26">
        <f t="shared" si="59"/>
        <v>81.972222222221802</v>
      </c>
      <c r="AK230" s="26">
        <f t="shared" si="49"/>
        <v>88.277777777778198</v>
      </c>
    </row>
    <row r="231" spans="4:37" ht="20.100000000000001" customHeight="1">
      <c r="D231" s="27">
        <f t="shared" si="48"/>
        <v>0.63333333333333164</v>
      </c>
      <c r="E231" s="16">
        <f t="shared" si="63"/>
        <v>177.33333333333417</v>
      </c>
      <c r="F231" s="16">
        <f t="shared" si="63"/>
        <v>187.46666666666795</v>
      </c>
      <c r="G231" s="16">
        <f t="shared" si="63"/>
        <v>193.7999999999991</v>
      </c>
      <c r="H231" s="17">
        <f t="shared" si="63"/>
        <v>164.66666666666583</v>
      </c>
      <c r="I231" s="17">
        <f t="shared" si="63"/>
        <v>174.79999999999899</v>
      </c>
      <c r="J231" s="17">
        <f t="shared" si="63"/>
        <v>181.13333333333347</v>
      </c>
      <c r="K231" s="18">
        <f t="shared" si="63"/>
        <v>152.00000000000125</v>
      </c>
      <c r="L231" s="18">
        <f t="shared" si="63"/>
        <v>162.13333333333367</v>
      </c>
      <c r="M231" s="18">
        <f t="shared" si="63"/>
        <v>168.46666666666783</v>
      </c>
      <c r="N231" s="19">
        <f t="shared" si="63"/>
        <v>116.53333333333249</v>
      </c>
      <c r="O231" s="19">
        <f t="shared" si="63"/>
        <v>126.66666666666829</v>
      </c>
      <c r="P231" s="19">
        <f t="shared" si="63"/>
        <v>132.99999999999875</v>
      </c>
      <c r="Q231" s="20">
        <f t="shared" si="63"/>
        <v>110.20000000000122</v>
      </c>
      <c r="R231" s="20">
        <f t="shared" si="63"/>
        <v>120.33333333333417</v>
      </c>
      <c r="S231" s="20">
        <f t="shared" si="63"/>
        <v>126.66666666666829</v>
      </c>
      <c r="T231" s="21">
        <f t="shared" si="62"/>
        <v>103.86666666666758</v>
      </c>
      <c r="U231" s="21">
        <f t="shared" si="62"/>
        <v>114</v>
      </c>
      <c r="V231" s="21">
        <f t="shared" si="62"/>
        <v>120.33333333333417</v>
      </c>
      <c r="W231" s="22">
        <f t="shared" si="62"/>
        <v>97.533333333333417</v>
      </c>
      <c r="X231" s="22">
        <f t="shared" si="62"/>
        <v>107.66666666666583</v>
      </c>
      <c r="Y231" s="22">
        <f t="shared" si="62"/>
        <v>114</v>
      </c>
      <c r="Z231" s="23">
        <f t="shared" si="62"/>
        <v>91.19999999999925</v>
      </c>
      <c r="AA231" s="23">
        <f t="shared" si="62"/>
        <v>101.33333333333253</v>
      </c>
      <c r="AB231" s="23">
        <f t="shared" si="62"/>
        <v>107.66666666666583</v>
      </c>
      <c r="AC231" s="24">
        <f t="shared" si="62"/>
        <v>84.866666666666731</v>
      </c>
      <c r="AD231" s="24">
        <f t="shared" si="62"/>
        <v>95.000000000000114</v>
      </c>
      <c r="AE231" s="24">
        <f t="shared" si="62"/>
        <v>101.33333333333253</v>
      </c>
      <c r="AF231" s="25">
        <f t="shared" si="62"/>
        <v>78.533333333332791</v>
      </c>
      <c r="AG231" s="25">
        <f t="shared" si="62"/>
        <v>88.666666666667084</v>
      </c>
      <c r="AH231" s="25">
        <f t="shared" si="64"/>
        <v>95.000000000000114</v>
      </c>
      <c r="AI231" s="26">
        <f t="shared" si="64"/>
        <v>72.2000000000005</v>
      </c>
      <c r="AJ231" s="26">
        <f t="shared" si="59"/>
        <v>82.333333333332916</v>
      </c>
      <c r="AK231" s="26">
        <f t="shared" si="49"/>
        <v>88.666666666667084</v>
      </c>
    </row>
    <row r="232" spans="4:37" ht="20.100000000000001" customHeight="1">
      <c r="D232" s="27">
        <f t="shared" si="48"/>
        <v>0.63611111111110941</v>
      </c>
      <c r="E232" s="16">
        <f t="shared" si="63"/>
        <v>178.11111111111194</v>
      </c>
      <c r="F232" s="16">
        <f t="shared" si="63"/>
        <v>188.28888888889017</v>
      </c>
      <c r="G232" s="16">
        <f t="shared" si="63"/>
        <v>194.6499999999991</v>
      </c>
      <c r="H232" s="17">
        <f t="shared" si="63"/>
        <v>165.38888888888806</v>
      </c>
      <c r="I232" s="17">
        <f t="shared" si="63"/>
        <v>175.56666666666567</v>
      </c>
      <c r="J232" s="17">
        <f t="shared" si="63"/>
        <v>181.92777777777792</v>
      </c>
      <c r="K232" s="18">
        <f t="shared" si="63"/>
        <v>152.66666666666791</v>
      </c>
      <c r="L232" s="18">
        <f t="shared" si="63"/>
        <v>162.84444444444478</v>
      </c>
      <c r="M232" s="18">
        <f t="shared" si="63"/>
        <v>169.20555555555671</v>
      </c>
      <c r="N232" s="19">
        <f t="shared" si="63"/>
        <v>117.0444444444436</v>
      </c>
      <c r="O232" s="19">
        <f t="shared" si="63"/>
        <v>127.22222222222385</v>
      </c>
      <c r="P232" s="19">
        <f t="shared" si="63"/>
        <v>133.58333333333209</v>
      </c>
      <c r="Q232" s="20">
        <f t="shared" si="63"/>
        <v>110.68333333333456</v>
      </c>
      <c r="R232" s="20">
        <f t="shared" si="63"/>
        <v>120.86111111111194</v>
      </c>
      <c r="S232" s="20">
        <f t="shared" si="63"/>
        <v>127.22222222222385</v>
      </c>
      <c r="T232" s="21">
        <f t="shared" si="62"/>
        <v>104.32222222222313</v>
      </c>
      <c r="U232" s="21">
        <f t="shared" si="62"/>
        <v>114.5</v>
      </c>
      <c r="V232" s="21">
        <f t="shared" si="62"/>
        <v>120.86111111111194</v>
      </c>
      <c r="W232" s="22">
        <f t="shared" si="62"/>
        <v>97.961111111111194</v>
      </c>
      <c r="X232" s="22">
        <f t="shared" si="62"/>
        <v>108.13888888888806</v>
      </c>
      <c r="Y232" s="22">
        <f t="shared" si="62"/>
        <v>114.5</v>
      </c>
      <c r="Z232" s="23">
        <f t="shared" si="62"/>
        <v>91.599999999999255</v>
      </c>
      <c r="AA232" s="23">
        <f t="shared" si="62"/>
        <v>101.77777777777698</v>
      </c>
      <c r="AB232" s="23">
        <f t="shared" si="62"/>
        <v>108.13888888888806</v>
      </c>
      <c r="AC232" s="24">
        <f t="shared" si="62"/>
        <v>85.238888888888951</v>
      </c>
      <c r="AD232" s="24">
        <f t="shared" si="62"/>
        <v>95.416666666666785</v>
      </c>
      <c r="AE232" s="24">
        <f t="shared" si="62"/>
        <v>101.77777777777698</v>
      </c>
      <c r="AF232" s="25">
        <f t="shared" si="62"/>
        <v>78.87777777777724</v>
      </c>
      <c r="AG232" s="25">
        <f t="shared" si="62"/>
        <v>89.055555555555969</v>
      </c>
      <c r="AH232" s="25">
        <f t="shared" si="64"/>
        <v>95.416666666666785</v>
      </c>
      <c r="AI232" s="26">
        <f t="shared" si="64"/>
        <v>72.516666666667163</v>
      </c>
      <c r="AJ232" s="26">
        <f t="shared" si="59"/>
        <v>82.694444444444031</v>
      </c>
      <c r="AK232" s="26">
        <f t="shared" si="49"/>
        <v>89.055555555555969</v>
      </c>
    </row>
    <row r="233" spans="4:37" ht="20.100000000000001" customHeight="1">
      <c r="D233" s="27">
        <f t="shared" si="48"/>
        <v>0.63888888888888717</v>
      </c>
      <c r="E233" s="16">
        <f t="shared" si="63"/>
        <v>178.88888888888971</v>
      </c>
      <c r="F233" s="16">
        <f t="shared" si="63"/>
        <v>189.11111111111239</v>
      </c>
      <c r="G233" s="16">
        <f t="shared" si="63"/>
        <v>195.49999999999909</v>
      </c>
      <c r="H233" s="17">
        <f t="shared" si="63"/>
        <v>166.11111111111029</v>
      </c>
      <c r="I233" s="17">
        <f t="shared" si="63"/>
        <v>176.33333333333235</v>
      </c>
      <c r="J233" s="17">
        <f t="shared" si="63"/>
        <v>182.72222222222237</v>
      </c>
      <c r="K233" s="18">
        <f t="shared" si="63"/>
        <v>153.33333333333456</v>
      </c>
      <c r="L233" s="18">
        <f t="shared" si="63"/>
        <v>163.55555555555588</v>
      </c>
      <c r="M233" s="18">
        <f t="shared" si="63"/>
        <v>169.94444444444559</v>
      </c>
      <c r="N233" s="19">
        <f t="shared" si="63"/>
        <v>117.5555555555547</v>
      </c>
      <c r="O233" s="19">
        <f t="shared" si="63"/>
        <v>127.77777777777941</v>
      </c>
      <c r="P233" s="19">
        <f t="shared" si="63"/>
        <v>134.16666666666544</v>
      </c>
      <c r="Q233" s="20">
        <f t="shared" si="63"/>
        <v>111.16666666666789</v>
      </c>
      <c r="R233" s="20">
        <f t="shared" si="63"/>
        <v>121.38888888888971</v>
      </c>
      <c r="S233" s="20">
        <f t="shared" si="63"/>
        <v>127.77777777777941</v>
      </c>
      <c r="T233" s="21">
        <f t="shared" si="62"/>
        <v>104.77777777777868</v>
      </c>
      <c r="U233" s="21">
        <f t="shared" si="62"/>
        <v>115</v>
      </c>
      <c r="V233" s="21">
        <f t="shared" si="62"/>
        <v>121.38888888888971</v>
      </c>
      <c r="W233" s="22">
        <f t="shared" si="62"/>
        <v>98.388888888888971</v>
      </c>
      <c r="X233" s="22">
        <f t="shared" si="62"/>
        <v>108.61111111111029</v>
      </c>
      <c r="Y233" s="22">
        <f t="shared" si="62"/>
        <v>115</v>
      </c>
      <c r="Z233" s="23">
        <f t="shared" si="62"/>
        <v>91.999999999999261</v>
      </c>
      <c r="AA233" s="23">
        <f t="shared" si="62"/>
        <v>102.22222222222142</v>
      </c>
      <c r="AB233" s="23">
        <f t="shared" si="62"/>
        <v>108.61111111111029</v>
      </c>
      <c r="AC233" s="24">
        <f t="shared" si="62"/>
        <v>85.611111111111171</v>
      </c>
      <c r="AD233" s="24">
        <f t="shared" si="62"/>
        <v>95.833333333333456</v>
      </c>
      <c r="AE233" s="24">
        <f t="shared" si="62"/>
        <v>102.22222222222142</v>
      </c>
      <c r="AF233" s="25">
        <f t="shared" si="62"/>
        <v>79.222222222221689</v>
      </c>
      <c r="AG233" s="25">
        <f t="shared" si="62"/>
        <v>89.444444444444855</v>
      </c>
      <c r="AH233" s="25">
        <f t="shared" si="64"/>
        <v>95.833333333333456</v>
      </c>
      <c r="AI233" s="26">
        <f t="shared" si="64"/>
        <v>72.833333333333826</v>
      </c>
      <c r="AJ233" s="26">
        <f t="shared" si="59"/>
        <v>83.055555555555145</v>
      </c>
      <c r="AK233" s="26">
        <f t="shared" si="49"/>
        <v>89.444444444444855</v>
      </c>
    </row>
    <row r="234" spans="4:37" ht="20.100000000000001" customHeight="1">
      <c r="D234" s="27">
        <f t="shared" si="48"/>
        <v>0.64166666666666494</v>
      </c>
      <c r="E234" s="16">
        <f t="shared" si="63"/>
        <v>179.66666666666748</v>
      </c>
      <c r="F234" s="16">
        <f t="shared" si="63"/>
        <v>189.93333333333462</v>
      </c>
      <c r="G234" s="16">
        <f t="shared" si="63"/>
        <v>196.34999999999908</v>
      </c>
      <c r="H234" s="17">
        <f t="shared" si="63"/>
        <v>166.83333333333252</v>
      </c>
      <c r="I234" s="17">
        <f t="shared" si="63"/>
        <v>177.09999999999903</v>
      </c>
      <c r="J234" s="17">
        <f t="shared" si="63"/>
        <v>183.51666666666682</v>
      </c>
      <c r="K234" s="18">
        <f t="shared" si="63"/>
        <v>154.00000000000122</v>
      </c>
      <c r="L234" s="18">
        <f t="shared" si="63"/>
        <v>164.26666666666699</v>
      </c>
      <c r="M234" s="18">
        <f t="shared" si="63"/>
        <v>170.68333333333447</v>
      </c>
      <c r="N234" s="19">
        <f t="shared" si="63"/>
        <v>118.06666666666581</v>
      </c>
      <c r="O234" s="19">
        <f t="shared" si="63"/>
        <v>128.33333333333496</v>
      </c>
      <c r="P234" s="19">
        <f t="shared" si="63"/>
        <v>134.74999999999878</v>
      </c>
      <c r="Q234" s="20">
        <f t="shared" si="63"/>
        <v>111.65000000000123</v>
      </c>
      <c r="R234" s="20">
        <f t="shared" si="63"/>
        <v>121.91666666666748</v>
      </c>
      <c r="S234" s="20">
        <f t="shared" si="63"/>
        <v>128.33333333333496</v>
      </c>
      <c r="T234" s="21">
        <f t="shared" si="62"/>
        <v>105.23333333333423</v>
      </c>
      <c r="U234" s="21">
        <f t="shared" si="62"/>
        <v>115.5</v>
      </c>
      <c r="V234" s="21">
        <f t="shared" si="62"/>
        <v>121.91666666666748</v>
      </c>
      <c r="W234" s="22">
        <f t="shared" si="62"/>
        <v>98.816666666666748</v>
      </c>
      <c r="X234" s="22">
        <f t="shared" si="62"/>
        <v>109.08333333333252</v>
      </c>
      <c r="Y234" s="22">
        <f t="shared" si="62"/>
        <v>115.5</v>
      </c>
      <c r="Z234" s="23">
        <f t="shared" si="62"/>
        <v>92.399999999999267</v>
      </c>
      <c r="AA234" s="23">
        <f t="shared" si="62"/>
        <v>102.66666666666586</v>
      </c>
      <c r="AB234" s="23">
        <f t="shared" si="62"/>
        <v>109.08333333333252</v>
      </c>
      <c r="AC234" s="24">
        <f t="shared" si="62"/>
        <v>85.983333333333391</v>
      </c>
      <c r="AD234" s="24">
        <f t="shared" si="62"/>
        <v>96.250000000000128</v>
      </c>
      <c r="AE234" s="24">
        <f t="shared" si="62"/>
        <v>102.66666666666586</v>
      </c>
      <c r="AF234" s="25">
        <f t="shared" si="62"/>
        <v>79.566666666666137</v>
      </c>
      <c r="AG234" s="25">
        <f t="shared" si="62"/>
        <v>89.833333333333741</v>
      </c>
      <c r="AH234" s="25">
        <f t="shared" si="62"/>
        <v>96.250000000000128</v>
      </c>
      <c r="AI234" s="26">
        <f t="shared" si="62"/>
        <v>73.150000000000489</v>
      </c>
      <c r="AJ234" s="26">
        <f t="shared" ref="AJ234:AK276" si="65">AJ235-(AJ$363/360)</f>
        <v>83.416666666666259</v>
      </c>
      <c r="AK234" s="26">
        <f t="shared" si="65"/>
        <v>89.833333333333741</v>
      </c>
    </row>
    <row r="235" spans="4:37" ht="20.100000000000001" customHeight="1">
      <c r="D235" s="27">
        <f t="shared" si="48"/>
        <v>0.64444444444444271</v>
      </c>
      <c r="E235" s="16">
        <f t="shared" si="63"/>
        <v>180.44444444444525</v>
      </c>
      <c r="F235" s="16">
        <f t="shared" si="63"/>
        <v>190.75555555555684</v>
      </c>
      <c r="G235" s="16">
        <f t="shared" si="63"/>
        <v>197.19999999999908</v>
      </c>
      <c r="H235" s="17">
        <f t="shared" si="63"/>
        <v>167.55555555555475</v>
      </c>
      <c r="I235" s="17">
        <f t="shared" si="63"/>
        <v>177.86666666666571</v>
      </c>
      <c r="J235" s="17">
        <f t="shared" si="63"/>
        <v>184.31111111111127</v>
      </c>
      <c r="K235" s="18">
        <f t="shared" si="63"/>
        <v>154.66666666666788</v>
      </c>
      <c r="L235" s="18">
        <f t="shared" si="63"/>
        <v>164.9777777777781</v>
      </c>
      <c r="M235" s="18">
        <f t="shared" si="63"/>
        <v>171.42222222222335</v>
      </c>
      <c r="N235" s="19">
        <f t="shared" si="63"/>
        <v>118.57777777777692</v>
      </c>
      <c r="O235" s="19">
        <f t="shared" si="63"/>
        <v>128.88888888889051</v>
      </c>
      <c r="P235" s="19">
        <f t="shared" si="63"/>
        <v>135.33333333333212</v>
      </c>
      <c r="Q235" s="20">
        <f t="shared" si="63"/>
        <v>112.13333333333456</v>
      </c>
      <c r="R235" s="20">
        <f t="shared" si="63"/>
        <v>122.44444444444525</v>
      </c>
      <c r="S235" s="20">
        <f t="shared" si="63"/>
        <v>128.88888888889051</v>
      </c>
      <c r="T235" s="21">
        <f t="shared" si="62"/>
        <v>105.68888888888978</v>
      </c>
      <c r="U235" s="21">
        <f t="shared" si="62"/>
        <v>116</v>
      </c>
      <c r="V235" s="21">
        <f t="shared" si="62"/>
        <v>122.44444444444525</v>
      </c>
      <c r="W235" s="22">
        <f t="shared" si="62"/>
        <v>99.244444444444525</v>
      </c>
      <c r="X235" s="22">
        <f t="shared" si="62"/>
        <v>109.55555555555475</v>
      </c>
      <c r="Y235" s="22">
        <f t="shared" si="62"/>
        <v>116</v>
      </c>
      <c r="Z235" s="23">
        <f t="shared" si="62"/>
        <v>92.799999999999272</v>
      </c>
      <c r="AA235" s="23">
        <f t="shared" si="62"/>
        <v>103.1111111111103</v>
      </c>
      <c r="AB235" s="23">
        <f t="shared" si="62"/>
        <v>109.55555555555475</v>
      </c>
      <c r="AC235" s="24">
        <f t="shared" si="62"/>
        <v>86.355555555555611</v>
      </c>
      <c r="AD235" s="24">
        <f t="shared" si="62"/>
        <v>96.666666666666799</v>
      </c>
      <c r="AE235" s="24">
        <f t="shared" si="62"/>
        <v>103.1111111111103</v>
      </c>
      <c r="AF235" s="25">
        <f t="shared" si="62"/>
        <v>79.911111111110586</v>
      </c>
      <c r="AG235" s="25">
        <f t="shared" si="62"/>
        <v>90.222222222222626</v>
      </c>
      <c r="AH235" s="25">
        <f t="shared" si="62"/>
        <v>96.666666666666799</v>
      </c>
      <c r="AI235" s="26">
        <f t="shared" si="62"/>
        <v>73.466666666667152</v>
      </c>
      <c r="AJ235" s="26">
        <f t="shared" si="65"/>
        <v>83.777777777777374</v>
      </c>
      <c r="AK235" s="26">
        <f t="shared" si="65"/>
        <v>90.222222222222626</v>
      </c>
    </row>
    <row r="236" spans="4:37" ht="20.100000000000001" customHeight="1">
      <c r="D236" s="27">
        <f t="shared" si="48"/>
        <v>0.64722222222222048</v>
      </c>
      <c r="E236" s="16">
        <f t="shared" si="63"/>
        <v>181.22222222222302</v>
      </c>
      <c r="F236" s="16">
        <f t="shared" si="63"/>
        <v>191.57777777777906</v>
      </c>
      <c r="G236" s="16">
        <f t="shared" si="63"/>
        <v>198.04999999999907</v>
      </c>
      <c r="H236" s="17">
        <f t="shared" si="63"/>
        <v>168.27777777777698</v>
      </c>
      <c r="I236" s="17">
        <f t="shared" si="63"/>
        <v>178.63333333333239</v>
      </c>
      <c r="J236" s="17">
        <f t="shared" si="63"/>
        <v>185.10555555555572</v>
      </c>
      <c r="K236" s="18">
        <f t="shared" si="63"/>
        <v>155.33333333333454</v>
      </c>
      <c r="L236" s="18">
        <f t="shared" si="63"/>
        <v>165.68888888888921</v>
      </c>
      <c r="M236" s="18">
        <f t="shared" si="63"/>
        <v>172.16111111111223</v>
      </c>
      <c r="N236" s="19">
        <f t="shared" si="63"/>
        <v>119.08888888888802</v>
      </c>
      <c r="O236" s="19">
        <f t="shared" si="63"/>
        <v>129.44444444444605</v>
      </c>
      <c r="P236" s="19">
        <f t="shared" si="63"/>
        <v>135.91666666666546</v>
      </c>
      <c r="Q236" s="20">
        <f t="shared" si="63"/>
        <v>112.6166666666679</v>
      </c>
      <c r="R236" s="20">
        <f t="shared" si="63"/>
        <v>122.97222222222302</v>
      </c>
      <c r="S236" s="20">
        <f t="shared" si="63"/>
        <v>129.44444444444605</v>
      </c>
      <c r="T236" s="21">
        <f t="shared" si="62"/>
        <v>106.14444444444533</v>
      </c>
      <c r="U236" s="21">
        <f t="shared" si="62"/>
        <v>116.5</v>
      </c>
      <c r="V236" s="21">
        <f t="shared" si="62"/>
        <v>122.97222222222302</v>
      </c>
      <c r="W236" s="22">
        <f t="shared" si="62"/>
        <v>99.672222222222302</v>
      </c>
      <c r="X236" s="22">
        <f t="shared" si="62"/>
        <v>110.02777777777698</v>
      </c>
      <c r="Y236" s="22">
        <f t="shared" si="62"/>
        <v>116.5</v>
      </c>
      <c r="Z236" s="23">
        <f t="shared" si="62"/>
        <v>93.199999999999278</v>
      </c>
      <c r="AA236" s="23">
        <f t="shared" si="62"/>
        <v>103.55555555555475</v>
      </c>
      <c r="AB236" s="23">
        <f t="shared" si="62"/>
        <v>110.02777777777698</v>
      </c>
      <c r="AC236" s="24">
        <f t="shared" si="62"/>
        <v>86.727777777777831</v>
      </c>
      <c r="AD236" s="24">
        <f t="shared" si="62"/>
        <v>97.083333333333471</v>
      </c>
      <c r="AE236" s="24">
        <f t="shared" si="62"/>
        <v>103.55555555555475</v>
      </c>
      <c r="AF236" s="25">
        <f t="shared" si="62"/>
        <v>80.255555555555034</v>
      </c>
      <c r="AG236" s="25">
        <f t="shared" si="62"/>
        <v>90.611111111111512</v>
      </c>
      <c r="AH236" s="25">
        <f t="shared" si="62"/>
        <v>97.083333333333471</v>
      </c>
      <c r="AI236" s="26">
        <f t="shared" si="62"/>
        <v>73.783333333333815</v>
      </c>
      <c r="AJ236" s="26">
        <f t="shared" si="65"/>
        <v>84.138888888888488</v>
      </c>
      <c r="AK236" s="26">
        <f t="shared" si="65"/>
        <v>90.611111111111512</v>
      </c>
    </row>
    <row r="237" spans="4:37" ht="20.100000000000001" customHeight="1">
      <c r="D237" s="27">
        <f t="shared" si="48"/>
        <v>0.64999999999999825</v>
      </c>
      <c r="E237" s="16">
        <f t="shared" si="63"/>
        <v>182.0000000000008</v>
      </c>
      <c r="F237" s="16">
        <f t="shared" si="63"/>
        <v>192.40000000000128</v>
      </c>
      <c r="G237" s="16">
        <f t="shared" si="63"/>
        <v>198.89999999999907</v>
      </c>
      <c r="H237" s="17">
        <f t="shared" si="63"/>
        <v>168.9999999999992</v>
      </c>
      <c r="I237" s="17">
        <f t="shared" si="63"/>
        <v>179.39999999999907</v>
      </c>
      <c r="J237" s="17">
        <f t="shared" si="63"/>
        <v>185.90000000000018</v>
      </c>
      <c r="K237" s="18">
        <f t="shared" si="63"/>
        <v>156.00000000000119</v>
      </c>
      <c r="L237" s="18">
        <f t="shared" si="63"/>
        <v>166.40000000000032</v>
      </c>
      <c r="M237" s="18">
        <f t="shared" si="63"/>
        <v>172.90000000000111</v>
      </c>
      <c r="N237" s="19">
        <f t="shared" si="63"/>
        <v>119.59999999999913</v>
      </c>
      <c r="O237" s="19">
        <f t="shared" si="63"/>
        <v>130.00000000000159</v>
      </c>
      <c r="P237" s="19">
        <f t="shared" si="63"/>
        <v>136.49999999999881</v>
      </c>
      <c r="Q237" s="20">
        <f t="shared" si="63"/>
        <v>113.10000000000123</v>
      </c>
      <c r="R237" s="20">
        <f t="shared" si="63"/>
        <v>123.5000000000008</v>
      </c>
      <c r="S237" s="20">
        <f t="shared" si="63"/>
        <v>130.00000000000159</v>
      </c>
      <c r="T237" s="21">
        <f t="shared" si="62"/>
        <v>106.60000000000088</v>
      </c>
      <c r="U237" s="21">
        <f t="shared" si="62"/>
        <v>117</v>
      </c>
      <c r="V237" s="21">
        <f t="shared" si="62"/>
        <v>123.5000000000008</v>
      </c>
      <c r="W237" s="22">
        <f t="shared" si="62"/>
        <v>100.10000000000008</v>
      </c>
      <c r="X237" s="22">
        <f t="shared" si="62"/>
        <v>110.4999999999992</v>
      </c>
      <c r="Y237" s="22">
        <f t="shared" si="62"/>
        <v>117</v>
      </c>
      <c r="Z237" s="23">
        <f t="shared" si="62"/>
        <v>93.599999999999284</v>
      </c>
      <c r="AA237" s="23">
        <f t="shared" si="62"/>
        <v>103.99999999999919</v>
      </c>
      <c r="AB237" s="23">
        <f t="shared" si="62"/>
        <v>110.4999999999992</v>
      </c>
      <c r="AC237" s="24">
        <f t="shared" si="62"/>
        <v>87.100000000000051</v>
      </c>
      <c r="AD237" s="24">
        <f t="shared" si="62"/>
        <v>97.500000000000142</v>
      </c>
      <c r="AE237" s="24">
        <f t="shared" si="62"/>
        <v>103.99999999999919</v>
      </c>
      <c r="AF237" s="25">
        <f t="shared" si="62"/>
        <v>80.599999999999483</v>
      </c>
      <c r="AG237" s="25">
        <f t="shared" si="62"/>
        <v>91.000000000000398</v>
      </c>
      <c r="AH237" s="25">
        <f t="shared" si="62"/>
        <v>97.500000000000142</v>
      </c>
      <c r="AI237" s="26">
        <f t="shared" si="62"/>
        <v>74.100000000000477</v>
      </c>
      <c r="AJ237" s="26">
        <f t="shared" si="65"/>
        <v>84.499999999999602</v>
      </c>
      <c r="AK237" s="26">
        <f t="shared" si="65"/>
        <v>91.000000000000398</v>
      </c>
    </row>
    <row r="238" spans="4:37" ht="20.100000000000001" customHeight="1">
      <c r="D238" s="27">
        <f t="shared" si="48"/>
        <v>0.65277777777777601</v>
      </c>
      <c r="E238" s="16">
        <f t="shared" si="63"/>
        <v>182.77777777777857</v>
      </c>
      <c r="F238" s="16">
        <f t="shared" si="63"/>
        <v>193.22222222222351</v>
      </c>
      <c r="G238" s="16">
        <f t="shared" si="63"/>
        <v>199.74999999999906</v>
      </c>
      <c r="H238" s="17">
        <f t="shared" si="63"/>
        <v>169.72222222222143</v>
      </c>
      <c r="I238" s="17">
        <f t="shared" si="63"/>
        <v>180.16666666666575</v>
      </c>
      <c r="J238" s="17">
        <f t="shared" si="63"/>
        <v>186.69444444444463</v>
      </c>
      <c r="K238" s="18">
        <f t="shared" si="63"/>
        <v>156.66666666666785</v>
      </c>
      <c r="L238" s="18">
        <f t="shared" si="63"/>
        <v>167.11111111111143</v>
      </c>
      <c r="M238" s="18">
        <f t="shared" si="63"/>
        <v>173.63888888888999</v>
      </c>
      <c r="N238" s="19">
        <f t="shared" si="63"/>
        <v>120.11111111111023</v>
      </c>
      <c r="O238" s="19">
        <f t="shared" si="63"/>
        <v>130.55555555555713</v>
      </c>
      <c r="P238" s="19">
        <f t="shared" si="63"/>
        <v>137.08333333333215</v>
      </c>
      <c r="Q238" s="20">
        <f t="shared" si="63"/>
        <v>113.58333333333456</v>
      </c>
      <c r="R238" s="20">
        <f t="shared" si="63"/>
        <v>124.02777777777857</v>
      </c>
      <c r="S238" s="20">
        <f t="shared" si="63"/>
        <v>130.55555555555713</v>
      </c>
      <c r="T238" s="21">
        <f t="shared" si="62"/>
        <v>107.05555555555642</v>
      </c>
      <c r="U238" s="21">
        <f t="shared" si="62"/>
        <v>117.5</v>
      </c>
      <c r="V238" s="21">
        <f t="shared" si="62"/>
        <v>124.02777777777857</v>
      </c>
      <c r="W238" s="22">
        <f t="shared" si="62"/>
        <v>100.52777777777786</v>
      </c>
      <c r="X238" s="22">
        <f t="shared" si="62"/>
        <v>110.97222222222143</v>
      </c>
      <c r="Y238" s="22">
        <f t="shared" si="62"/>
        <v>117.5</v>
      </c>
      <c r="Z238" s="23">
        <f t="shared" si="62"/>
        <v>93.999999999999289</v>
      </c>
      <c r="AA238" s="23">
        <f t="shared" si="62"/>
        <v>104.44444444444363</v>
      </c>
      <c r="AB238" s="23">
        <f t="shared" si="62"/>
        <v>110.97222222222143</v>
      </c>
      <c r="AC238" s="24">
        <f t="shared" si="62"/>
        <v>87.472222222222271</v>
      </c>
      <c r="AD238" s="24">
        <f t="shared" si="62"/>
        <v>97.916666666666814</v>
      </c>
      <c r="AE238" s="24">
        <f t="shared" si="62"/>
        <v>104.44444444444363</v>
      </c>
      <c r="AF238" s="25">
        <f t="shared" si="62"/>
        <v>80.944444444443931</v>
      </c>
      <c r="AG238" s="25">
        <f t="shared" si="62"/>
        <v>91.388888888889284</v>
      </c>
      <c r="AH238" s="25">
        <f t="shared" si="62"/>
        <v>97.916666666666814</v>
      </c>
      <c r="AI238" s="26">
        <f t="shared" si="62"/>
        <v>74.41666666666714</v>
      </c>
      <c r="AJ238" s="26">
        <f t="shared" si="65"/>
        <v>84.861111111110716</v>
      </c>
      <c r="AK238" s="26">
        <f t="shared" si="65"/>
        <v>91.388888888889284</v>
      </c>
    </row>
    <row r="239" spans="4:37" ht="20.100000000000001" customHeight="1">
      <c r="D239" s="27">
        <f t="shared" si="48"/>
        <v>0.65555555555555378</v>
      </c>
      <c r="E239" s="16">
        <f t="shared" si="63"/>
        <v>183.55555555555634</v>
      </c>
      <c r="F239" s="16">
        <f t="shared" si="63"/>
        <v>194.04444444444573</v>
      </c>
      <c r="G239" s="16">
        <f t="shared" si="63"/>
        <v>200.59999999999906</v>
      </c>
      <c r="H239" s="17">
        <f t="shared" si="63"/>
        <v>170.44444444444366</v>
      </c>
      <c r="I239" s="17">
        <f t="shared" si="63"/>
        <v>180.93333333333243</v>
      </c>
      <c r="J239" s="17">
        <f t="shared" si="63"/>
        <v>187.48888888888908</v>
      </c>
      <c r="K239" s="18">
        <f t="shared" si="63"/>
        <v>157.33333333333451</v>
      </c>
      <c r="L239" s="18">
        <f t="shared" si="63"/>
        <v>167.82222222222254</v>
      </c>
      <c r="M239" s="18">
        <f t="shared" si="63"/>
        <v>174.37777777777887</v>
      </c>
      <c r="N239" s="19">
        <f t="shared" si="63"/>
        <v>120.62222222222134</v>
      </c>
      <c r="O239" s="19">
        <f t="shared" si="63"/>
        <v>131.11111111111268</v>
      </c>
      <c r="P239" s="19">
        <f t="shared" si="63"/>
        <v>137.66666666666549</v>
      </c>
      <c r="Q239" s="20">
        <f t="shared" si="63"/>
        <v>114.0666666666679</v>
      </c>
      <c r="R239" s="20">
        <f t="shared" si="63"/>
        <v>124.55555555555634</v>
      </c>
      <c r="S239" s="20">
        <f t="shared" si="63"/>
        <v>131.11111111111268</v>
      </c>
      <c r="T239" s="21">
        <f t="shared" si="62"/>
        <v>107.51111111111197</v>
      </c>
      <c r="U239" s="21">
        <f t="shared" si="62"/>
        <v>118</v>
      </c>
      <c r="V239" s="21">
        <f t="shared" si="62"/>
        <v>124.55555555555634</v>
      </c>
      <c r="W239" s="22">
        <f t="shared" si="62"/>
        <v>100.95555555555563</v>
      </c>
      <c r="X239" s="22">
        <f t="shared" si="62"/>
        <v>111.44444444444366</v>
      </c>
      <c r="Y239" s="22">
        <f t="shared" si="62"/>
        <v>118</v>
      </c>
      <c r="Z239" s="23">
        <f t="shared" si="62"/>
        <v>94.399999999999295</v>
      </c>
      <c r="AA239" s="23">
        <f t="shared" si="62"/>
        <v>104.88888888888808</v>
      </c>
      <c r="AB239" s="23">
        <f t="shared" si="62"/>
        <v>111.44444444444366</v>
      </c>
      <c r="AC239" s="24">
        <f t="shared" si="62"/>
        <v>87.844444444444491</v>
      </c>
      <c r="AD239" s="24">
        <f t="shared" si="62"/>
        <v>98.333333333333485</v>
      </c>
      <c r="AE239" s="24">
        <f t="shared" si="62"/>
        <v>104.88888888888808</v>
      </c>
      <c r="AF239" s="25">
        <f t="shared" si="62"/>
        <v>81.28888888888838</v>
      </c>
      <c r="AG239" s="25">
        <f t="shared" si="62"/>
        <v>91.777777777778169</v>
      </c>
      <c r="AH239" s="25">
        <f t="shared" si="62"/>
        <v>98.333333333333485</v>
      </c>
      <c r="AI239" s="26">
        <f t="shared" si="62"/>
        <v>74.733333333333803</v>
      </c>
      <c r="AJ239" s="26">
        <f t="shared" si="65"/>
        <v>85.222222222221831</v>
      </c>
      <c r="AK239" s="26">
        <f t="shared" si="65"/>
        <v>91.777777777778169</v>
      </c>
    </row>
    <row r="240" spans="4:37" ht="20.100000000000001" customHeight="1">
      <c r="D240" s="27">
        <f t="shared" si="48"/>
        <v>0.65833333333333155</v>
      </c>
      <c r="E240" s="16">
        <f t="shared" si="63"/>
        <v>184.33333333333411</v>
      </c>
      <c r="F240" s="16">
        <f t="shared" si="63"/>
        <v>194.86666666666795</v>
      </c>
      <c r="G240" s="16">
        <f t="shared" si="63"/>
        <v>201.44999999999905</v>
      </c>
      <c r="H240" s="17">
        <f t="shared" si="63"/>
        <v>171.16666666666589</v>
      </c>
      <c r="I240" s="17">
        <f t="shared" si="63"/>
        <v>181.69999999999911</v>
      </c>
      <c r="J240" s="17">
        <f t="shared" si="63"/>
        <v>188.28333333333353</v>
      </c>
      <c r="K240" s="18">
        <f t="shared" si="63"/>
        <v>158.00000000000117</v>
      </c>
      <c r="L240" s="18">
        <f t="shared" si="63"/>
        <v>168.53333333333364</v>
      </c>
      <c r="M240" s="18">
        <f t="shared" si="63"/>
        <v>175.11666666666775</v>
      </c>
      <c r="N240" s="19">
        <f t="shared" si="63"/>
        <v>121.13333333333244</v>
      </c>
      <c r="O240" s="19">
        <f t="shared" si="63"/>
        <v>131.66666666666822</v>
      </c>
      <c r="P240" s="19">
        <f t="shared" si="63"/>
        <v>138.24999999999883</v>
      </c>
      <c r="Q240" s="20">
        <f t="shared" si="63"/>
        <v>114.55000000000123</v>
      </c>
      <c r="R240" s="20">
        <f t="shared" si="63"/>
        <v>125.08333333333411</v>
      </c>
      <c r="S240" s="20">
        <f t="shared" si="63"/>
        <v>131.66666666666822</v>
      </c>
      <c r="T240" s="21">
        <f t="shared" si="62"/>
        <v>107.96666666666752</v>
      </c>
      <c r="U240" s="21">
        <f t="shared" si="62"/>
        <v>118.5</v>
      </c>
      <c r="V240" s="21">
        <f t="shared" si="62"/>
        <v>125.08333333333411</v>
      </c>
      <c r="W240" s="22">
        <f t="shared" si="62"/>
        <v>101.38333333333341</v>
      </c>
      <c r="X240" s="22">
        <f t="shared" si="62"/>
        <v>111.91666666666589</v>
      </c>
      <c r="Y240" s="22">
        <f t="shared" si="62"/>
        <v>118.5</v>
      </c>
      <c r="Z240" s="23">
        <f t="shared" si="62"/>
        <v>94.799999999999301</v>
      </c>
      <c r="AA240" s="23">
        <f t="shared" si="62"/>
        <v>105.33333333333252</v>
      </c>
      <c r="AB240" s="23">
        <f t="shared" si="62"/>
        <v>111.91666666666589</v>
      </c>
      <c r="AC240" s="24">
        <f t="shared" si="62"/>
        <v>88.216666666666711</v>
      </c>
      <c r="AD240" s="24">
        <f t="shared" si="62"/>
        <v>98.750000000000156</v>
      </c>
      <c r="AE240" s="24">
        <f t="shared" si="62"/>
        <v>105.33333333333252</v>
      </c>
      <c r="AF240" s="25">
        <f t="shared" si="62"/>
        <v>81.633333333332828</v>
      </c>
      <c r="AG240" s="25">
        <f t="shared" si="62"/>
        <v>92.166666666667055</v>
      </c>
      <c r="AH240" s="25">
        <f t="shared" si="62"/>
        <v>98.750000000000156</v>
      </c>
      <c r="AI240" s="26">
        <f t="shared" si="62"/>
        <v>75.050000000000466</v>
      </c>
      <c r="AJ240" s="26">
        <f t="shared" si="65"/>
        <v>85.583333333332945</v>
      </c>
      <c r="AK240" s="26">
        <f t="shared" si="65"/>
        <v>92.166666666667055</v>
      </c>
    </row>
    <row r="241" spans="4:37" ht="20.100000000000001" customHeight="1">
      <c r="D241" s="27">
        <f t="shared" si="48"/>
        <v>0.66111111111110932</v>
      </c>
      <c r="E241" s="16">
        <f t="shared" si="63"/>
        <v>185.11111111111188</v>
      </c>
      <c r="F241" s="16">
        <f t="shared" si="63"/>
        <v>195.68888888889018</v>
      </c>
      <c r="G241" s="16">
        <f t="shared" si="63"/>
        <v>202.29999999999905</v>
      </c>
      <c r="H241" s="17">
        <f t="shared" si="63"/>
        <v>171.88888888888812</v>
      </c>
      <c r="I241" s="17">
        <f t="shared" si="63"/>
        <v>182.46666666666579</v>
      </c>
      <c r="J241" s="17">
        <f t="shared" si="63"/>
        <v>189.07777777777798</v>
      </c>
      <c r="K241" s="18">
        <f t="shared" si="63"/>
        <v>158.66666666666782</v>
      </c>
      <c r="L241" s="18">
        <f t="shared" si="63"/>
        <v>169.24444444444475</v>
      </c>
      <c r="M241" s="18">
        <f t="shared" si="63"/>
        <v>175.85555555555663</v>
      </c>
      <c r="N241" s="19">
        <f t="shared" si="63"/>
        <v>121.64444444444355</v>
      </c>
      <c r="O241" s="19">
        <f t="shared" si="63"/>
        <v>132.22222222222376</v>
      </c>
      <c r="P241" s="19">
        <f t="shared" si="63"/>
        <v>138.83333333333218</v>
      </c>
      <c r="Q241" s="20">
        <f t="shared" si="63"/>
        <v>115.03333333333457</v>
      </c>
      <c r="R241" s="20">
        <f t="shared" si="63"/>
        <v>125.61111111111188</v>
      </c>
      <c r="S241" s="20">
        <f t="shared" si="63"/>
        <v>132.22222222222376</v>
      </c>
      <c r="T241" s="21">
        <f t="shared" si="63"/>
        <v>108.42222222222307</v>
      </c>
      <c r="U241" s="21">
        <f t="shared" ref="U241:AJ257" si="66">U242-(U$363/360)</f>
        <v>119</v>
      </c>
      <c r="V241" s="21">
        <f t="shared" si="66"/>
        <v>125.61111111111188</v>
      </c>
      <c r="W241" s="22">
        <f t="shared" si="66"/>
        <v>101.81111111111119</v>
      </c>
      <c r="X241" s="22">
        <f t="shared" si="66"/>
        <v>112.38888888888812</v>
      </c>
      <c r="Y241" s="22">
        <f t="shared" si="66"/>
        <v>119</v>
      </c>
      <c r="Z241" s="23">
        <f t="shared" si="66"/>
        <v>95.199999999999307</v>
      </c>
      <c r="AA241" s="23">
        <f t="shared" si="66"/>
        <v>105.77777777777696</v>
      </c>
      <c r="AB241" s="23">
        <f t="shared" si="66"/>
        <v>112.38888888888812</v>
      </c>
      <c r="AC241" s="24">
        <f t="shared" si="66"/>
        <v>88.588888888888931</v>
      </c>
      <c r="AD241" s="24">
        <f t="shared" si="66"/>
        <v>99.166666666666828</v>
      </c>
      <c r="AE241" s="24">
        <f t="shared" si="66"/>
        <v>105.77777777777696</v>
      </c>
      <c r="AF241" s="25">
        <f t="shared" si="66"/>
        <v>81.977777777777277</v>
      </c>
      <c r="AG241" s="25">
        <f t="shared" si="66"/>
        <v>92.555555555555941</v>
      </c>
      <c r="AH241" s="25">
        <f t="shared" si="66"/>
        <v>99.166666666666828</v>
      </c>
      <c r="AI241" s="26">
        <f t="shared" si="66"/>
        <v>75.366666666667129</v>
      </c>
      <c r="AJ241" s="26">
        <f t="shared" si="66"/>
        <v>85.944444444444059</v>
      </c>
      <c r="AK241" s="26">
        <f t="shared" si="65"/>
        <v>92.555555555555941</v>
      </c>
    </row>
    <row r="242" spans="4:37" ht="20.100000000000001" customHeight="1">
      <c r="D242" s="27">
        <f t="shared" si="48"/>
        <v>0.66388888888888709</v>
      </c>
      <c r="E242" s="16">
        <f t="shared" si="63"/>
        <v>185.88888888888965</v>
      </c>
      <c r="F242" s="16">
        <f t="shared" si="63"/>
        <v>196.5111111111124</v>
      </c>
      <c r="G242" s="16">
        <f t="shared" si="63"/>
        <v>203.14999999999904</v>
      </c>
      <c r="H242" s="17">
        <f t="shared" si="63"/>
        <v>172.61111111111035</v>
      </c>
      <c r="I242" s="17">
        <f t="shared" si="63"/>
        <v>183.23333333333247</v>
      </c>
      <c r="J242" s="17">
        <f t="shared" si="63"/>
        <v>189.87222222222243</v>
      </c>
      <c r="K242" s="18">
        <f t="shared" si="63"/>
        <v>159.33333333333448</v>
      </c>
      <c r="L242" s="18">
        <f t="shared" si="63"/>
        <v>169.95555555555586</v>
      </c>
      <c r="M242" s="18">
        <f t="shared" si="63"/>
        <v>176.59444444444551</v>
      </c>
      <c r="N242" s="19">
        <f t="shared" si="63"/>
        <v>122.15555555555466</v>
      </c>
      <c r="O242" s="19">
        <f t="shared" si="63"/>
        <v>132.77777777777931</v>
      </c>
      <c r="P242" s="19">
        <f t="shared" si="63"/>
        <v>139.41666666666552</v>
      </c>
      <c r="Q242" s="20">
        <f t="shared" ref="Q242:AF244" si="67">Q243-(Q$363/360)</f>
        <v>115.5166666666679</v>
      </c>
      <c r="R242" s="20">
        <f t="shared" si="67"/>
        <v>126.13888888888965</v>
      </c>
      <c r="S242" s="20">
        <f t="shared" si="67"/>
        <v>132.77777777777931</v>
      </c>
      <c r="T242" s="21">
        <f t="shared" si="67"/>
        <v>108.87777777777862</v>
      </c>
      <c r="U242" s="21">
        <f t="shared" si="67"/>
        <v>119.5</v>
      </c>
      <c r="V242" s="21">
        <f t="shared" si="67"/>
        <v>126.13888888888965</v>
      </c>
      <c r="W242" s="22">
        <f t="shared" si="67"/>
        <v>102.23888888888897</v>
      </c>
      <c r="X242" s="22">
        <f t="shared" si="67"/>
        <v>112.86111111111035</v>
      </c>
      <c r="Y242" s="22">
        <f t="shared" si="67"/>
        <v>119.5</v>
      </c>
      <c r="Z242" s="23">
        <f t="shared" si="67"/>
        <v>95.599999999999312</v>
      </c>
      <c r="AA242" s="23">
        <f t="shared" si="67"/>
        <v>106.2222222222214</v>
      </c>
      <c r="AB242" s="23">
        <f t="shared" si="67"/>
        <v>112.86111111111035</v>
      </c>
      <c r="AC242" s="24">
        <f t="shared" si="67"/>
        <v>88.961111111111151</v>
      </c>
      <c r="AD242" s="24">
        <f t="shared" si="67"/>
        <v>99.583333333333499</v>
      </c>
      <c r="AE242" s="24">
        <f t="shared" si="67"/>
        <v>106.2222222222214</v>
      </c>
      <c r="AF242" s="25">
        <f t="shared" si="67"/>
        <v>82.322222222221725</v>
      </c>
      <c r="AG242" s="25">
        <f t="shared" si="66"/>
        <v>92.944444444444827</v>
      </c>
      <c r="AH242" s="25">
        <f t="shared" si="66"/>
        <v>99.583333333333499</v>
      </c>
      <c r="AI242" s="26">
        <f t="shared" si="66"/>
        <v>75.683333333333792</v>
      </c>
      <c r="AJ242" s="26">
        <f t="shared" si="66"/>
        <v>86.305555555555173</v>
      </c>
      <c r="AK242" s="26">
        <f t="shared" si="65"/>
        <v>92.944444444444827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186.66666666666742</v>
      </c>
      <c r="F243" s="16">
        <f t="shared" si="68"/>
        <v>197.33333333333462</v>
      </c>
      <c r="G243" s="16">
        <f t="shared" si="68"/>
        <v>203.99999999999903</v>
      </c>
      <c r="H243" s="17">
        <f t="shared" si="68"/>
        <v>173.33333333333258</v>
      </c>
      <c r="I243" s="17">
        <f t="shared" si="68"/>
        <v>183.99999999999915</v>
      </c>
      <c r="J243" s="17">
        <f t="shared" si="68"/>
        <v>190.66666666666688</v>
      </c>
      <c r="K243" s="18">
        <f t="shared" si="68"/>
        <v>160.00000000000114</v>
      </c>
      <c r="L243" s="18">
        <f t="shared" si="68"/>
        <v>170.66666666666697</v>
      </c>
      <c r="M243" s="18">
        <f t="shared" si="68"/>
        <v>177.33333333333439</v>
      </c>
      <c r="N243" s="19">
        <f t="shared" si="68"/>
        <v>122.66666666666576</v>
      </c>
      <c r="O243" s="19">
        <f t="shared" si="68"/>
        <v>133.33333333333485</v>
      </c>
      <c r="P243" s="19">
        <f t="shared" si="68"/>
        <v>139.99999999999886</v>
      </c>
      <c r="Q243" s="20">
        <f t="shared" si="68"/>
        <v>116.00000000000124</v>
      </c>
      <c r="R243" s="20">
        <f t="shared" si="68"/>
        <v>126.66666666666742</v>
      </c>
      <c r="S243" s="20">
        <f t="shared" si="68"/>
        <v>133.33333333333485</v>
      </c>
      <c r="T243" s="21">
        <f t="shared" si="67"/>
        <v>109.33333333333417</v>
      </c>
      <c r="U243" s="21">
        <f t="shared" si="67"/>
        <v>120</v>
      </c>
      <c r="V243" s="21">
        <f t="shared" si="67"/>
        <v>126.66666666666742</v>
      </c>
      <c r="W243" s="22">
        <f t="shared" si="67"/>
        <v>102.66666666666674</v>
      </c>
      <c r="X243" s="22">
        <f t="shared" si="67"/>
        <v>113.33333333333258</v>
      </c>
      <c r="Y243" s="22">
        <f t="shared" si="67"/>
        <v>120</v>
      </c>
      <c r="Z243" s="23">
        <f t="shared" si="67"/>
        <v>95.999999999999318</v>
      </c>
      <c r="AA243" s="23">
        <f t="shared" si="67"/>
        <v>106.66666666666585</v>
      </c>
      <c r="AB243" s="23">
        <f t="shared" si="67"/>
        <v>113.33333333333258</v>
      </c>
      <c r="AC243" s="24">
        <f t="shared" si="67"/>
        <v>89.333333333333371</v>
      </c>
      <c r="AD243" s="24">
        <f t="shared" si="67"/>
        <v>100.00000000000017</v>
      </c>
      <c r="AE243" s="24">
        <f t="shared" si="67"/>
        <v>106.66666666666585</v>
      </c>
      <c r="AF243" s="25">
        <f t="shared" si="67"/>
        <v>82.666666666666174</v>
      </c>
      <c r="AG243" s="25">
        <f t="shared" si="66"/>
        <v>93.333333333333712</v>
      </c>
      <c r="AH243" s="25">
        <f t="shared" si="66"/>
        <v>100.00000000000017</v>
      </c>
      <c r="AI243" s="26">
        <f t="shared" si="66"/>
        <v>76.000000000000455</v>
      </c>
      <c r="AJ243" s="26">
        <f t="shared" si="66"/>
        <v>86.666666666666288</v>
      </c>
      <c r="AK243" s="26">
        <f t="shared" si="65"/>
        <v>93.333333333333712</v>
      </c>
    </row>
    <row r="244" spans="4:37" ht="20.100000000000001" customHeight="1">
      <c r="D244" s="27">
        <f t="shared" si="48"/>
        <v>0.66944444444444262</v>
      </c>
      <c r="E244" s="16">
        <f t="shared" si="68"/>
        <v>187.4444444444452</v>
      </c>
      <c r="F244" s="16">
        <f t="shared" si="68"/>
        <v>198.15555555555684</v>
      </c>
      <c r="G244" s="16">
        <f t="shared" si="68"/>
        <v>204.84999999999903</v>
      </c>
      <c r="H244" s="17">
        <f t="shared" si="68"/>
        <v>174.0555555555548</v>
      </c>
      <c r="I244" s="17">
        <f t="shared" si="68"/>
        <v>184.76666666666583</v>
      </c>
      <c r="J244" s="17">
        <f t="shared" si="68"/>
        <v>191.46111111111134</v>
      </c>
      <c r="K244" s="18">
        <f t="shared" si="68"/>
        <v>160.66666666666779</v>
      </c>
      <c r="L244" s="18">
        <f t="shared" si="68"/>
        <v>171.37777777777808</v>
      </c>
      <c r="M244" s="18">
        <f t="shared" si="68"/>
        <v>178.07222222222327</v>
      </c>
      <c r="N244" s="19">
        <f t="shared" si="68"/>
        <v>123.17777777777687</v>
      </c>
      <c r="O244" s="19">
        <f t="shared" si="68"/>
        <v>133.88888888889039</v>
      </c>
      <c r="P244" s="19">
        <f t="shared" si="68"/>
        <v>140.58333333333221</v>
      </c>
      <c r="Q244" s="20">
        <f t="shared" si="68"/>
        <v>116.48333333333457</v>
      </c>
      <c r="R244" s="20">
        <f t="shared" si="68"/>
        <v>127.1944444444452</v>
      </c>
      <c r="S244" s="20">
        <f t="shared" si="68"/>
        <v>133.88888888889039</v>
      </c>
      <c r="T244" s="21">
        <f t="shared" si="67"/>
        <v>109.78888888888972</v>
      </c>
      <c r="U244" s="21">
        <f t="shared" si="67"/>
        <v>120.5</v>
      </c>
      <c r="V244" s="21">
        <f t="shared" si="67"/>
        <v>127.1944444444452</v>
      </c>
      <c r="W244" s="22">
        <f t="shared" si="67"/>
        <v>103.09444444444452</v>
      </c>
      <c r="X244" s="22">
        <f t="shared" si="67"/>
        <v>113.8055555555548</v>
      </c>
      <c r="Y244" s="22">
        <f t="shared" si="67"/>
        <v>120.5</v>
      </c>
      <c r="Z244" s="23">
        <f t="shared" si="67"/>
        <v>96.399999999999324</v>
      </c>
      <c r="AA244" s="23">
        <f t="shared" si="67"/>
        <v>107.11111111111029</v>
      </c>
      <c r="AB244" s="23">
        <f t="shared" si="67"/>
        <v>113.8055555555548</v>
      </c>
      <c r="AC244" s="24">
        <f t="shared" si="67"/>
        <v>89.705555555555591</v>
      </c>
      <c r="AD244" s="24">
        <f t="shared" si="67"/>
        <v>100.41666666666684</v>
      </c>
      <c r="AE244" s="24">
        <f t="shared" si="67"/>
        <v>107.11111111111029</v>
      </c>
      <c r="AF244" s="25">
        <f t="shared" si="67"/>
        <v>83.011111111110623</v>
      </c>
      <c r="AG244" s="25">
        <f t="shared" si="66"/>
        <v>93.722222222222598</v>
      </c>
      <c r="AH244" s="25">
        <f t="shared" si="66"/>
        <v>100.41666666666684</v>
      </c>
      <c r="AI244" s="26">
        <f t="shared" si="66"/>
        <v>76.316666666667118</v>
      </c>
      <c r="AJ244" s="26">
        <f t="shared" si="66"/>
        <v>87.027777777777402</v>
      </c>
      <c r="AK244" s="26">
        <f t="shared" si="65"/>
        <v>93.722222222222598</v>
      </c>
    </row>
    <row r="245" spans="4:37" ht="20.100000000000001" customHeight="1">
      <c r="D245" s="27">
        <f t="shared" si="48"/>
        <v>0.67222222222222039</v>
      </c>
      <c r="E245" s="16">
        <f t="shared" si="68"/>
        <v>188.22222222222297</v>
      </c>
      <c r="F245" s="16">
        <f t="shared" si="68"/>
        <v>198.97777777777907</v>
      </c>
      <c r="G245" s="16">
        <f t="shared" si="68"/>
        <v>205.69999999999902</v>
      </c>
      <c r="H245" s="17">
        <f t="shared" si="68"/>
        <v>174.77777777777703</v>
      </c>
      <c r="I245" s="17">
        <f t="shared" si="68"/>
        <v>185.53333333333251</v>
      </c>
      <c r="J245" s="17">
        <f t="shared" si="68"/>
        <v>192.25555555555579</v>
      </c>
      <c r="K245" s="18">
        <f t="shared" si="68"/>
        <v>161.33333333333445</v>
      </c>
      <c r="L245" s="18">
        <f t="shared" si="68"/>
        <v>172.08888888888919</v>
      </c>
      <c r="M245" s="18">
        <f t="shared" si="68"/>
        <v>178.81111111111215</v>
      </c>
      <c r="N245" s="19">
        <f t="shared" si="68"/>
        <v>123.68888888888797</v>
      </c>
      <c r="O245" s="19">
        <f t="shared" si="68"/>
        <v>134.44444444444594</v>
      </c>
      <c r="P245" s="19">
        <f t="shared" si="68"/>
        <v>141.16666666666555</v>
      </c>
      <c r="Q245" s="20">
        <f t="shared" si="68"/>
        <v>116.9666666666679</v>
      </c>
      <c r="R245" s="20">
        <f t="shared" si="68"/>
        <v>127.72222222222297</v>
      </c>
      <c r="S245" s="20">
        <f t="shared" si="68"/>
        <v>134.44444444444594</v>
      </c>
      <c r="T245" s="21">
        <f t="shared" si="68"/>
        <v>110.24444444444526</v>
      </c>
      <c r="U245" s="21">
        <f t="shared" si="66"/>
        <v>121</v>
      </c>
      <c r="V245" s="21">
        <f t="shared" si="66"/>
        <v>127.72222222222297</v>
      </c>
      <c r="W245" s="22">
        <f t="shared" si="66"/>
        <v>103.5222222222223</v>
      </c>
      <c r="X245" s="22">
        <f t="shared" si="66"/>
        <v>114.27777777777703</v>
      </c>
      <c r="Y245" s="22">
        <f t="shared" si="66"/>
        <v>121</v>
      </c>
      <c r="Z245" s="23">
        <f t="shared" si="66"/>
        <v>96.799999999999329</v>
      </c>
      <c r="AA245" s="23">
        <f t="shared" si="66"/>
        <v>107.55555555555473</v>
      </c>
      <c r="AB245" s="23">
        <f t="shared" si="66"/>
        <v>114.27777777777703</v>
      </c>
      <c r="AC245" s="24">
        <f t="shared" si="66"/>
        <v>90.077777777777811</v>
      </c>
      <c r="AD245" s="24">
        <f t="shared" si="66"/>
        <v>100.83333333333351</v>
      </c>
      <c r="AE245" s="24">
        <f t="shared" si="66"/>
        <v>107.55555555555473</v>
      </c>
      <c r="AF245" s="25">
        <f t="shared" si="66"/>
        <v>83.355555555555071</v>
      </c>
      <c r="AG245" s="25">
        <f t="shared" si="66"/>
        <v>94.111111111111484</v>
      </c>
      <c r="AH245" s="25">
        <f t="shared" si="66"/>
        <v>100.83333333333351</v>
      </c>
      <c r="AI245" s="26">
        <f t="shared" si="66"/>
        <v>76.633333333333781</v>
      </c>
      <c r="AJ245" s="26">
        <f t="shared" si="66"/>
        <v>87.388888888888516</v>
      </c>
      <c r="AK245" s="26">
        <f t="shared" si="65"/>
        <v>94.111111111111484</v>
      </c>
    </row>
    <row r="246" spans="4:37" ht="20.100000000000001" customHeight="1">
      <c r="D246" s="27">
        <f t="shared" si="48"/>
        <v>0.67499999999999816</v>
      </c>
      <c r="E246" s="16">
        <f t="shared" si="68"/>
        <v>189.00000000000074</v>
      </c>
      <c r="F246" s="16">
        <f t="shared" si="68"/>
        <v>199.80000000000129</v>
      </c>
      <c r="G246" s="16">
        <f t="shared" si="68"/>
        <v>206.54999999999902</v>
      </c>
      <c r="H246" s="17">
        <f t="shared" si="68"/>
        <v>175.49999999999926</v>
      </c>
      <c r="I246" s="17">
        <f t="shared" si="68"/>
        <v>186.29999999999919</v>
      </c>
      <c r="J246" s="17">
        <f t="shared" si="68"/>
        <v>193.05000000000024</v>
      </c>
      <c r="K246" s="18">
        <f t="shared" si="68"/>
        <v>162.00000000000111</v>
      </c>
      <c r="L246" s="18">
        <f t="shared" si="68"/>
        <v>172.8000000000003</v>
      </c>
      <c r="M246" s="18">
        <f t="shared" si="68"/>
        <v>179.55000000000103</v>
      </c>
      <c r="N246" s="19">
        <f t="shared" si="68"/>
        <v>124.19999999999908</v>
      </c>
      <c r="O246" s="19">
        <f t="shared" si="68"/>
        <v>135.00000000000148</v>
      </c>
      <c r="P246" s="19">
        <f t="shared" si="68"/>
        <v>141.74999999999889</v>
      </c>
      <c r="Q246" s="20">
        <f t="shared" si="68"/>
        <v>117.45000000000124</v>
      </c>
      <c r="R246" s="20">
        <f t="shared" si="68"/>
        <v>128.25000000000074</v>
      </c>
      <c r="S246" s="20">
        <f t="shared" si="68"/>
        <v>135.00000000000148</v>
      </c>
      <c r="T246" s="21">
        <f t="shared" si="68"/>
        <v>110.70000000000081</v>
      </c>
      <c r="U246" s="21">
        <f t="shared" si="66"/>
        <v>121.5</v>
      </c>
      <c r="V246" s="21">
        <f t="shared" si="66"/>
        <v>128.25000000000074</v>
      </c>
      <c r="W246" s="22">
        <f t="shared" si="66"/>
        <v>103.95000000000007</v>
      </c>
      <c r="X246" s="22">
        <f t="shared" si="66"/>
        <v>114.74999999999926</v>
      </c>
      <c r="Y246" s="22">
        <f t="shared" si="66"/>
        <v>121.5</v>
      </c>
      <c r="Z246" s="23">
        <f t="shared" si="66"/>
        <v>97.199999999999335</v>
      </c>
      <c r="AA246" s="23">
        <f t="shared" si="66"/>
        <v>107.99999999999918</v>
      </c>
      <c r="AB246" s="23">
        <f t="shared" si="66"/>
        <v>114.74999999999926</v>
      </c>
      <c r="AC246" s="24">
        <f t="shared" si="66"/>
        <v>90.450000000000031</v>
      </c>
      <c r="AD246" s="24">
        <f t="shared" si="66"/>
        <v>101.25000000000018</v>
      </c>
      <c r="AE246" s="24">
        <f t="shared" si="66"/>
        <v>107.99999999999918</v>
      </c>
      <c r="AF246" s="25">
        <f t="shared" si="66"/>
        <v>83.69999999999952</v>
      </c>
      <c r="AG246" s="25">
        <f t="shared" si="66"/>
        <v>94.500000000000369</v>
      </c>
      <c r="AH246" s="25">
        <f t="shared" si="66"/>
        <v>101.25000000000018</v>
      </c>
      <c r="AI246" s="26">
        <f t="shared" si="66"/>
        <v>76.950000000000443</v>
      </c>
      <c r="AJ246" s="26">
        <f t="shared" si="66"/>
        <v>87.749999999999631</v>
      </c>
      <c r="AK246" s="26">
        <f t="shared" si="65"/>
        <v>94.500000000000369</v>
      </c>
    </row>
    <row r="247" spans="4:37" ht="20.100000000000001" customHeight="1">
      <c r="D247" s="27">
        <f t="shared" si="48"/>
        <v>0.67777777777777592</v>
      </c>
      <c r="E247" s="16">
        <f t="shared" si="68"/>
        <v>189.77777777777851</v>
      </c>
      <c r="F247" s="16">
        <f t="shared" si="68"/>
        <v>200.62222222222351</v>
      </c>
      <c r="G247" s="16">
        <f t="shared" si="68"/>
        <v>207.39999999999901</v>
      </c>
      <c r="H247" s="17">
        <f t="shared" si="68"/>
        <v>176.22222222222149</v>
      </c>
      <c r="I247" s="17">
        <f t="shared" si="68"/>
        <v>187.06666666666587</v>
      </c>
      <c r="J247" s="17">
        <f t="shared" si="68"/>
        <v>193.84444444444469</v>
      </c>
      <c r="K247" s="18">
        <f t="shared" si="68"/>
        <v>162.66666666666777</v>
      </c>
      <c r="L247" s="18">
        <f t="shared" si="68"/>
        <v>173.5111111111114</v>
      </c>
      <c r="M247" s="18">
        <f t="shared" si="68"/>
        <v>180.28888888888991</v>
      </c>
      <c r="N247" s="19">
        <f t="shared" si="68"/>
        <v>124.71111111111018</v>
      </c>
      <c r="O247" s="19">
        <f t="shared" si="68"/>
        <v>135.55555555555702</v>
      </c>
      <c r="P247" s="19">
        <f t="shared" si="68"/>
        <v>142.33333333333223</v>
      </c>
      <c r="Q247" s="20">
        <f t="shared" si="68"/>
        <v>117.93333333333457</v>
      </c>
      <c r="R247" s="20">
        <f t="shared" si="68"/>
        <v>128.77777777777851</v>
      </c>
      <c r="S247" s="20">
        <f t="shared" si="68"/>
        <v>135.55555555555702</v>
      </c>
      <c r="T247" s="21">
        <f t="shared" si="68"/>
        <v>111.15555555555636</v>
      </c>
      <c r="U247" s="21">
        <f t="shared" si="66"/>
        <v>122</v>
      </c>
      <c r="V247" s="21">
        <f t="shared" si="66"/>
        <v>128.77777777777851</v>
      </c>
      <c r="W247" s="22">
        <f t="shared" si="66"/>
        <v>104.37777777777785</v>
      </c>
      <c r="X247" s="22">
        <f t="shared" si="66"/>
        <v>115.22222222222149</v>
      </c>
      <c r="Y247" s="22">
        <f t="shared" si="66"/>
        <v>122</v>
      </c>
      <c r="Z247" s="23">
        <f t="shared" si="66"/>
        <v>97.599999999999341</v>
      </c>
      <c r="AA247" s="23">
        <f t="shared" si="66"/>
        <v>108.44444444444362</v>
      </c>
      <c r="AB247" s="23">
        <f t="shared" si="66"/>
        <v>115.22222222222149</v>
      </c>
      <c r="AC247" s="24">
        <f t="shared" si="66"/>
        <v>90.822222222222251</v>
      </c>
      <c r="AD247" s="24">
        <f t="shared" si="66"/>
        <v>101.66666666666686</v>
      </c>
      <c r="AE247" s="24">
        <f t="shared" si="66"/>
        <v>108.44444444444362</v>
      </c>
      <c r="AF247" s="25">
        <f t="shared" si="66"/>
        <v>84.044444444443968</v>
      </c>
      <c r="AG247" s="25">
        <f t="shared" si="66"/>
        <v>94.888888888889255</v>
      </c>
      <c r="AH247" s="25">
        <f t="shared" si="66"/>
        <v>101.66666666666686</v>
      </c>
      <c r="AI247" s="26">
        <f t="shared" si="66"/>
        <v>77.266666666667106</v>
      </c>
      <c r="AJ247" s="26">
        <f t="shared" si="66"/>
        <v>88.111111111110745</v>
      </c>
      <c r="AK247" s="26">
        <f t="shared" si="65"/>
        <v>94.888888888889255</v>
      </c>
    </row>
    <row r="248" spans="4:37" ht="20.100000000000001" customHeight="1">
      <c r="D248" s="27">
        <f t="shared" si="48"/>
        <v>0.68055555555555369</v>
      </c>
      <c r="E248" s="16">
        <f t="shared" si="68"/>
        <v>190.55555555555628</v>
      </c>
      <c r="F248" s="16">
        <f t="shared" si="68"/>
        <v>201.44444444444574</v>
      </c>
      <c r="G248" s="16">
        <f t="shared" si="68"/>
        <v>208.24999999999901</v>
      </c>
      <c r="H248" s="17">
        <f t="shared" si="68"/>
        <v>176.94444444444372</v>
      </c>
      <c r="I248" s="17">
        <f t="shared" si="68"/>
        <v>187.83333333333255</v>
      </c>
      <c r="J248" s="17">
        <f t="shared" si="68"/>
        <v>194.63888888888914</v>
      </c>
      <c r="K248" s="18">
        <f t="shared" si="68"/>
        <v>163.33333333333442</v>
      </c>
      <c r="L248" s="18">
        <f t="shared" si="68"/>
        <v>174.22222222222251</v>
      </c>
      <c r="M248" s="18">
        <f t="shared" si="68"/>
        <v>181.02777777777879</v>
      </c>
      <c r="N248" s="19">
        <f t="shared" si="68"/>
        <v>125.22222222222129</v>
      </c>
      <c r="O248" s="19">
        <f t="shared" si="68"/>
        <v>136.11111111111256</v>
      </c>
      <c r="P248" s="19">
        <f t="shared" si="68"/>
        <v>142.91666666666558</v>
      </c>
      <c r="Q248" s="20">
        <f t="shared" si="68"/>
        <v>118.41666666666791</v>
      </c>
      <c r="R248" s="20">
        <f t="shared" si="68"/>
        <v>129.30555555555628</v>
      </c>
      <c r="S248" s="20">
        <f t="shared" si="68"/>
        <v>136.11111111111256</v>
      </c>
      <c r="T248" s="21">
        <f t="shared" si="68"/>
        <v>111.61111111111191</v>
      </c>
      <c r="U248" s="21">
        <f t="shared" si="66"/>
        <v>122.5</v>
      </c>
      <c r="V248" s="21">
        <f t="shared" si="66"/>
        <v>129.30555555555628</v>
      </c>
      <c r="W248" s="22">
        <f t="shared" si="66"/>
        <v>104.80555555555563</v>
      </c>
      <c r="X248" s="22">
        <f t="shared" si="66"/>
        <v>115.69444444444372</v>
      </c>
      <c r="Y248" s="22">
        <f t="shared" si="66"/>
        <v>122.5</v>
      </c>
      <c r="Z248" s="23">
        <f t="shared" si="66"/>
        <v>97.999999999999346</v>
      </c>
      <c r="AA248" s="23">
        <f t="shared" si="66"/>
        <v>108.88888888888806</v>
      </c>
      <c r="AB248" s="23">
        <f t="shared" si="66"/>
        <v>115.69444444444372</v>
      </c>
      <c r="AC248" s="24">
        <f t="shared" si="66"/>
        <v>91.194444444444471</v>
      </c>
      <c r="AD248" s="24">
        <f t="shared" si="66"/>
        <v>102.08333333333353</v>
      </c>
      <c r="AE248" s="24">
        <f t="shared" si="66"/>
        <v>108.88888888888806</v>
      </c>
      <c r="AF248" s="25">
        <f t="shared" si="66"/>
        <v>84.388888888888417</v>
      </c>
      <c r="AG248" s="25">
        <f t="shared" si="66"/>
        <v>95.277777777778141</v>
      </c>
      <c r="AH248" s="25">
        <f t="shared" si="66"/>
        <v>102.08333333333353</v>
      </c>
      <c r="AI248" s="26">
        <f t="shared" si="66"/>
        <v>77.583333333333769</v>
      </c>
      <c r="AJ248" s="26">
        <f t="shared" si="66"/>
        <v>88.472222222221859</v>
      </c>
      <c r="AK248" s="26">
        <f t="shared" si="65"/>
        <v>95.277777777778141</v>
      </c>
    </row>
    <row r="249" spans="4:37" ht="20.100000000000001" customHeight="1">
      <c r="D249" s="27">
        <f t="shared" si="48"/>
        <v>0.68333333333333146</v>
      </c>
      <c r="E249" s="16">
        <f t="shared" si="68"/>
        <v>191.33333333333405</v>
      </c>
      <c r="F249" s="16">
        <f t="shared" si="68"/>
        <v>202.26666666666796</v>
      </c>
      <c r="G249" s="16">
        <f t="shared" si="68"/>
        <v>209.099999999999</v>
      </c>
      <c r="H249" s="17">
        <f t="shared" si="68"/>
        <v>177.66666666666595</v>
      </c>
      <c r="I249" s="17">
        <f t="shared" si="68"/>
        <v>188.59999999999923</v>
      </c>
      <c r="J249" s="17">
        <f t="shared" si="68"/>
        <v>195.43333333333359</v>
      </c>
      <c r="K249" s="18">
        <f t="shared" si="68"/>
        <v>164.00000000000108</v>
      </c>
      <c r="L249" s="18">
        <f t="shared" si="68"/>
        <v>174.93333333333362</v>
      </c>
      <c r="M249" s="18">
        <f t="shared" si="68"/>
        <v>181.76666666666767</v>
      </c>
      <c r="N249" s="19">
        <f t="shared" si="68"/>
        <v>125.7333333333324</v>
      </c>
      <c r="O249" s="19">
        <f t="shared" si="68"/>
        <v>136.66666666666811</v>
      </c>
      <c r="P249" s="19">
        <f t="shared" si="68"/>
        <v>143.49999999999892</v>
      </c>
      <c r="Q249" s="20">
        <f t="shared" si="68"/>
        <v>118.90000000000124</v>
      </c>
      <c r="R249" s="20">
        <f t="shared" si="68"/>
        <v>129.83333333333405</v>
      </c>
      <c r="S249" s="20">
        <f t="shared" si="68"/>
        <v>136.66666666666811</v>
      </c>
      <c r="T249" s="21">
        <f t="shared" si="68"/>
        <v>112.06666666666746</v>
      </c>
      <c r="U249" s="21">
        <f t="shared" si="66"/>
        <v>123</v>
      </c>
      <c r="V249" s="21">
        <f t="shared" si="66"/>
        <v>129.83333333333405</v>
      </c>
      <c r="W249" s="22">
        <f t="shared" si="66"/>
        <v>105.23333333333341</v>
      </c>
      <c r="X249" s="22">
        <f t="shared" si="66"/>
        <v>116.16666666666595</v>
      </c>
      <c r="Y249" s="22">
        <f t="shared" si="66"/>
        <v>123</v>
      </c>
      <c r="Z249" s="23">
        <f t="shared" si="66"/>
        <v>98.399999999999352</v>
      </c>
      <c r="AA249" s="23">
        <f t="shared" si="66"/>
        <v>109.3333333333325</v>
      </c>
      <c r="AB249" s="23">
        <f t="shared" si="66"/>
        <v>116.16666666666595</v>
      </c>
      <c r="AC249" s="24">
        <f t="shared" si="66"/>
        <v>91.566666666666691</v>
      </c>
      <c r="AD249" s="24">
        <f t="shared" si="66"/>
        <v>102.5000000000002</v>
      </c>
      <c r="AE249" s="24">
        <f t="shared" si="66"/>
        <v>109.3333333333325</v>
      </c>
      <c r="AF249" s="25">
        <f t="shared" si="66"/>
        <v>84.733333333332865</v>
      </c>
      <c r="AG249" s="25">
        <f t="shared" si="66"/>
        <v>95.666666666667027</v>
      </c>
      <c r="AH249" s="25">
        <f t="shared" si="66"/>
        <v>102.5000000000002</v>
      </c>
      <c r="AI249" s="26">
        <f t="shared" si="66"/>
        <v>77.900000000000432</v>
      </c>
      <c r="AJ249" s="26">
        <f t="shared" si="66"/>
        <v>88.833333333332973</v>
      </c>
      <c r="AK249" s="26">
        <f t="shared" si="65"/>
        <v>95.666666666667027</v>
      </c>
    </row>
    <row r="250" spans="4:37" ht="20.100000000000001" customHeight="1">
      <c r="D250" s="27">
        <f t="shared" si="48"/>
        <v>0.68611111111110923</v>
      </c>
      <c r="E250" s="16">
        <f t="shared" si="68"/>
        <v>192.11111111111182</v>
      </c>
      <c r="F250" s="16">
        <f t="shared" si="68"/>
        <v>203.08888888889018</v>
      </c>
      <c r="G250" s="16">
        <f t="shared" si="68"/>
        <v>209.94999999999899</v>
      </c>
      <c r="H250" s="17">
        <f t="shared" si="68"/>
        <v>178.38888888888818</v>
      </c>
      <c r="I250" s="17">
        <f t="shared" si="68"/>
        <v>189.36666666666591</v>
      </c>
      <c r="J250" s="17">
        <f t="shared" si="68"/>
        <v>196.22777777777804</v>
      </c>
      <c r="K250" s="18">
        <f t="shared" si="68"/>
        <v>164.66666666666774</v>
      </c>
      <c r="L250" s="18">
        <f t="shared" si="68"/>
        <v>175.64444444444473</v>
      </c>
      <c r="M250" s="18">
        <f t="shared" si="68"/>
        <v>182.50555555555655</v>
      </c>
      <c r="N250" s="19">
        <f t="shared" si="68"/>
        <v>126.2444444444435</v>
      </c>
      <c r="O250" s="19">
        <f t="shared" si="68"/>
        <v>137.22222222222365</v>
      </c>
      <c r="P250" s="19">
        <f t="shared" si="68"/>
        <v>144.08333333333226</v>
      </c>
      <c r="Q250" s="20">
        <f t="shared" si="68"/>
        <v>119.38333333333458</v>
      </c>
      <c r="R250" s="20">
        <f t="shared" si="68"/>
        <v>130.36111111111182</v>
      </c>
      <c r="S250" s="20">
        <f t="shared" si="68"/>
        <v>137.22222222222365</v>
      </c>
      <c r="T250" s="21">
        <f t="shared" si="68"/>
        <v>112.52222222222301</v>
      </c>
      <c r="U250" s="21">
        <f t="shared" si="66"/>
        <v>123.5</v>
      </c>
      <c r="V250" s="21">
        <f t="shared" si="66"/>
        <v>130.36111111111182</v>
      </c>
      <c r="W250" s="22">
        <f t="shared" si="66"/>
        <v>105.66111111111118</v>
      </c>
      <c r="X250" s="22">
        <f t="shared" si="66"/>
        <v>116.63888888888818</v>
      </c>
      <c r="Y250" s="22">
        <f t="shared" si="66"/>
        <v>123.5</v>
      </c>
      <c r="Z250" s="23">
        <f t="shared" si="66"/>
        <v>98.799999999999358</v>
      </c>
      <c r="AA250" s="23">
        <f t="shared" si="66"/>
        <v>109.77777777777695</v>
      </c>
      <c r="AB250" s="23">
        <f t="shared" si="66"/>
        <v>116.63888888888818</v>
      </c>
      <c r="AC250" s="24">
        <f t="shared" si="66"/>
        <v>91.938888888888911</v>
      </c>
      <c r="AD250" s="24">
        <f t="shared" si="66"/>
        <v>102.91666666666687</v>
      </c>
      <c r="AE250" s="24">
        <f t="shared" si="66"/>
        <v>109.77777777777695</v>
      </c>
      <c r="AF250" s="25">
        <f t="shared" si="66"/>
        <v>85.077777777777314</v>
      </c>
      <c r="AG250" s="25">
        <f t="shared" si="66"/>
        <v>96.055555555555912</v>
      </c>
      <c r="AH250" s="25">
        <f t="shared" si="66"/>
        <v>102.91666666666687</v>
      </c>
      <c r="AI250" s="26">
        <f t="shared" si="66"/>
        <v>78.216666666667095</v>
      </c>
      <c r="AJ250" s="26">
        <f t="shared" si="66"/>
        <v>89.194444444444088</v>
      </c>
      <c r="AK250" s="26">
        <f t="shared" si="65"/>
        <v>96.055555555555912</v>
      </c>
    </row>
    <row r="251" spans="4:37" ht="20.100000000000001" customHeight="1">
      <c r="D251" s="27">
        <f t="shared" si="48"/>
        <v>0.688888888888887</v>
      </c>
      <c r="E251" s="16">
        <f t="shared" si="68"/>
        <v>192.8888888888896</v>
      </c>
      <c r="F251" s="16">
        <f t="shared" si="68"/>
        <v>203.9111111111124</v>
      </c>
      <c r="G251" s="16">
        <f t="shared" si="68"/>
        <v>210.79999999999899</v>
      </c>
      <c r="H251" s="17">
        <f t="shared" si="68"/>
        <v>179.1111111111104</v>
      </c>
      <c r="I251" s="17">
        <f t="shared" si="68"/>
        <v>190.13333333333259</v>
      </c>
      <c r="J251" s="17">
        <f t="shared" si="68"/>
        <v>197.0222222222225</v>
      </c>
      <c r="K251" s="18">
        <f t="shared" si="68"/>
        <v>165.33333333333439</v>
      </c>
      <c r="L251" s="18">
        <f t="shared" si="68"/>
        <v>176.35555555555584</v>
      </c>
      <c r="M251" s="18">
        <f t="shared" si="68"/>
        <v>183.24444444444543</v>
      </c>
      <c r="N251" s="19">
        <f t="shared" si="68"/>
        <v>126.75555555555461</v>
      </c>
      <c r="O251" s="19">
        <f t="shared" si="68"/>
        <v>137.77777777777919</v>
      </c>
      <c r="P251" s="19">
        <f t="shared" si="68"/>
        <v>144.66666666666561</v>
      </c>
      <c r="Q251" s="20">
        <f t="shared" si="68"/>
        <v>119.86666666666791</v>
      </c>
      <c r="R251" s="20">
        <f t="shared" si="68"/>
        <v>130.8888888888896</v>
      </c>
      <c r="S251" s="20">
        <f t="shared" si="68"/>
        <v>137.77777777777919</v>
      </c>
      <c r="T251" s="21">
        <f t="shared" si="68"/>
        <v>112.97777777777856</v>
      </c>
      <c r="U251" s="21">
        <f t="shared" si="66"/>
        <v>124</v>
      </c>
      <c r="V251" s="21">
        <f t="shared" si="66"/>
        <v>130.8888888888896</v>
      </c>
      <c r="W251" s="22">
        <f t="shared" si="66"/>
        <v>106.08888888888896</v>
      </c>
      <c r="X251" s="22">
        <f t="shared" si="66"/>
        <v>117.1111111111104</v>
      </c>
      <c r="Y251" s="22">
        <f t="shared" si="66"/>
        <v>124</v>
      </c>
      <c r="Z251" s="23">
        <f t="shared" si="66"/>
        <v>99.199999999999363</v>
      </c>
      <c r="AA251" s="23">
        <f t="shared" si="66"/>
        <v>110.22222222222139</v>
      </c>
      <c r="AB251" s="23">
        <f t="shared" si="66"/>
        <v>117.1111111111104</v>
      </c>
      <c r="AC251" s="24">
        <f t="shared" si="66"/>
        <v>92.311111111111131</v>
      </c>
      <c r="AD251" s="24">
        <f t="shared" si="66"/>
        <v>103.33333333333354</v>
      </c>
      <c r="AE251" s="24">
        <f t="shared" si="66"/>
        <v>110.22222222222139</v>
      </c>
      <c r="AF251" s="25">
        <f t="shared" si="66"/>
        <v>85.422222222221762</v>
      </c>
      <c r="AG251" s="25">
        <f t="shared" si="66"/>
        <v>96.444444444444798</v>
      </c>
      <c r="AH251" s="25">
        <f t="shared" si="66"/>
        <v>103.33333333333354</v>
      </c>
      <c r="AI251" s="26">
        <f t="shared" si="66"/>
        <v>78.533333333333758</v>
      </c>
      <c r="AJ251" s="26">
        <f t="shared" si="66"/>
        <v>89.555555555555202</v>
      </c>
      <c r="AK251" s="26">
        <f t="shared" si="65"/>
        <v>96.444444444444798</v>
      </c>
    </row>
    <row r="252" spans="4:37" ht="20.100000000000001" customHeight="1">
      <c r="D252" s="27">
        <f t="shared" si="48"/>
        <v>0.69166666666666476</v>
      </c>
      <c r="E252" s="16">
        <f t="shared" si="68"/>
        <v>193.66666666666737</v>
      </c>
      <c r="F252" s="16">
        <f t="shared" si="68"/>
        <v>204.73333333333463</v>
      </c>
      <c r="G252" s="16">
        <f t="shared" si="68"/>
        <v>211.64999999999898</v>
      </c>
      <c r="H252" s="17">
        <f t="shared" si="68"/>
        <v>179.83333333333263</v>
      </c>
      <c r="I252" s="17">
        <f t="shared" si="68"/>
        <v>190.89999999999927</v>
      </c>
      <c r="J252" s="17">
        <f t="shared" si="68"/>
        <v>197.81666666666695</v>
      </c>
      <c r="K252" s="18">
        <f t="shared" si="68"/>
        <v>166.00000000000105</v>
      </c>
      <c r="L252" s="18">
        <f t="shared" si="68"/>
        <v>177.06666666666695</v>
      </c>
      <c r="M252" s="18">
        <f t="shared" si="68"/>
        <v>183.98333333333431</v>
      </c>
      <c r="N252" s="19">
        <f t="shared" si="68"/>
        <v>127.26666666666571</v>
      </c>
      <c r="O252" s="19">
        <f t="shared" si="68"/>
        <v>138.33333333333474</v>
      </c>
      <c r="P252" s="19">
        <f t="shared" si="68"/>
        <v>145.24999999999895</v>
      </c>
      <c r="Q252" s="20">
        <f t="shared" si="68"/>
        <v>120.35000000000124</v>
      </c>
      <c r="R252" s="20">
        <f t="shared" si="68"/>
        <v>131.41666666666737</v>
      </c>
      <c r="S252" s="20">
        <f t="shared" si="68"/>
        <v>138.33333333333474</v>
      </c>
      <c r="T252" s="21">
        <f t="shared" si="68"/>
        <v>113.4333333333341</v>
      </c>
      <c r="U252" s="21">
        <f t="shared" si="66"/>
        <v>124.5</v>
      </c>
      <c r="V252" s="21">
        <f t="shared" si="66"/>
        <v>131.41666666666737</v>
      </c>
      <c r="W252" s="22">
        <f t="shared" si="66"/>
        <v>106.51666666666674</v>
      </c>
      <c r="X252" s="22">
        <f t="shared" si="66"/>
        <v>117.58333333333263</v>
      </c>
      <c r="Y252" s="22">
        <f t="shared" si="66"/>
        <v>124.5</v>
      </c>
      <c r="Z252" s="23">
        <f t="shared" si="66"/>
        <v>99.599999999999369</v>
      </c>
      <c r="AA252" s="23">
        <f t="shared" si="66"/>
        <v>110.66666666666583</v>
      </c>
      <c r="AB252" s="23">
        <f t="shared" si="66"/>
        <v>117.58333333333263</v>
      </c>
      <c r="AC252" s="24">
        <f t="shared" si="66"/>
        <v>92.683333333333351</v>
      </c>
      <c r="AD252" s="24">
        <f t="shared" si="66"/>
        <v>103.75000000000021</v>
      </c>
      <c r="AE252" s="24">
        <f t="shared" si="66"/>
        <v>110.66666666666583</v>
      </c>
      <c r="AF252" s="25">
        <f t="shared" si="66"/>
        <v>85.766666666666211</v>
      </c>
      <c r="AG252" s="25">
        <f t="shared" si="66"/>
        <v>96.833333333333684</v>
      </c>
      <c r="AH252" s="25">
        <f t="shared" si="66"/>
        <v>103.75000000000021</v>
      </c>
      <c r="AI252" s="26">
        <f t="shared" si="66"/>
        <v>78.850000000000421</v>
      </c>
      <c r="AJ252" s="26">
        <f t="shared" si="66"/>
        <v>89.916666666666316</v>
      </c>
      <c r="AK252" s="26">
        <f t="shared" si="65"/>
        <v>96.833333333333684</v>
      </c>
    </row>
    <row r="253" spans="4:37" ht="20.100000000000001" customHeight="1">
      <c r="D253" s="27">
        <f t="shared" si="48"/>
        <v>0.69444444444444253</v>
      </c>
      <c r="E253" s="16">
        <f t="shared" si="68"/>
        <v>194.44444444444514</v>
      </c>
      <c r="F253" s="16">
        <f t="shared" si="68"/>
        <v>205.55555555555685</v>
      </c>
      <c r="G253" s="16">
        <f t="shared" si="68"/>
        <v>212.49999999999898</v>
      </c>
      <c r="H253" s="17">
        <f t="shared" si="68"/>
        <v>180.55555555555486</v>
      </c>
      <c r="I253" s="17">
        <f t="shared" si="68"/>
        <v>191.66666666666595</v>
      </c>
      <c r="J253" s="17">
        <f t="shared" si="68"/>
        <v>198.6111111111114</v>
      </c>
      <c r="K253" s="18">
        <f t="shared" si="68"/>
        <v>166.66666666666771</v>
      </c>
      <c r="L253" s="18">
        <f t="shared" si="68"/>
        <v>177.77777777777806</v>
      </c>
      <c r="M253" s="18">
        <f t="shared" si="68"/>
        <v>184.72222222222319</v>
      </c>
      <c r="N253" s="19">
        <f t="shared" si="68"/>
        <v>127.77777777777682</v>
      </c>
      <c r="O253" s="19">
        <f t="shared" si="68"/>
        <v>138.88888888889028</v>
      </c>
      <c r="P253" s="19">
        <f t="shared" si="68"/>
        <v>145.83333333333229</v>
      </c>
      <c r="Q253" s="20">
        <f t="shared" si="68"/>
        <v>120.83333333333458</v>
      </c>
      <c r="R253" s="20">
        <f t="shared" si="68"/>
        <v>131.94444444444514</v>
      </c>
      <c r="S253" s="20">
        <f t="shared" si="68"/>
        <v>138.88888888889028</v>
      </c>
      <c r="T253" s="21">
        <f t="shared" si="68"/>
        <v>113.88888888888965</v>
      </c>
      <c r="U253" s="21">
        <f t="shared" si="66"/>
        <v>125</v>
      </c>
      <c r="V253" s="21">
        <f t="shared" si="66"/>
        <v>131.94444444444514</v>
      </c>
      <c r="W253" s="22">
        <f t="shared" si="66"/>
        <v>106.94444444444451</v>
      </c>
      <c r="X253" s="22">
        <f t="shared" si="66"/>
        <v>118.05555555555486</v>
      </c>
      <c r="Y253" s="22">
        <f t="shared" si="66"/>
        <v>125</v>
      </c>
      <c r="Z253" s="23">
        <f t="shared" si="66"/>
        <v>99.999999999999375</v>
      </c>
      <c r="AA253" s="23">
        <f t="shared" si="66"/>
        <v>111.11111111111028</v>
      </c>
      <c r="AB253" s="23">
        <f t="shared" si="66"/>
        <v>118.05555555555486</v>
      </c>
      <c r="AC253" s="24">
        <f t="shared" si="66"/>
        <v>93.055555555555571</v>
      </c>
      <c r="AD253" s="24">
        <f t="shared" si="66"/>
        <v>104.16666666666688</v>
      </c>
      <c r="AE253" s="24">
        <f t="shared" si="66"/>
        <v>111.11111111111028</v>
      </c>
      <c r="AF253" s="25">
        <f t="shared" si="66"/>
        <v>86.11111111111066</v>
      </c>
      <c r="AG253" s="25">
        <f t="shared" si="66"/>
        <v>97.22222222222257</v>
      </c>
      <c r="AH253" s="25">
        <f t="shared" si="66"/>
        <v>104.16666666666688</v>
      </c>
      <c r="AI253" s="26">
        <f t="shared" si="66"/>
        <v>79.166666666667084</v>
      </c>
      <c r="AJ253" s="26">
        <f t="shared" si="66"/>
        <v>90.27777777777743</v>
      </c>
      <c r="AK253" s="26">
        <f t="shared" si="65"/>
        <v>97.22222222222257</v>
      </c>
    </row>
    <row r="254" spans="4:37" ht="20.100000000000001" customHeight="1">
      <c r="D254" s="27">
        <f t="shared" si="48"/>
        <v>0.6972222222222203</v>
      </c>
      <c r="E254" s="16">
        <f t="shared" si="68"/>
        <v>195.22222222222291</v>
      </c>
      <c r="F254" s="16">
        <f t="shared" si="68"/>
        <v>206.37777777777907</v>
      </c>
      <c r="G254" s="16">
        <f t="shared" si="68"/>
        <v>213.34999999999897</v>
      </c>
      <c r="H254" s="17">
        <f t="shared" si="68"/>
        <v>181.27777777777709</v>
      </c>
      <c r="I254" s="17">
        <f t="shared" si="68"/>
        <v>192.43333333333263</v>
      </c>
      <c r="J254" s="17">
        <f t="shared" si="68"/>
        <v>199.40555555555585</v>
      </c>
      <c r="K254" s="18">
        <f t="shared" si="68"/>
        <v>167.33333333333437</v>
      </c>
      <c r="L254" s="18">
        <f t="shared" si="68"/>
        <v>178.48888888888916</v>
      </c>
      <c r="M254" s="18">
        <f t="shared" si="68"/>
        <v>185.46111111111207</v>
      </c>
      <c r="N254" s="19">
        <f t="shared" si="68"/>
        <v>128.28888888888793</v>
      </c>
      <c r="O254" s="19">
        <f t="shared" si="68"/>
        <v>139.44444444444582</v>
      </c>
      <c r="P254" s="19">
        <f t="shared" si="68"/>
        <v>146.41666666666563</v>
      </c>
      <c r="Q254" s="20">
        <f t="shared" si="68"/>
        <v>121.31666666666791</v>
      </c>
      <c r="R254" s="20">
        <f t="shared" si="68"/>
        <v>132.47222222222291</v>
      </c>
      <c r="S254" s="20">
        <f t="shared" si="68"/>
        <v>139.44444444444582</v>
      </c>
      <c r="T254" s="21">
        <f t="shared" si="68"/>
        <v>114.3444444444452</v>
      </c>
      <c r="U254" s="21">
        <f t="shared" si="66"/>
        <v>125.5</v>
      </c>
      <c r="V254" s="21">
        <f t="shared" si="66"/>
        <v>132.47222222222291</v>
      </c>
      <c r="W254" s="22">
        <f t="shared" si="66"/>
        <v>107.37222222222229</v>
      </c>
      <c r="X254" s="22">
        <f t="shared" si="66"/>
        <v>118.52777777777709</v>
      </c>
      <c r="Y254" s="22">
        <f t="shared" si="66"/>
        <v>125.5</v>
      </c>
      <c r="Z254" s="23">
        <f t="shared" si="66"/>
        <v>100.39999999999938</v>
      </c>
      <c r="AA254" s="23">
        <f t="shared" si="66"/>
        <v>111.55555555555472</v>
      </c>
      <c r="AB254" s="23">
        <f t="shared" si="66"/>
        <v>118.52777777777709</v>
      </c>
      <c r="AC254" s="24">
        <f t="shared" si="66"/>
        <v>93.427777777777791</v>
      </c>
      <c r="AD254" s="24">
        <f t="shared" si="66"/>
        <v>104.58333333333356</v>
      </c>
      <c r="AE254" s="24">
        <f t="shared" si="66"/>
        <v>111.55555555555472</v>
      </c>
      <c r="AF254" s="25">
        <f t="shared" si="66"/>
        <v>86.455555555555108</v>
      </c>
      <c r="AG254" s="25">
        <f t="shared" si="66"/>
        <v>97.611111111111455</v>
      </c>
      <c r="AH254" s="25">
        <f t="shared" si="66"/>
        <v>104.58333333333356</v>
      </c>
      <c r="AI254" s="26">
        <f t="shared" si="66"/>
        <v>79.483333333333746</v>
      </c>
      <c r="AJ254" s="26">
        <f t="shared" si="66"/>
        <v>90.638888888888545</v>
      </c>
      <c r="AK254" s="26">
        <f t="shared" si="65"/>
        <v>97.611111111111455</v>
      </c>
    </row>
    <row r="255" spans="4:37" ht="20.100000000000001" customHeight="1">
      <c r="D255" s="27">
        <f t="shared" si="48"/>
        <v>0.69999999999999807</v>
      </c>
      <c r="E255" s="16">
        <f t="shared" si="68"/>
        <v>196.00000000000068</v>
      </c>
      <c r="F255" s="16">
        <f t="shared" si="68"/>
        <v>207.2000000000013</v>
      </c>
      <c r="G255" s="16">
        <f t="shared" si="68"/>
        <v>214.19999999999897</v>
      </c>
      <c r="H255" s="17">
        <f t="shared" si="68"/>
        <v>181.99999999999932</v>
      </c>
      <c r="I255" s="17">
        <f t="shared" si="68"/>
        <v>193.19999999999931</v>
      </c>
      <c r="J255" s="17">
        <f t="shared" si="68"/>
        <v>200.2000000000003</v>
      </c>
      <c r="K255" s="18">
        <f t="shared" si="68"/>
        <v>168.00000000000102</v>
      </c>
      <c r="L255" s="18">
        <f t="shared" si="68"/>
        <v>179.20000000000027</v>
      </c>
      <c r="M255" s="18">
        <f t="shared" si="68"/>
        <v>186.20000000000095</v>
      </c>
      <c r="N255" s="19">
        <f t="shared" si="68"/>
        <v>128.79999999999905</v>
      </c>
      <c r="O255" s="19">
        <f t="shared" si="68"/>
        <v>140.00000000000136</v>
      </c>
      <c r="P255" s="19">
        <f t="shared" si="68"/>
        <v>146.99999999999898</v>
      </c>
      <c r="Q255" s="20">
        <f t="shared" si="68"/>
        <v>121.80000000000125</v>
      </c>
      <c r="R255" s="20">
        <f t="shared" si="68"/>
        <v>133.00000000000068</v>
      </c>
      <c r="S255" s="20">
        <f t="shared" si="68"/>
        <v>140.00000000000136</v>
      </c>
      <c r="T255" s="21">
        <f t="shared" si="68"/>
        <v>114.80000000000075</v>
      </c>
      <c r="U255" s="21">
        <f t="shared" si="66"/>
        <v>126</v>
      </c>
      <c r="V255" s="21">
        <f t="shared" si="66"/>
        <v>133.00000000000068</v>
      </c>
      <c r="W255" s="22">
        <f t="shared" si="66"/>
        <v>107.80000000000007</v>
      </c>
      <c r="X255" s="22">
        <f t="shared" si="66"/>
        <v>118.99999999999932</v>
      </c>
      <c r="Y255" s="22">
        <f t="shared" si="66"/>
        <v>126</v>
      </c>
      <c r="Z255" s="23">
        <f t="shared" si="66"/>
        <v>100.79999999999939</v>
      </c>
      <c r="AA255" s="23">
        <f t="shared" si="66"/>
        <v>111.99999999999916</v>
      </c>
      <c r="AB255" s="23">
        <f t="shared" si="66"/>
        <v>118.99999999999932</v>
      </c>
      <c r="AC255" s="24">
        <f t="shared" si="66"/>
        <v>93.800000000000011</v>
      </c>
      <c r="AD255" s="24">
        <f t="shared" si="66"/>
        <v>105.00000000000023</v>
      </c>
      <c r="AE255" s="24">
        <f t="shared" si="66"/>
        <v>111.99999999999916</v>
      </c>
      <c r="AF255" s="25">
        <f t="shared" si="66"/>
        <v>86.799999999999557</v>
      </c>
      <c r="AG255" s="25">
        <f t="shared" si="66"/>
        <v>98.000000000000341</v>
      </c>
      <c r="AH255" s="25">
        <f t="shared" si="66"/>
        <v>105.00000000000023</v>
      </c>
      <c r="AI255" s="26">
        <f t="shared" si="66"/>
        <v>79.800000000000409</v>
      </c>
      <c r="AJ255" s="26">
        <f t="shared" si="66"/>
        <v>90.999999999999659</v>
      </c>
      <c r="AK255" s="26">
        <f t="shared" si="65"/>
        <v>98.000000000000341</v>
      </c>
    </row>
    <row r="256" spans="4:37" ht="20.100000000000001" customHeight="1">
      <c r="D256" s="27">
        <f t="shared" si="48"/>
        <v>0.70277777777777584</v>
      </c>
      <c r="E256" s="16">
        <f t="shared" si="68"/>
        <v>196.77777777777845</v>
      </c>
      <c r="F256" s="16">
        <f t="shared" si="68"/>
        <v>208.02222222222352</v>
      </c>
      <c r="G256" s="16">
        <f t="shared" si="68"/>
        <v>215.04999999999896</v>
      </c>
      <c r="H256" s="17">
        <f t="shared" si="68"/>
        <v>182.72222222222155</v>
      </c>
      <c r="I256" s="17">
        <f t="shared" si="68"/>
        <v>193.96666666666599</v>
      </c>
      <c r="J256" s="17">
        <f t="shared" si="68"/>
        <v>200.99444444444475</v>
      </c>
      <c r="K256" s="18">
        <f t="shared" si="68"/>
        <v>168.66666666666768</v>
      </c>
      <c r="L256" s="18">
        <f t="shared" si="68"/>
        <v>179.91111111111138</v>
      </c>
      <c r="M256" s="18">
        <f t="shared" si="68"/>
        <v>186.93888888888984</v>
      </c>
      <c r="N256" s="19">
        <f t="shared" si="68"/>
        <v>129.31111111111016</v>
      </c>
      <c r="O256" s="19">
        <f t="shared" si="68"/>
        <v>140.55555555555691</v>
      </c>
      <c r="P256" s="19">
        <f t="shared" si="68"/>
        <v>147.58333333333232</v>
      </c>
      <c r="Q256" s="20">
        <f t="shared" si="68"/>
        <v>122.28333333333458</v>
      </c>
      <c r="R256" s="20">
        <f t="shared" si="68"/>
        <v>133.52777777777845</v>
      </c>
      <c r="S256" s="20">
        <f t="shared" si="68"/>
        <v>140.55555555555691</v>
      </c>
      <c r="T256" s="21">
        <f t="shared" si="68"/>
        <v>115.2555555555563</v>
      </c>
      <c r="U256" s="21">
        <f t="shared" si="66"/>
        <v>126.5</v>
      </c>
      <c r="V256" s="21">
        <f t="shared" si="66"/>
        <v>133.52777777777845</v>
      </c>
      <c r="W256" s="22">
        <f t="shared" si="66"/>
        <v>108.22777777777785</v>
      </c>
      <c r="X256" s="22">
        <f t="shared" si="66"/>
        <v>119.47222222222155</v>
      </c>
      <c r="Y256" s="22">
        <f t="shared" si="66"/>
        <v>126.5</v>
      </c>
      <c r="Z256" s="23">
        <f t="shared" si="66"/>
        <v>101.19999999999939</v>
      </c>
      <c r="AA256" s="23">
        <f t="shared" si="66"/>
        <v>112.4444444444436</v>
      </c>
      <c r="AB256" s="23">
        <f t="shared" si="66"/>
        <v>119.47222222222155</v>
      </c>
      <c r="AC256" s="24">
        <f t="shared" si="66"/>
        <v>94.172222222222231</v>
      </c>
      <c r="AD256" s="24">
        <f t="shared" si="66"/>
        <v>105.4166666666669</v>
      </c>
      <c r="AE256" s="24">
        <f t="shared" si="66"/>
        <v>112.4444444444436</v>
      </c>
      <c r="AF256" s="25">
        <f t="shared" si="66"/>
        <v>87.144444444444005</v>
      </c>
      <c r="AG256" s="25">
        <f t="shared" si="66"/>
        <v>98.388888888889227</v>
      </c>
      <c r="AH256" s="25">
        <f t="shared" si="66"/>
        <v>105.4166666666669</v>
      </c>
      <c r="AI256" s="26">
        <f t="shared" si="66"/>
        <v>80.116666666667072</v>
      </c>
      <c r="AJ256" s="26">
        <f t="shared" si="66"/>
        <v>91.361111111110773</v>
      </c>
      <c r="AK256" s="26">
        <f t="shared" si="65"/>
        <v>98.388888888889227</v>
      </c>
    </row>
    <row r="257" spans="4:37" ht="20.100000000000001" customHeight="1">
      <c r="D257" s="27">
        <f t="shared" si="48"/>
        <v>0.7055555555555536</v>
      </c>
      <c r="E257" s="16">
        <f t="shared" si="68"/>
        <v>197.55555555555623</v>
      </c>
      <c r="F257" s="16">
        <f t="shared" si="68"/>
        <v>208.84444444444574</v>
      </c>
      <c r="G257" s="16">
        <f t="shared" si="68"/>
        <v>215.89999999999895</v>
      </c>
      <c r="H257" s="17">
        <f t="shared" si="68"/>
        <v>183.44444444444377</v>
      </c>
      <c r="I257" s="17">
        <f t="shared" si="68"/>
        <v>194.73333333333267</v>
      </c>
      <c r="J257" s="17">
        <f t="shared" si="68"/>
        <v>201.7888888888892</v>
      </c>
      <c r="K257" s="18">
        <f t="shared" si="68"/>
        <v>169.33333333333434</v>
      </c>
      <c r="L257" s="18">
        <f t="shared" si="68"/>
        <v>180.62222222222249</v>
      </c>
      <c r="M257" s="18">
        <f t="shared" si="68"/>
        <v>187.67777777777872</v>
      </c>
      <c r="N257" s="19">
        <f t="shared" si="68"/>
        <v>129.82222222222128</v>
      </c>
      <c r="O257" s="19">
        <f t="shared" si="68"/>
        <v>141.11111111111245</v>
      </c>
      <c r="P257" s="19">
        <f t="shared" si="68"/>
        <v>148.16666666666566</v>
      </c>
      <c r="Q257" s="20">
        <f t="shared" si="68"/>
        <v>122.76666666666792</v>
      </c>
      <c r="R257" s="20">
        <f t="shared" si="68"/>
        <v>134.05555555555623</v>
      </c>
      <c r="S257" s="20">
        <f t="shared" si="68"/>
        <v>141.11111111111245</v>
      </c>
      <c r="T257" s="21">
        <f t="shared" si="68"/>
        <v>115.71111111111185</v>
      </c>
      <c r="U257" s="21">
        <f t="shared" si="66"/>
        <v>127</v>
      </c>
      <c r="V257" s="21">
        <f t="shared" si="66"/>
        <v>134.05555555555623</v>
      </c>
      <c r="W257" s="22">
        <f t="shared" si="66"/>
        <v>108.65555555555562</v>
      </c>
      <c r="X257" s="22">
        <f t="shared" si="66"/>
        <v>119.94444444444377</v>
      </c>
      <c r="Y257" s="22">
        <f t="shared" si="66"/>
        <v>127</v>
      </c>
      <c r="Z257" s="23">
        <f t="shared" si="66"/>
        <v>101.5999999999994</v>
      </c>
      <c r="AA257" s="23">
        <f t="shared" si="66"/>
        <v>112.88888888888805</v>
      </c>
      <c r="AB257" s="23">
        <f t="shared" si="66"/>
        <v>119.94444444444377</v>
      </c>
      <c r="AC257" s="24">
        <f t="shared" si="66"/>
        <v>94.544444444444451</v>
      </c>
      <c r="AD257" s="24">
        <f t="shared" si="66"/>
        <v>105.83333333333357</v>
      </c>
      <c r="AE257" s="24">
        <f t="shared" si="66"/>
        <v>112.88888888888805</v>
      </c>
      <c r="AF257" s="25">
        <f t="shared" si="66"/>
        <v>87.488888888888454</v>
      </c>
      <c r="AG257" s="25">
        <f t="shared" si="66"/>
        <v>98.777777777778113</v>
      </c>
      <c r="AH257" s="25">
        <f t="shared" si="66"/>
        <v>105.83333333333357</v>
      </c>
      <c r="AI257" s="26">
        <f t="shared" si="66"/>
        <v>80.433333333333735</v>
      </c>
      <c r="AJ257" s="26">
        <f t="shared" si="66"/>
        <v>91.722222222221887</v>
      </c>
      <c r="AK257" s="26">
        <f t="shared" si="65"/>
        <v>98.777777777778113</v>
      </c>
    </row>
    <row r="258" spans="4:37" ht="20.100000000000001" customHeight="1">
      <c r="D258" s="27">
        <f t="shared" si="48"/>
        <v>0.70833333333333137</v>
      </c>
      <c r="E258" s="16">
        <f t="shared" si="68"/>
        <v>198.333333333334</v>
      </c>
      <c r="F258" s="16">
        <f t="shared" si="68"/>
        <v>209.66666666666796</v>
      </c>
      <c r="G258" s="16">
        <f t="shared" si="68"/>
        <v>216.74999999999895</v>
      </c>
      <c r="H258" s="17">
        <f t="shared" si="68"/>
        <v>184.166666666666</v>
      </c>
      <c r="I258" s="17">
        <f t="shared" si="68"/>
        <v>195.49999999999935</v>
      </c>
      <c r="J258" s="17">
        <f t="shared" si="68"/>
        <v>202.58333333333366</v>
      </c>
      <c r="K258" s="18">
        <f t="shared" si="68"/>
        <v>170.00000000000099</v>
      </c>
      <c r="L258" s="18">
        <f t="shared" si="68"/>
        <v>181.3333333333336</v>
      </c>
      <c r="M258" s="18">
        <f t="shared" si="68"/>
        <v>188.4166666666676</v>
      </c>
      <c r="N258" s="19">
        <f t="shared" si="68"/>
        <v>130.3333333333324</v>
      </c>
      <c r="O258" s="19">
        <f t="shared" si="68"/>
        <v>141.66666666666799</v>
      </c>
      <c r="P258" s="19">
        <f t="shared" si="68"/>
        <v>148.74999999999901</v>
      </c>
      <c r="Q258" s="20">
        <f t="shared" si="68"/>
        <v>123.25000000000125</v>
      </c>
      <c r="R258" s="20">
        <f t="shared" si="68"/>
        <v>134.583333333334</v>
      </c>
      <c r="S258" s="20">
        <f t="shared" si="68"/>
        <v>141.66666666666799</v>
      </c>
      <c r="T258" s="21">
        <f t="shared" si="68"/>
        <v>116.1666666666674</v>
      </c>
      <c r="U258" s="21">
        <f t="shared" ref="U258:AJ273" si="69">U259-(U$363/360)</f>
        <v>127.5</v>
      </c>
      <c r="V258" s="21">
        <f t="shared" si="69"/>
        <v>134.583333333334</v>
      </c>
      <c r="W258" s="22">
        <f t="shared" si="69"/>
        <v>109.0833333333334</v>
      </c>
      <c r="X258" s="22">
        <f t="shared" si="69"/>
        <v>120.416666666666</v>
      </c>
      <c r="Y258" s="22">
        <f t="shared" si="69"/>
        <v>127.5</v>
      </c>
      <c r="Z258" s="23">
        <f t="shared" si="69"/>
        <v>101.9999999999994</v>
      </c>
      <c r="AA258" s="23">
        <f t="shared" si="69"/>
        <v>113.33333333333249</v>
      </c>
      <c r="AB258" s="23">
        <f t="shared" si="69"/>
        <v>120.416666666666</v>
      </c>
      <c r="AC258" s="24">
        <f t="shared" si="69"/>
        <v>94.916666666666671</v>
      </c>
      <c r="AD258" s="24">
        <f t="shared" si="69"/>
        <v>106.25000000000024</v>
      </c>
      <c r="AE258" s="24">
        <f t="shared" si="69"/>
        <v>113.33333333333249</v>
      </c>
      <c r="AF258" s="25">
        <f t="shared" si="69"/>
        <v>87.833333333332902</v>
      </c>
      <c r="AG258" s="25">
        <f t="shared" si="69"/>
        <v>99.166666666666998</v>
      </c>
      <c r="AH258" s="25">
        <f t="shared" si="69"/>
        <v>106.25000000000024</v>
      </c>
      <c r="AI258" s="26">
        <f t="shared" si="69"/>
        <v>80.750000000000398</v>
      </c>
      <c r="AJ258" s="26">
        <f t="shared" si="69"/>
        <v>92.083333333333002</v>
      </c>
      <c r="AK258" s="26">
        <f t="shared" si="65"/>
        <v>99.166666666666998</v>
      </c>
    </row>
    <row r="259" spans="4:37" ht="20.100000000000001" customHeight="1">
      <c r="D259" s="27">
        <f t="shared" si="48"/>
        <v>0.71111111111110914</v>
      </c>
      <c r="E259" s="16">
        <f t="shared" si="68"/>
        <v>199.11111111111177</v>
      </c>
      <c r="F259" s="16">
        <f t="shared" ref="F259:T259" si="70">F260-(F$363/360)</f>
        <v>210.48888888889019</v>
      </c>
      <c r="G259" s="16">
        <f t="shared" si="70"/>
        <v>217.59999999999894</v>
      </c>
      <c r="H259" s="17">
        <f t="shared" si="70"/>
        <v>184.88888888888823</v>
      </c>
      <c r="I259" s="17">
        <f t="shared" si="70"/>
        <v>196.26666666666603</v>
      </c>
      <c r="J259" s="17">
        <f t="shared" si="70"/>
        <v>203.37777777777811</v>
      </c>
      <c r="K259" s="18">
        <f t="shared" si="70"/>
        <v>170.66666666666765</v>
      </c>
      <c r="L259" s="18">
        <f t="shared" si="70"/>
        <v>182.04444444444471</v>
      </c>
      <c r="M259" s="18">
        <f t="shared" si="70"/>
        <v>189.15555555555648</v>
      </c>
      <c r="N259" s="19">
        <f t="shared" si="70"/>
        <v>130.84444444444352</v>
      </c>
      <c r="O259" s="19">
        <f t="shared" si="70"/>
        <v>142.22222222222354</v>
      </c>
      <c r="P259" s="19">
        <f t="shared" si="70"/>
        <v>149.33333333333235</v>
      </c>
      <c r="Q259" s="20">
        <f t="shared" si="70"/>
        <v>123.73333333333458</v>
      </c>
      <c r="R259" s="20">
        <f t="shared" si="70"/>
        <v>135.11111111111177</v>
      </c>
      <c r="S259" s="20">
        <f t="shared" si="70"/>
        <v>142.22222222222354</v>
      </c>
      <c r="T259" s="21">
        <f t="shared" si="70"/>
        <v>116.62222222222294</v>
      </c>
      <c r="U259" s="21">
        <f t="shared" si="69"/>
        <v>128</v>
      </c>
      <c r="V259" s="21">
        <f t="shared" si="69"/>
        <v>135.11111111111177</v>
      </c>
      <c r="W259" s="22">
        <f t="shared" si="69"/>
        <v>109.51111111111118</v>
      </c>
      <c r="X259" s="22">
        <f t="shared" si="69"/>
        <v>120.88888888888823</v>
      </c>
      <c r="Y259" s="22">
        <f t="shared" si="69"/>
        <v>128</v>
      </c>
      <c r="Z259" s="23">
        <f t="shared" si="69"/>
        <v>102.39999999999941</v>
      </c>
      <c r="AA259" s="23">
        <f t="shared" si="69"/>
        <v>113.77777777777693</v>
      </c>
      <c r="AB259" s="23">
        <f t="shared" si="69"/>
        <v>120.88888888888823</v>
      </c>
      <c r="AC259" s="24">
        <f t="shared" si="69"/>
        <v>95.288888888888891</v>
      </c>
      <c r="AD259" s="24">
        <f t="shared" si="69"/>
        <v>106.66666666666691</v>
      </c>
      <c r="AE259" s="24">
        <f t="shared" si="69"/>
        <v>113.77777777777693</v>
      </c>
      <c r="AF259" s="25">
        <f t="shared" si="69"/>
        <v>88.177777777777351</v>
      </c>
      <c r="AG259" s="25">
        <f t="shared" si="69"/>
        <v>99.555555555555884</v>
      </c>
      <c r="AH259" s="25">
        <f t="shared" si="69"/>
        <v>106.66666666666691</v>
      </c>
      <c r="AI259" s="26">
        <f t="shared" si="69"/>
        <v>81.066666666667061</v>
      </c>
      <c r="AJ259" s="26">
        <f t="shared" si="69"/>
        <v>92.444444444444116</v>
      </c>
      <c r="AK259" s="26">
        <f t="shared" si="65"/>
        <v>99.555555555555884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199.88888888888954</v>
      </c>
      <c r="F260" s="16">
        <f t="shared" si="71"/>
        <v>211.31111111111241</v>
      </c>
      <c r="G260" s="16">
        <f t="shared" si="71"/>
        <v>218.44999999999894</v>
      </c>
      <c r="H260" s="17">
        <f t="shared" si="71"/>
        <v>185.61111111111046</v>
      </c>
      <c r="I260" s="17">
        <f t="shared" si="71"/>
        <v>197.03333333333271</v>
      </c>
      <c r="J260" s="17">
        <f t="shared" si="71"/>
        <v>204.17222222222256</v>
      </c>
      <c r="K260" s="18">
        <f t="shared" si="71"/>
        <v>171.33333333333431</v>
      </c>
      <c r="L260" s="18">
        <f t="shared" si="71"/>
        <v>182.75555555555582</v>
      </c>
      <c r="M260" s="18">
        <f t="shared" si="71"/>
        <v>189.89444444444536</v>
      </c>
      <c r="N260" s="19">
        <f t="shared" si="71"/>
        <v>131.35555555555464</v>
      </c>
      <c r="O260" s="19">
        <f t="shared" si="71"/>
        <v>142.77777777777908</v>
      </c>
      <c r="P260" s="19">
        <f t="shared" si="71"/>
        <v>149.91666666666569</v>
      </c>
      <c r="Q260" s="20">
        <f t="shared" si="71"/>
        <v>124.21666666666792</v>
      </c>
      <c r="R260" s="20">
        <f t="shared" si="71"/>
        <v>135.63888888888954</v>
      </c>
      <c r="S260" s="20">
        <f t="shared" si="71"/>
        <v>142.77777777777908</v>
      </c>
      <c r="T260" s="21">
        <f t="shared" si="71"/>
        <v>117.07777777777849</v>
      </c>
      <c r="U260" s="21">
        <f t="shared" si="69"/>
        <v>128.5</v>
      </c>
      <c r="V260" s="21">
        <f t="shared" si="69"/>
        <v>135.63888888888954</v>
      </c>
      <c r="W260" s="22">
        <f t="shared" si="69"/>
        <v>109.93888888888895</v>
      </c>
      <c r="X260" s="22">
        <f t="shared" si="69"/>
        <v>121.36111111111046</v>
      </c>
      <c r="Y260" s="22">
        <f t="shared" si="69"/>
        <v>128.5</v>
      </c>
      <c r="Z260" s="23">
        <f t="shared" si="69"/>
        <v>102.79999999999941</v>
      </c>
      <c r="AA260" s="23">
        <f t="shared" si="69"/>
        <v>114.22222222222138</v>
      </c>
      <c r="AB260" s="23">
        <f t="shared" si="69"/>
        <v>121.36111111111046</v>
      </c>
      <c r="AC260" s="24">
        <f t="shared" si="69"/>
        <v>95.661111111111111</v>
      </c>
      <c r="AD260" s="24">
        <f t="shared" si="69"/>
        <v>107.08333333333358</v>
      </c>
      <c r="AE260" s="24">
        <f t="shared" si="69"/>
        <v>114.22222222222138</v>
      </c>
      <c r="AF260" s="25">
        <f t="shared" si="69"/>
        <v>88.522222222221799</v>
      </c>
      <c r="AG260" s="25">
        <f t="shared" si="69"/>
        <v>99.94444444444477</v>
      </c>
      <c r="AH260" s="25">
        <f t="shared" si="69"/>
        <v>107.08333333333358</v>
      </c>
      <c r="AI260" s="26">
        <f t="shared" si="69"/>
        <v>81.383333333333724</v>
      </c>
      <c r="AJ260" s="26">
        <f t="shared" si="69"/>
        <v>92.80555555555523</v>
      </c>
      <c r="AK260" s="26">
        <f t="shared" si="65"/>
        <v>99.94444444444477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200.66666666666731</v>
      </c>
      <c r="F261" s="16">
        <f t="shared" si="71"/>
        <v>212.13333333333463</v>
      </c>
      <c r="G261" s="16">
        <f t="shared" si="71"/>
        <v>219.29999999999893</v>
      </c>
      <c r="H261" s="17">
        <f t="shared" si="71"/>
        <v>186.33333333333269</v>
      </c>
      <c r="I261" s="17">
        <f t="shared" si="71"/>
        <v>197.79999999999939</v>
      </c>
      <c r="J261" s="17">
        <f t="shared" si="71"/>
        <v>204.96666666666701</v>
      </c>
      <c r="K261" s="18">
        <f t="shared" si="71"/>
        <v>172.00000000000097</v>
      </c>
      <c r="L261" s="18">
        <f t="shared" si="71"/>
        <v>183.46666666666692</v>
      </c>
      <c r="M261" s="18">
        <f t="shared" si="71"/>
        <v>190.63333333333424</v>
      </c>
      <c r="N261" s="19">
        <f t="shared" si="71"/>
        <v>131.86666666666576</v>
      </c>
      <c r="O261" s="19">
        <f t="shared" si="71"/>
        <v>143.33333333333462</v>
      </c>
      <c r="P261" s="19">
        <f t="shared" si="71"/>
        <v>150.49999999999903</v>
      </c>
      <c r="Q261" s="20">
        <f t="shared" si="71"/>
        <v>124.70000000000125</v>
      </c>
      <c r="R261" s="20">
        <f t="shared" si="71"/>
        <v>136.16666666666731</v>
      </c>
      <c r="S261" s="20">
        <f t="shared" si="71"/>
        <v>143.33333333333462</v>
      </c>
      <c r="T261" s="21">
        <f t="shared" si="71"/>
        <v>117.53333333333404</v>
      </c>
      <c r="U261" s="21">
        <f t="shared" si="69"/>
        <v>129</v>
      </c>
      <c r="V261" s="21">
        <f t="shared" si="69"/>
        <v>136.16666666666731</v>
      </c>
      <c r="W261" s="22">
        <f t="shared" si="69"/>
        <v>110.36666666666673</v>
      </c>
      <c r="X261" s="22">
        <f t="shared" si="69"/>
        <v>121.83333333333269</v>
      </c>
      <c r="Y261" s="22">
        <f t="shared" si="69"/>
        <v>129</v>
      </c>
      <c r="Z261" s="23">
        <f t="shared" si="69"/>
        <v>103.19999999999942</v>
      </c>
      <c r="AA261" s="23">
        <f t="shared" si="69"/>
        <v>114.66666666666582</v>
      </c>
      <c r="AB261" s="23">
        <f t="shared" si="69"/>
        <v>121.83333333333269</v>
      </c>
      <c r="AC261" s="24">
        <f t="shared" si="69"/>
        <v>96.033333333333331</v>
      </c>
      <c r="AD261" s="24">
        <f t="shared" si="69"/>
        <v>107.50000000000026</v>
      </c>
      <c r="AE261" s="24">
        <f t="shared" si="69"/>
        <v>114.66666666666582</v>
      </c>
      <c r="AF261" s="25">
        <f t="shared" si="69"/>
        <v>88.866666666666248</v>
      </c>
      <c r="AG261" s="25">
        <f t="shared" si="69"/>
        <v>100.33333333333366</v>
      </c>
      <c r="AH261" s="25">
        <f t="shared" si="69"/>
        <v>107.50000000000026</v>
      </c>
      <c r="AI261" s="26">
        <f t="shared" si="69"/>
        <v>81.700000000000387</v>
      </c>
      <c r="AJ261" s="26">
        <f t="shared" si="69"/>
        <v>93.166666666666345</v>
      </c>
      <c r="AK261" s="26">
        <f t="shared" si="65"/>
        <v>100.33333333333366</v>
      </c>
    </row>
    <row r="262" spans="4:37" ht="20.100000000000001" customHeight="1">
      <c r="D262" s="27">
        <f t="shared" si="72"/>
        <v>0.71944444444444244</v>
      </c>
      <c r="E262" s="16">
        <f t="shared" si="71"/>
        <v>201.44444444444508</v>
      </c>
      <c r="F262" s="16">
        <f t="shared" si="71"/>
        <v>212.95555555555686</v>
      </c>
      <c r="G262" s="16">
        <f t="shared" si="71"/>
        <v>220.14999999999893</v>
      </c>
      <c r="H262" s="17">
        <f t="shared" si="71"/>
        <v>187.05555555555492</v>
      </c>
      <c r="I262" s="17">
        <f t="shared" si="71"/>
        <v>198.56666666666607</v>
      </c>
      <c r="J262" s="17">
        <f t="shared" si="71"/>
        <v>205.76111111111146</v>
      </c>
      <c r="K262" s="18">
        <f t="shared" si="71"/>
        <v>172.66666666666762</v>
      </c>
      <c r="L262" s="18">
        <f t="shared" si="71"/>
        <v>184.17777777777803</v>
      </c>
      <c r="M262" s="18">
        <f t="shared" si="71"/>
        <v>191.37222222222312</v>
      </c>
      <c r="N262" s="19">
        <f t="shared" si="71"/>
        <v>132.37777777777688</v>
      </c>
      <c r="O262" s="19">
        <f t="shared" si="71"/>
        <v>143.88888888889016</v>
      </c>
      <c r="P262" s="19">
        <f t="shared" si="71"/>
        <v>151.08333333333238</v>
      </c>
      <c r="Q262" s="20">
        <f t="shared" si="71"/>
        <v>125.18333333333459</v>
      </c>
      <c r="R262" s="20">
        <f t="shared" si="71"/>
        <v>136.69444444444508</v>
      </c>
      <c r="S262" s="20">
        <f t="shared" si="71"/>
        <v>143.88888888889016</v>
      </c>
      <c r="T262" s="21">
        <f t="shared" si="71"/>
        <v>117.98888888888959</v>
      </c>
      <c r="U262" s="21">
        <f t="shared" si="69"/>
        <v>129.5</v>
      </c>
      <c r="V262" s="21">
        <f t="shared" si="69"/>
        <v>136.69444444444508</v>
      </c>
      <c r="W262" s="22">
        <f t="shared" si="69"/>
        <v>110.79444444444451</v>
      </c>
      <c r="X262" s="22">
        <f t="shared" si="69"/>
        <v>122.30555555555492</v>
      </c>
      <c r="Y262" s="22">
        <f t="shared" si="69"/>
        <v>129.5</v>
      </c>
      <c r="Z262" s="23">
        <f t="shared" si="69"/>
        <v>103.59999999999943</v>
      </c>
      <c r="AA262" s="23">
        <f t="shared" si="69"/>
        <v>115.11111111111026</v>
      </c>
      <c r="AB262" s="23">
        <f t="shared" si="69"/>
        <v>122.30555555555492</v>
      </c>
      <c r="AC262" s="24">
        <f t="shared" si="69"/>
        <v>96.405555555555551</v>
      </c>
      <c r="AD262" s="24">
        <f t="shared" si="69"/>
        <v>107.91666666666693</v>
      </c>
      <c r="AE262" s="24">
        <f t="shared" si="69"/>
        <v>115.11111111111026</v>
      </c>
      <c r="AF262" s="25">
        <f t="shared" si="69"/>
        <v>89.211111111110696</v>
      </c>
      <c r="AG262" s="25">
        <f t="shared" si="69"/>
        <v>100.72222222222254</v>
      </c>
      <c r="AH262" s="25">
        <f t="shared" si="69"/>
        <v>107.91666666666693</v>
      </c>
      <c r="AI262" s="26">
        <f t="shared" si="69"/>
        <v>82.016666666667049</v>
      </c>
      <c r="AJ262" s="26">
        <f t="shared" si="69"/>
        <v>93.527777777777459</v>
      </c>
      <c r="AK262" s="26">
        <f t="shared" si="65"/>
        <v>100.72222222222254</v>
      </c>
    </row>
    <row r="263" spans="4:37" ht="20.100000000000001" customHeight="1">
      <c r="D263" s="27">
        <f t="shared" si="72"/>
        <v>0.72222222222222021</v>
      </c>
      <c r="E263" s="16">
        <f t="shared" si="71"/>
        <v>202.22222222222285</v>
      </c>
      <c r="F263" s="16">
        <f t="shared" si="71"/>
        <v>213.77777777777908</v>
      </c>
      <c r="G263" s="16">
        <f t="shared" si="71"/>
        <v>220.99999999999892</v>
      </c>
      <c r="H263" s="17">
        <f t="shared" si="71"/>
        <v>187.77777777777715</v>
      </c>
      <c r="I263" s="17">
        <f t="shared" si="71"/>
        <v>199.33333333333275</v>
      </c>
      <c r="J263" s="17">
        <f t="shared" si="71"/>
        <v>206.55555555555591</v>
      </c>
      <c r="K263" s="18">
        <f t="shared" si="71"/>
        <v>173.33333333333428</v>
      </c>
      <c r="L263" s="18">
        <f t="shared" si="71"/>
        <v>184.88888888888914</v>
      </c>
      <c r="M263" s="18">
        <f t="shared" si="71"/>
        <v>192.111111111112</v>
      </c>
      <c r="N263" s="19">
        <f t="shared" si="71"/>
        <v>132.888888888888</v>
      </c>
      <c r="O263" s="19">
        <f t="shared" si="71"/>
        <v>144.44444444444571</v>
      </c>
      <c r="P263" s="19">
        <f t="shared" si="71"/>
        <v>151.66666666666572</v>
      </c>
      <c r="Q263" s="20">
        <f t="shared" si="71"/>
        <v>125.66666666666792</v>
      </c>
      <c r="R263" s="20">
        <f t="shared" si="71"/>
        <v>137.22222222222285</v>
      </c>
      <c r="S263" s="20">
        <f t="shared" si="71"/>
        <v>144.44444444444571</v>
      </c>
      <c r="T263" s="21">
        <f t="shared" si="71"/>
        <v>118.44444444444514</v>
      </c>
      <c r="U263" s="21">
        <f t="shared" si="69"/>
        <v>130</v>
      </c>
      <c r="V263" s="21">
        <f t="shared" si="69"/>
        <v>137.22222222222285</v>
      </c>
      <c r="W263" s="22">
        <f t="shared" si="69"/>
        <v>111.22222222222229</v>
      </c>
      <c r="X263" s="22">
        <f t="shared" si="69"/>
        <v>122.77777777777715</v>
      </c>
      <c r="Y263" s="22">
        <f t="shared" si="69"/>
        <v>130</v>
      </c>
      <c r="Z263" s="23">
        <f t="shared" si="69"/>
        <v>103.99999999999943</v>
      </c>
      <c r="AA263" s="23">
        <f t="shared" si="69"/>
        <v>115.5555555555547</v>
      </c>
      <c r="AB263" s="23">
        <f t="shared" si="69"/>
        <v>122.77777777777715</v>
      </c>
      <c r="AC263" s="24">
        <f t="shared" si="69"/>
        <v>96.777777777777771</v>
      </c>
      <c r="AD263" s="24">
        <f t="shared" si="69"/>
        <v>108.3333333333336</v>
      </c>
      <c r="AE263" s="24">
        <f t="shared" si="69"/>
        <v>115.5555555555547</v>
      </c>
      <c r="AF263" s="25">
        <f t="shared" si="69"/>
        <v>89.555555555555145</v>
      </c>
      <c r="AG263" s="25">
        <f t="shared" si="69"/>
        <v>101.11111111111143</v>
      </c>
      <c r="AH263" s="25">
        <f t="shared" si="69"/>
        <v>108.3333333333336</v>
      </c>
      <c r="AI263" s="26">
        <f t="shared" si="69"/>
        <v>82.333333333333712</v>
      </c>
      <c r="AJ263" s="26">
        <f t="shared" si="69"/>
        <v>93.888888888888573</v>
      </c>
      <c r="AK263" s="26">
        <f t="shared" si="65"/>
        <v>101.11111111111143</v>
      </c>
    </row>
    <row r="264" spans="4:37" ht="20.100000000000001" customHeight="1">
      <c r="D264" s="27">
        <f t="shared" si="72"/>
        <v>0.72499999999999798</v>
      </c>
      <c r="E264" s="16">
        <f t="shared" si="71"/>
        <v>203.00000000000063</v>
      </c>
      <c r="F264" s="16">
        <f t="shared" si="71"/>
        <v>214.6000000000013</v>
      </c>
      <c r="G264" s="16">
        <f t="shared" si="71"/>
        <v>221.84999999999891</v>
      </c>
      <c r="H264" s="17">
        <f t="shared" si="71"/>
        <v>188.49999999999937</v>
      </c>
      <c r="I264" s="17">
        <f t="shared" si="71"/>
        <v>200.09999999999943</v>
      </c>
      <c r="J264" s="17">
        <f t="shared" si="71"/>
        <v>207.35000000000036</v>
      </c>
      <c r="K264" s="18">
        <f t="shared" si="71"/>
        <v>174.00000000000094</v>
      </c>
      <c r="L264" s="18">
        <f t="shared" si="71"/>
        <v>185.60000000000025</v>
      </c>
      <c r="M264" s="18">
        <f t="shared" si="71"/>
        <v>192.85000000000088</v>
      </c>
      <c r="N264" s="19">
        <f t="shared" si="71"/>
        <v>133.39999999999912</v>
      </c>
      <c r="O264" s="19">
        <f t="shared" si="71"/>
        <v>145.00000000000125</v>
      </c>
      <c r="P264" s="19">
        <f t="shared" si="71"/>
        <v>152.24999999999906</v>
      </c>
      <c r="Q264" s="20">
        <f t="shared" si="71"/>
        <v>126.15000000000126</v>
      </c>
      <c r="R264" s="20">
        <f t="shared" si="71"/>
        <v>137.75000000000063</v>
      </c>
      <c r="S264" s="20">
        <f t="shared" si="71"/>
        <v>145.00000000000125</v>
      </c>
      <c r="T264" s="21">
        <f t="shared" si="71"/>
        <v>118.90000000000069</v>
      </c>
      <c r="U264" s="21">
        <f t="shared" si="69"/>
        <v>130.5</v>
      </c>
      <c r="V264" s="21">
        <f t="shared" si="69"/>
        <v>137.75000000000063</v>
      </c>
      <c r="W264" s="22">
        <f t="shared" si="69"/>
        <v>111.65000000000006</v>
      </c>
      <c r="X264" s="22">
        <f t="shared" si="69"/>
        <v>123.24999999999937</v>
      </c>
      <c r="Y264" s="22">
        <f t="shared" si="69"/>
        <v>130.5</v>
      </c>
      <c r="Z264" s="23">
        <f t="shared" si="69"/>
        <v>104.39999999999944</v>
      </c>
      <c r="AA264" s="23">
        <f t="shared" si="69"/>
        <v>115.99999999999915</v>
      </c>
      <c r="AB264" s="23">
        <f t="shared" si="69"/>
        <v>123.24999999999937</v>
      </c>
      <c r="AC264" s="24">
        <f t="shared" si="69"/>
        <v>97.149999999999991</v>
      </c>
      <c r="AD264" s="24">
        <f t="shared" si="69"/>
        <v>108.75000000000027</v>
      </c>
      <c r="AE264" s="24">
        <f t="shared" si="69"/>
        <v>115.99999999999915</v>
      </c>
      <c r="AF264" s="25">
        <f t="shared" si="69"/>
        <v>89.899999999999594</v>
      </c>
      <c r="AG264" s="25">
        <f t="shared" si="69"/>
        <v>101.50000000000031</v>
      </c>
      <c r="AH264" s="25">
        <f t="shared" si="69"/>
        <v>108.75000000000027</v>
      </c>
      <c r="AI264" s="26">
        <f t="shared" si="69"/>
        <v>82.650000000000375</v>
      </c>
      <c r="AJ264" s="26">
        <f t="shared" si="69"/>
        <v>94.249999999999687</v>
      </c>
      <c r="AK264" s="26">
        <f t="shared" si="65"/>
        <v>101.50000000000031</v>
      </c>
    </row>
    <row r="265" spans="4:37" ht="20.100000000000001" customHeight="1">
      <c r="D265" s="27">
        <f t="shared" si="72"/>
        <v>0.72777777777777575</v>
      </c>
      <c r="E265" s="16">
        <f t="shared" si="71"/>
        <v>203.7777777777784</v>
      </c>
      <c r="F265" s="16">
        <f t="shared" si="71"/>
        <v>215.42222222222352</v>
      </c>
      <c r="G265" s="16">
        <f t="shared" si="71"/>
        <v>222.69999999999891</v>
      </c>
      <c r="H265" s="17">
        <f t="shared" si="71"/>
        <v>189.2222222222216</v>
      </c>
      <c r="I265" s="17">
        <f t="shared" si="71"/>
        <v>200.86666666666611</v>
      </c>
      <c r="J265" s="17">
        <f t="shared" si="71"/>
        <v>208.14444444444482</v>
      </c>
      <c r="K265" s="18">
        <f t="shared" si="71"/>
        <v>174.6666666666676</v>
      </c>
      <c r="L265" s="18">
        <f t="shared" si="71"/>
        <v>186.31111111111136</v>
      </c>
      <c r="M265" s="18">
        <f t="shared" si="71"/>
        <v>193.58888888888976</v>
      </c>
      <c r="N265" s="19">
        <f t="shared" si="71"/>
        <v>133.91111111111024</v>
      </c>
      <c r="O265" s="19">
        <f t="shared" si="71"/>
        <v>145.55555555555679</v>
      </c>
      <c r="P265" s="19">
        <f t="shared" si="71"/>
        <v>152.8333333333324</v>
      </c>
      <c r="Q265" s="20">
        <f t="shared" si="71"/>
        <v>126.63333333333459</v>
      </c>
      <c r="R265" s="20">
        <f t="shared" si="71"/>
        <v>138.2777777777784</v>
      </c>
      <c r="S265" s="20">
        <f t="shared" si="71"/>
        <v>145.55555555555679</v>
      </c>
      <c r="T265" s="21">
        <f t="shared" si="71"/>
        <v>119.35555555555624</v>
      </c>
      <c r="U265" s="21">
        <f t="shared" si="69"/>
        <v>131</v>
      </c>
      <c r="V265" s="21">
        <f t="shared" si="69"/>
        <v>138.2777777777784</v>
      </c>
      <c r="W265" s="22">
        <f t="shared" si="69"/>
        <v>112.07777777777784</v>
      </c>
      <c r="X265" s="22">
        <f t="shared" si="69"/>
        <v>123.7222222222216</v>
      </c>
      <c r="Y265" s="22">
        <f t="shared" si="69"/>
        <v>131</v>
      </c>
      <c r="Z265" s="23">
        <f t="shared" si="69"/>
        <v>104.79999999999944</v>
      </c>
      <c r="AA265" s="23">
        <f t="shared" si="69"/>
        <v>116.44444444444359</v>
      </c>
      <c r="AB265" s="23">
        <f t="shared" si="69"/>
        <v>123.7222222222216</v>
      </c>
      <c r="AC265" s="24">
        <f t="shared" si="69"/>
        <v>97.522222222222211</v>
      </c>
      <c r="AD265" s="24">
        <f t="shared" si="69"/>
        <v>109.16666666666694</v>
      </c>
      <c r="AE265" s="24">
        <f t="shared" si="69"/>
        <v>116.44444444444359</v>
      </c>
      <c r="AF265" s="25">
        <f t="shared" si="69"/>
        <v>90.244444444444042</v>
      </c>
      <c r="AG265" s="25">
        <f t="shared" si="69"/>
        <v>101.8888888888892</v>
      </c>
      <c r="AH265" s="25">
        <f t="shared" si="69"/>
        <v>109.16666666666694</v>
      </c>
      <c r="AI265" s="26">
        <f t="shared" si="69"/>
        <v>82.966666666667038</v>
      </c>
      <c r="AJ265" s="26">
        <f t="shared" si="69"/>
        <v>94.611111111110802</v>
      </c>
      <c r="AK265" s="26">
        <f t="shared" si="65"/>
        <v>101.8888888888892</v>
      </c>
    </row>
    <row r="266" spans="4:37" ht="20.100000000000001" customHeight="1">
      <c r="D266" s="27">
        <f t="shared" si="72"/>
        <v>0.73055555555555352</v>
      </c>
      <c r="E266" s="16">
        <f t="shared" si="71"/>
        <v>204.55555555555617</v>
      </c>
      <c r="F266" s="16">
        <f t="shared" si="71"/>
        <v>216.24444444444575</v>
      </c>
      <c r="G266" s="16">
        <f t="shared" si="71"/>
        <v>223.5499999999989</v>
      </c>
      <c r="H266" s="17">
        <f t="shared" si="71"/>
        <v>189.94444444444383</v>
      </c>
      <c r="I266" s="17">
        <f t="shared" si="71"/>
        <v>201.63333333333279</v>
      </c>
      <c r="J266" s="17">
        <f t="shared" si="71"/>
        <v>208.93888888888927</v>
      </c>
      <c r="K266" s="18">
        <f t="shared" si="71"/>
        <v>175.33333333333425</v>
      </c>
      <c r="L266" s="18">
        <f t="shared" si="71"/>
        <v>187.02222222222247</v>
      </c>
      <c r="M266" s="18">
        <f t="shared" si="71"/>
        <v>194.32777777777864</v>
      </c>
      <c r="N266" s="19">
        <f t="shared" si="71"/>
        <v>134.42222222222136</v>
      </c>
      <c r="O266" s="19">
        <f t="shared" si="71"/>
        <v>146.11111111111234</v>
      </c>
      <c r="P266" s="19">
        <f t="shared" si="71"/>
        <v>153.41666666666575</v>
      </c>
      <c r="Q266" s="20">
        <f t="shared" si="71"/>
        <v>127.11666666666792</v>
      </c>
      <c r="R266" s="20">
        <f t="shared" si="71"/>
        <v>138.80555555555617</v>
      </c>
      <c r="S266" s="20">
        <f t="shared" si="71"/>
        <v>146.11111111111234</v>
      </c>
      <c r="T266" s="21">
        <f t="shared" si="71"/>
        <v>119.81111111111179</v>
      </c>
      <c r="U266" s="21">
        <f t="shared" si="69"/>
        <v>131.5</v>
      </c>
      <c r="V266" s="21">
        <f t="shared" si="69"/>
        <v>138.80555555555617</v>
      </c>
      <c r="W266" s="22">
        <f t="shared" si="69"/>
        <v>112.50555555555562</v>
      </c>
      <c r="X266" s="22">
        <f t="shared" si="69"/>
        <v>124.19444444444383</v>
      </c>
      <c r="Y266" s="22">
        <f t="shared" si="69"/>
        <v>131.5</v>
      </c>
      <c r="Z266" s="23">
        <f t="shared" si="69"/>
        <v>105.19999999999945</v>
      </c>
      <c r="AA266" s="23">
        <f t="shared" si="69"/>
        <v>116.88888888888803</v>
      </c>
      <c r="AB266" s="23">
        <f t="shared" si="69"/>
        <v>124.19444444444383</v>
      </c>
      <c r="AC266" s="24">
        <f t="shared" si="69"/>
        <v>97.894444444444431</v>
      </c>
      <c r="AD266" s="24">
        <f t="shared" si="69"/>
        <v>109.58333333333361</v>
      </c>
      <c r="AE266" s="24">
        <f t="shared" si="69"/>
        <v>116.88888888888803</v>
      </c>
      <c r="AF266" s="25">
        <f t="shared" si="69"/>
        <v>90.588888888888491</v>
      </c>
      <c r="AG266" s="25">
        <f t="shared" si="69"/>
        <v>102.27777777777808</v>
      </c>
      <c r="AH266" s="25">
        <f t="shared" si="69"/>
        <v>109.58333333333361</v>
      </c>
      <c r="AI266" s="26">
        <f t="shared" si="69"/>
        <v>83.283333333333701</v>
      </c>
      <c r="AJ266" s="26">
        <f t="shared" si="69"/>
        <v>94.972222222221916</v>
      </c>
      <c r="AK266" s="26">
        <f t="shared" si="65"/>
        <v>102.27777777777808</v>
      </c>
    </row>
    <row r="267" spans="4:37" ht="20.100000000000001" customHeight="1">
      <c r="D267" s="27">
        <f t="shared" si="72"/>
        <v>0.73333333333333128</v>
      </c>
      <c r="E267" s="16">
        <f t="shared" si="71"/>
        <v>205.33333333333394</v>
      </c>
      <c r="F267" s="16">
        <f t="shared" si="71"/>
        <v>217.06666666666797</v>
      </c>
      <c r="G267" s="16">
        <f t="shared" si="71"/>
        <v>224.3999999999989</v>
      </c>
      <c r="H267" s="17">
        <f t="shared" si="71"/>
        <v>190.66666666666606</v>
      </c>
      <c r="I267" s="17">
        <f t="shared" si="71"/>
        <v>202.39999999999947</v>
      </c>
      <c r="J267" s="17">
        <f t="shared" si="71"/>
        <v>209.73333333333372</v>
      </c>
      <c r="K267" s="18">
        <f t="shared" si="71"/>
        <v>176.00000000000091</v>
      </c>
      <c r="L267" s="18">
        <f t="shared" si="71"/>
        <v>187.73333333333358</v>
      </c>
      <c r="M267" s="18">
        <f t="shared" si="71"/>
        <v>195.06666666666752</v>
      </c>
      <c r="N267" s="19">
        <f t="shared" si="71"/>
        <v>134.93333333333248</v>
      </c>
      <c r="O267" s="19">
        <f t="shared" si="71"/>
        <v>146.66666666666788</v>
      </c>
      <c r="P267" s="19">
        <f t="shared" si="71"/>
        <v>153.99999999999909</v>
      </c>
      <c r="Q267" s="20">
        <f t="shared" si="71"/>
        <v>127.60000000000126</v>
      </c>
      <c r="R267" s="20">
        <f t="shared" si="71"/>
        <v>139.33333333333394</v>
      </c>
      <c r="S267" s="20">
        <f t="shared" si="71"/>
        <v>146.66666666666788</v>
      </c>
      <c r="T267" s="21">
        <f t="shared" si="71"/>
        <v>120.26666666666733</v>
      </c>
      <c r="U267" s="21">
        <f t="shared" si="69"/>
        <v>132</v>
      </c>
      <c r="V267" s="21">
        <f t="shared" si="69"/>
        <v>139.33333333333394</v>
      </c>
      <c r="W267" s="22">
        <f t="shared" si="69"/>
        <v>112.93333333333339</v>
      </c>
      <c r="X267" s="22">
        <f t="shared" si="69"/>
        <v>124.66666666666606</v>
      </c>
      <c r="Y267" s="22">
        <f t="shared" si="69"/>
        <v>132</v>
      </c>
      <c r="Z267" s="23">
        <f t="shared" si="69"/>
        <v>105.59999999999945</v>
      </c>
      <c r="AA267" s="23">
        <f t="shared" si="69"/>
        <v>117.33333333333248</v>
      </c>
      <c r="AB267" s="23">
        <f t="shared" si="69"/>
        <v>124.66666666666606</v>
      </c>
      <c r="AC267" s="24">
        <f t="shared" si="69"/>
        <v>98.266666666666652</v>
      </c>
      <c r="AD267" s="24">
        <f t="shared" si="69"/>
        <v>110.00000000000028</v>
      </c>
      <c r="AE267" s="24">
        <f t="shared" si="69"/>
        <v>117.33333333333248</v>
      </c>
      <c r="AF267" s="25">
        <f t="shared" si="69"/>
        <v>90.933333333332939</v>
      </c>
      <c r="AG267" s="25">
        <f t="shared" si="69"/>
        <v>102.66666666666697</v>
      </c>
      <c r="AH267" s="25">
        <f t="shared" si="69"/>
        <v>110.00000000000028</v>
      </c>
      <c r="AI267" s="26">
        <f t="shared" si="69"/>
        <v>83.600000000000364</v>
      </c>
      <c r="AJ267" s="26">
        <f t="shared" si="69"/>
        <v>95.33333333333303</v>
      </c>
      <c r="AK267" s="26">
        <f t="shared" si="65"/>
        <v>102.66666666666697</v>
      </c>
    </row>
    <row r="268" spans="4:37" ht="20.100000000000001" customHeight="1">
      <c r="D268" s="27">
        <f t="shared" si="72"/>
        <v>0.73611111111110905</v>
      </c>
      <c r="E268" s="16">
        <f t="shared" si="71"/>
        <v>206.11111111111171</v>
      </c>
      <c r="F268" s="16">
        <f t="shared" si="71"/>
        <v>217.88888888889019</v>
      </c>
      <c r="G268" s="16">
        <f t="shared" si="71"/>
        <v>225.24999999999889</v>
      </c>
      <c r="H268" s="17">
        <f t="shared" si="71"/>
        <v>191.38888888888829</v>
      </c>
      <c r="I268" s="17">
        <f t="shared" si="71"/>
        <v>203.16666666666615</v>
      </c>
      <c r="J268" s="17">
        <f t="shared" si="71"/>
        <v>210.52777777777817</v>
      </c>
      <c r="K268" s="18">
        <f t="shared" si="71"/>
        <v>176.66666666666757</v>
      </c>
      <c r="L268" s="18">
        <f t="shared" si="71"/>
        <v>188.44444444444468</v>
      </c>
      <c r="M268" s="18">
        <f t="shared" si="71"/>
        <v>195.8055555555564</v>
      </c>
      <c r="N268" s="19">
        <f t="shared" si="71"/>
        <v>135.4444444444436</v>
      </c>
      <c r="O268" s="19">
        <f t="shared" si="71"/>
        <v>147.22222222222342</v>
      </c>
      <c r="P268" s="19">
        <f t="shared" si="71"/>
        <v>154.58333333333243</v>
      </c>
      <c r="Q268" s="20">
        <f t="shared" si="71"/>
        <v>128.08333333333459</v>
      </c>
      <c r="R268" s="20">
        <f t="shared" si="71"/>
        <v>139.86111111111171</v>
      </c>
      <c r="S268" s="20">
        <f t="shared" si="71"/>
        <v>147.22222222222342</v>
      </c>
      <c r="T268" s="21">
        <f t="shared" si="71"/>
        <v>120.72222222222288</v>
      </c>
      <c r="U268" s="21">
        <f t="shared" si="69"/>
        <v>132.5</v>
      </c>
      <c r="V268" s="21">
        <f t="shared" si="69"/>
        <v>139.86111111111171</v>
      </c>
      <c r="W268" s="22">
        <f t="shared" si="69"/>
        <v>113.36111111111117</v>
      </c>
      <c r="X268" s="22">
        <f t="shared" si="69"/>
        <v>125.13888888888829</v>
      </c>
      <c r="Y268" s="22">
        <f t="shared" si="69"/>
        <v>132.5</v>
      </c>
      <c r="Z268" s="23">
        <f t="shared" si="69"/>
        <v>105.99999999999946</v>
      </c>
      <c r="AA268" s="23">
        <f t="shared" si="69"/>
        <v>117.77777777777692</v>
      </c>
      <c r="AB268" s="23">
        <f t="shared" si="69"/>
        <v>125.13888888888829</v>
      </c>
      <c r="AC268" s="24">
        <f t="shared" si="69"/>
        <v>98.638888888888872</v>
      </c>
      <c r="AD268" s="24">
        <f t="shared" si="69"/>
        <v>110.41666666666696</v>
      </c>
      <c r="AE268" s="24">
        <f t="shared" si="69"/>
        <v>117.77777777777692</v>
      </c>
      <c r="AF268" s="25">
        <f t="shared" si="69"/>
        <v>91.277777777777388</v>
      </c>
      <c r="AG268" s="25">
        <f t="shared" si="69"/>
        <v>103.05555555555586</v>
      </c>
      <c r="AH268" s="25">
        <f t="shared" si="69"/>
        <v>110.41666666666696</v>
      </c>
      <c r="AI268" s="26">
        <f t="shared" si="69"/>
        <v>83.916666666667027</v>
      </c>
      <c r="AJ268" s="26">
        <f t="shared" si="69"/>
        <v>95.694444444444144</v>
      </c>
      <c r="AK268" s="26">
        <f t="shared" si="65"/>
        <v>103.05555555555586</v>
      </c>
    </row>
    <row r="269" spans="4:37" ht="20.100000000000001" customHeight="1">
      <c r="D269" s="27">
        <f t="shared" si="72"/>
        <v>0.73888888888888682</v>
      </c>
      <c r="E269" s="16">
        <f t="shared" si="71"/>
        <v>206.88888888888948</v>
      </c>
      <c r="F269" s="16">
        <f t="shared" si="71"/>
        <v>218.71111111111242</v>
      </c>
      <c r="G269" s="16">
        <f t="shared" si="71"/>
        <v>226.09999999999889</v>
      </c>
      <c r="H269" s="17">
        <f t="shared" si="71"/>
        <v>192.11111111111052</v>
      </c>
      <c r="I269" s="17">
        <f t="shared" si="71"/>
        <v>203.93333333333283</v>
      </c>
      <c r="J269" s="17">
        <f t="shared" si="71"/>
        <v>211.32222222222262</v>
      </c>
      <c r="K269" s="18">
        <f t="shared" si="71"/>
        <v>177.33333333333422</v>
      </c>
      <c r="L269" s="18">
        <f t="shared" si="71"/>
        <v>189.15555555555579</v>
      </c>
      <c r="M269" s="18">
        <f t="shared" si="71"/>
        <v>196.54444444444528</v>
      </c>
      <c r="N269" s="19">
        <f t="shared" si="71"/>
        <v>135.95555555555472</v>
      </c>
      <c r="O269" s="19">
        <f t="shared" si="71"/>
        <v>147.77777777777897</v>
      </c>
      <c r="P269" s="19">
        <f t="shared" si="71"/>
        <v>155.16666666666578</v>
      </c>
      <c r="Q269" s="20">
        <f t="shared" si="71"/>
        <v>128.56666666666791</v>
      </c>
      <c r="R269" s="20">
        <f t="shared" si="71"/>
        <v>140.38888888888948</v>
      </c>
      <c r="S269" s="20">
        <f t="shared" si="71"/>
        <v>147.77777777777897</v>
      </c>
      <c r="T269" s="21">
        <f t="shared" si="71"/>
        <v>121.17777777777843</v>
      </c>
      <c r="U269" s="21">
        <f t="shared" si="69"/>
        <v>133</v>
      </c>
      <c r="V269" s="21">
        <f t="shared" si="69"/>
        <v>140.38888888888948</v>
      </c>
      <c r="W269" s="22">
        <f t="shared" si="69"/>
        <v>113.78888888888895</v>
      </c>
      <c r="X269" s="22">
        <f t="shared" si="69"/>
        <v>125.61111111111052</v>
      </c>
      <c r="Y269" s="22">
        <f t="shared" si="69"/>
        <v>133</v>
      </c>
      <c r="Z269" s="23">
        <f t="shared" si="69"/>
        <v>106.39999999999947</v>
      </c>
      <c r="AA269" s="23">
        <f t="shared" si="69"/>
        <v>118.22222222222136</v>
      </c>
      <c r="AB269" s="23">
        <f t="shared" si="69"/>
        <v>125.61111111111052</v>
      </c>
      <c r="AC269" s="24">
        <f t="shared" si="69"/>
        <v>99.011111111111092</v>
      </c>
      <c r="AD269" s="24">
        <f t="shared" si="69"/>
        <v>110.83333333333363</v>
      </c>
      <c r="AE269" s="24">
        <f t="shared" si="69"/>
        <v>118.22222222222136</v>
      </c>
      <c r="AF269" s="25">
        <f t="shared" si="69"/>
        <v>91.622222222221836</v>
      </c>
      <c r="AG269" s="25">
        <f t="shared" si="69"/>
        <v>103.44444444444474</v>
      </c>
      <c r="AH269" s="25">
        <f t="shared" si="69"/>
        <v>110.83333333333363</v>
      </c>
      <c r="AI269" s="26">
        <f t="shared" si="69"/>
        <v>84.23333333333369</v>
      </c>
      <c r="AJ269" s="26">
        <f t="shared" si="69"/>
        <v>96.055555555555259</v>
      </c>
      <c r="AK269" s="26">
        <f t="shared" si="65"/>
        <v>103.44444444444474</v>
      </c>
    </row>
    <row r="270" spans="4:37" ht="20.100000000000001" customHeight="1">
      <c r="D270" s="27">
        <f t="shared" si="72"/>
        <v>0.74166666666666459</v>
      </c>
      <c r="E270" s="16">
        <f t="shared" si="71"/>
        <v>207.66666666666725</v>
      </c>
      <c r="F270" s="16">
        <f t="shared" si="71"/>
        <v>219.53333333333464</v>
      </c>
      <c r="G270" s="16">
        <f t="shared" si="71"/>
        <v>226.94999999999888</v>
      </c>
      <c r="H270" s="17">
        <f t="shared" si="71"/>
        <v>192.83333333333275</v>
      </c>
      <c r="I270" s="17">
        <f t="shared" si="71"/>
        <v>204.69999999999951</v>
      </c>
      <c r="J270" s="17">
        <f t="shared" si="71"/>
        <v>212.11666666666707</v>
      </c>
      <c r="K270" s="18">
        <f t="shared" si="71"/>
        <v>178.00000000000088</v>
      </c>
      <c r="L270" s="18">
        <f t="shared" si="71"/>
        <v>189.8666666666669</v>
      </c>
      <c r="M270" s="18">
        <f t="shared" si="71"/>
        <v>197.28333333333416</v>
      </c>
      <c r="N270" s="19">
        <f t="shared" si="71"/>
        <v>136.46666666666584</v>
      </c>
      <c r="O270" s="19">
        <f t="shared" si="71"/>
        <v>148.33333333333451</v>
      </c>
      <c r="P270" s="19">
        <f t="shared" si="71"/>
        <v>155.74999999999912</v>
      </c>
      <c r="Q270" s="20">
        <f t="shared" si="71"/>
        <v>129.05000000000123</v>
      </c>
      <c r="R270" s="20">
        <f t="shared" si="71"/>
        <v>140.91666666666725</v>
      </c>
      <c r="S270" s="20">
        <f t="shared" si="71"/>
        <v>148.33333333333451</v>
      </c>
      <c r="T270" s="21">
        <f t="shared" si="71"/>
        <v>121.63333333333398</v>
      </c>
      <c r="U270" s="21">
        <f t="shared" si="69"/>
        <v>133.5</v>
      </c>
      <c r="V270" s="21">
        <f t="shared" si="69"/>
        <v>140.91666666666725</v>
      </c>
      <c r="W270" s="22">
        <f t="shared" si="69"/>
        <v>114.21666666666673</v>
      </c>
      <c r="X270" s="22">
        <f t="shared" si="69"/>
        <v>126.08333333333275</v>
      </c>
      <c r="Y270" s="22">
        <f t="shared" si="69"/>
        <v>133.5</v>
      </c>
      <c r="Z270" s="23">
        <f t="shared" si="69"/>
        <v>106.79999999999947</v>
      </c>
      <c r="AA270" s="23">
        <f t="shared" si="69"/>
        <v>118.6666666666658</v>
      </c>
      <c r="AB270" s="23">
        <f t="shared" si="69"/>
        <v>126.08333333333275</v>
      </c>
      <c r="AC270" s="24">
        <f t="shared" si="69"/>
        <v>99.383333333333312</v>
      </c>
      <c r="AD270" s="24">
        <f t="shared" si="69"/>
        <v>111.2500000000003</v>
      </c>
      <c r="AE270" s="24">
        <f t="shared" si="69"/>
        <v>118.6666666666658</v>
      </c>
      <c r="AF270" s="25">
        <f t="shared" si="69"/>
        <v>91.966666666666285</v>
      </c>
      <c r="AG270" s="25">
        <f t="shared" si="69"/>
        <v>103.83333333333363</v>
      </c>
      <c r="AH270" s="25">
        <f t="shared" si="69"/>
        <v>111.2500000000003</v>
      </c>
      <c r="AI270" s="26">
        <f t="shared" si="69"/>
        <v>84.550000000000352</v>
      </c>
      <c r="AJ270" s="26">
        <f t="shared" si="69"/>
        <v>96.416666666666373</v>
      </c>
      <c r="AK270" s="26">
        <f t="shared" si="65"/>
        <v>103.83333333333363</v>
      </c>
    </row>
    <row r="271" spans="4:37" ht="20.100000000000001" customHeight="1">
      <c r="D271" s="27">
        <f t="shared" si="72"/>
        <v>0.74444444444444235</v>
      </c>
      <c r="E271" s="16">
        <f t="shared" si="71"/>
        <v>208.44444444444503</v>
      </c>
      <c r="F271" s="16">
        <f t="shared" si="71"/>
        <v>220.35555555555686</v>
      </c>
      <c r="G271" s="16">
        <f t="shared" si="71"/>
        <v>227.79999999999887</v>
      </c>
      <c r="H271" s="17">
        <f t="shared" si="71"/>
        <v>193.55555555555497</v>
      </c>
      <c r="I271" s="17">
        <f t="shared" si="71"/>
        <v>205.46666666666619</v>
      </c>
      <c r="J271" s="17">
        <f t="shared" si="71"/>
        <v>212.91111111111152</v>
      </c>
      <c r="K271" s="18">
        <f t="shared" si="71"/>
        <v>178.66666666666754</v>
      </c>
      <c r="L271" s="18">
        <f t="shared" si="71"/>
        <v>190.57777777777801</v>
      </c>
      <c r="M271" s="18">
        <f t="shared" si="71"/>
        <v>198.02222222222304</v>
      </c>
      <c r="N271" s="19">
        <f t="shared" si="71"/>
        <v>136.97777777777696</v>
      </c>
      <c r="O271" s="19">
        <f t="shared" si="71"/>
        <v>148.88888888889005</v>
      </c>
      <c r="P271" s="19">
        <f t="shared" si="71"/>
        <v>156.33333333333246</v>
      </c>
      <c r="Q271" s="20">
        <f t="shared" si="71"/>
        <v>129.53333333333455</v>
      </c>
      <c r="R271" s="20">
        <f t="shared" si="71"/>
        <v>141.44444444444503</v>
      </c>
      <c r="S271" s="20">
        <f t="shared" si="71"/>
        <v>148.88888888889005</v>
      </c>
      <c r="T271" s="21">
        <f t="shared" si="71"/>
        <v>122.08888888888953</v>
      </c>
      <c r="U271" s="21">
        <f t="shared" si="69"/>
        <v>134</v>
      </c>
      <c r="V271" s="21">
        <f t="shared" si="69"/>
        <v>141.44444444444503</v>
      </c>
      <c r="W271" s="22">
        <f t="shared" si="69"/>
        <v>114.6444444444445</v>
      </c>
      <c r="X271" s="22">
        <f t="shared" si="69"/>
        <v>126.55555555555497</v>
      </c>
      <c r="Y271" s="22">
        <f t="shared" si="69"/>
        <v>134</v>
      </c>
      <c r="Z271" s="23">
        <f t="shared" si="69"/>
        <v>107.19999999999948</v>
      </c>
      <c r="AA271" s="23">
        <f t="shared" si="69"/>
        <v>119.11111111111025</v>
      </c>
      <c r="AB271" s="23">
        <f t="shared" si="69"/>
        <v>126.55555555555497</v>
      </c>
      <c r="AC271" s="24">
        <f t="shared" si="69"/>
        <v>99.755555555555532</v>
      </c>
      <c r="AD271" s="24">
        <f t="shared" si="69"/>
        <v>111.66666666666697</v>
      </c>
      <c r="AE271" s="24">
        <f t="shared" si="69"/>
        <v>119.11111111111025</v>
      </c>
      <c r="AF271" s="25">
        <f t="shared" si="69"/>
        <v>92.311111111110733</v>
      </c>
      <c r="AG271" s="25">
        <f t="shared" si="69"/>
        <v>104.22222222222251</v>
      </c>
      <c r="AH271" s="25">
        <f t="shared" si="69"/>
        <v>111.66666666666697</v>
      </c>
      <c r="AI271" s="26">
        <f t="shared" si="69"/>
        <v>84.866666666667015</v>
      </c>
      <c r="AJ271" s="26">
        <f t="shared" si="69"/>
        <v>96.777777777777487</v>
      </c>
      <c r="AK271" s="26">
        <f t="shared" si="65"/>
        <v>104.22222222222251</v>
      </c>
    </row>
    <row r="272" spans="4:37" ht="20.100000000000001" customHeight="1">
      <c r="D272" s="27">
        <f t="shared" si="72"/>
        <v>0.74722222222222012</v>
      </c>
      <c r="E272" s="16">
        <f t="shared" si="71"/>
        <v>209.2222222222228</v>
      </c>
      <c r="F272" s="16">
        <f t="shared" si="71"/>
        <v>221.17777777777908</v>
      </c>
      <c r="G272" s="16">
        <f t="shared" si="71"/>
        <v>228.64999999999887</v>
      </c>
      <c r="H272" s="17">
        <f t="shared" si="71"/>
        <v>194.2777777777772</v>
      </c>
      <c r="I272" s="17">
        <f t="shared" si="71"/>
        <v>206.23333333333287</v>
      </c>
      <c r="J272" s="17">
        <f t="shared" si="71"/>
        <v>213.70555555555597</v>
      </c>
      <c r="K272" s="18">
        <f t="shared" si="71"/>
        <v>179.3333333333342</v>
      </c>
      <c r="L272" s="18">
        <f t="shared" si="71"/>
        <v>191.28888888888912</v>
      </c>
      <c r="M272" s="18">
        <f t="shared" si="71"/>
        <v>198.76111111111192</v>
      </c>
      <c r="N272" s="19">
        <f t="shared" si="71"/>
        <v>137.48888888888808</v>
      </c>
      <c r="O272" s="19">
        <f t="shared" si="71"/>
        <v>149.44444444444559</v>
      </c>
      <c r="P272" s="19">
        <f t="shared" si="71"/>
        <v>156.9166666666658</v>
      </c>
      <c r="Q272" s="20">
        <f t="shared" si="71"/>
        <v>130.01666666666787</v>
      </c>
      <c r="R272" s="20">
        <f t="shared" si="71"/>
        <v>141.9722222222228</v>
      </c>
      <c r="S272" s="20">
        <f t="shared" si="71"/>
        <v>149.44444444444559</v>
      </c>
      <c r="T272" s="21">
        <f t="shared" si="71"/>
        <v>122.54444444444508</v>
      </c>
      <c r="U272" s="21">
        <f t="shared" si="69"/>
        <v>134.5</v>
      </c>
      <c r="V272" s="21">
        <f t="shared" si="69"/>
        <v>141.9722222222228</v>
      </c>
      <c r="W272" s="22">
        <f t="shared" si="69"/>
        <v>115.07222222222228</v>
      </c>
      <c r="X272" s="22">
        <f t="shared" si="69"/>
        <v>127.0277777777772</v>
      </c>
      <c r="Y272" s="22">
        <f t="shared" si="69"/>
        <v>134.5</v>
      </c>
      <c r="Z272" s="23">
        <f t="shared" si="69"/>
        <v>107.59999999999948</v>
      </c>
      <c r="AA272" s="23">
        <f t="shared" si="69"/>
        <v>119.55555555555469</v>
      </c>
      <c r="AB272" s="23">
        <f t="shared" si="69"/>
        <v>127.0277777777772</v>
      </c>
      <c r="AC272" s="24">
        <f t="shared" si="69"/>
        <v>100.12777777777775</v>
      </c>
      <c r="AD272" s="24">
        <f t="shared" si="69"/>
        <v>112.08333333333364</v>
      </c>
      <c r="AE272" s="24">
        <f t="shared" si="69"/>
        <v>119.55555555555469</v>
      </c>
      <c r="AF272" s="25">
        <f t="shared" si="69"/>
        <v>92.655555555555182</v>
      </c>
      <c r="AG272" s="25">
        <f t="shared" si="69"/>
        <v>104.6111111111114</v>
      </c>
      <c r="AH272" s="25">
        <f t="shared" si="69"/>
        <v>112.08333333333364</v>
      </c>
      <c r="AI272" s="26">
        <f t="shared" si="69"/>
        <v>85.183333333333678</v>
      </c>
      <c r="AJ272" s="26">
        <f t="shared" si="69"/>
        <v>97.138888888888602</v>
      </c>
      <c r="AK272" s="26">
        <f t="shared" si="65"/>
        <v>104.6111111111114</v>
      </c>
    </row>
    <row r="273" spans="4:37" ht="20.100000000000001" customHeight="1">
      <c r="D273" s="27">
        <f t="shared" si="72"/>
        <v>0.74999999999999789</v>
      </c>
      <c r="E273" s="16">
        <f t="shared" si="71"/>
        <v>210.00000000000057</v>
      </c>
      <c r="F273" s="16">
        <f t="shared" si="71"/>
        <v>222.00000000000131</v>
      </c>
      <c r="G273" s="16">
        <f t="shared" si="71"/>
        <v>229.49999999999886</v>
      </c>
      <c r="H273" s="17">
        <f t="shared" si="71"/>
        <v>194.99999999999943</v>
      </c>
      <c r="I273" s="17">
        <f t="shared" si="71"/>
        <v>206.99999999999955</v>
      </c>
      <c r="J273" s="17">
        <f t="shared" si="71"/>
        <v>214.50000000000043</v>
      </c>
      <c r="K273" s="18">
        <f t="shared" si="71"/>
        <v>180.00000000000085</v>
      </c>
      <c r="L273" s="18">
        <f t="shared" si="71"/>
        <v>192.00000000000023</v>
      </c>
      <c r="M273" s="18">
        <f t="shared" si="71"/>
        <v>199.5000000000008</v>
      </c>
      <c r="N273" s="19">
        <f t="shared" si="71"/>
        <v>137.9999999999992</v>
      </c>
      <c r="O273" s="19">
        <f t="shared" si="71"/>
        <v>150.00000000000114</v>
      </c>
      <c r="P273" s="19">
        <f t="shared" si="71"/>
        <v>157.49999999999915</v>
      </c>
      <c r="Q273" s="20">
        <f t="shared" si="71"/>
        <v>130.50000000000119</v>
      </c>
      <c r="R273" s="20">
        <f t="shared" si="71"/>
        <v>142.50000000000057</v>
      </c>
      <c r="S273" s="20">
        <f t="shared" si="71"/>
        <v>150.00000000000114</v>
      </c>
      <c r="T273" s="21">
        <f t="shared" si="71"/>
        <v>123.00000000000063</v>
      </c>
      <c r="U273" s="21">
        <f t="shared" si="69"/>
        <v>135</v>
      </c>
      <c r="V273" s="21">
        <f t="shared" si="69"/>
        <v>142.50000000000057</v>
      </c>
      <c r="W273" s="22">
        <f t="shared" si="69"/>
        <v>115.50000000000006</v>
      </c>
      <c r="X273" s="22">
        <f t="shared" si="69"/>
        <v>127.49999999999943</v>
      </c>
      <c r="Y273" s="22">
        <f t="shared" si="69"/>
        <v>135</v>
      </c>
      <c r="Z273" s="23">
        <f t="shared" si="69"/>
        <v>107.99999999999949</v>
      </c>
      <c r="AA273" s="23">
        <f t="shared" si="69"/>
        <v>119.99999999999913</v>
      </c>
      <c r="AB273" s="23">
        <f t="shared" si="69"/>
        <v>127.49999999999943</v>
      </c>
      <c r="AC273" s="24">
        <f t="shared" si="69"/>
        <v>100.49999999999997</v>
      </c>
      <c r="AD273" s="24">
        <f t="shared" si="69"/>
        <v>112.50000000000031</v>
      </c>
      <c r="AE273" s="24">
        <f t="shared" si="69"/>
        <v>119.99999999999913</v>
      </c>
      <c r="AF273" s="25">
        <f t="shared" si="69"/>
        <v>92.999999999999631</v>
      </c>
      <c r="AG273" s="25">
        <f t="shared" si="69"/>
        <v>105.00000000000028</v>
      </c>
      <c r="AH273" s="25">
        <f t="shared" si="69"/>
        <v>112.50000000000031</v>
      </c>
      <c r="AI273" s="26">
        <f t="shared" si="69"/>
        <v>85.500000000000341</v>
      </c>
      <c r="AJ273" s="26">
        <f t="shared" ref="AJ273:AJ281" si="73">AJ274-(AJ$363/360)</f>
        <v>97.499999999999716</v>
      </c>
      <c r="AK273" s="26">
        <f t="shared" si="65"/>
        <v>105.00000000000028</v>
      </c>
    </row>
    <row r="274" spans="4:37" ht="20.100000000000001" customHeight="1">
      <c r="D274" s="27">
        <f t="shared" si="72"/>
        <v>0.75277777777777566</v>
      </c>
      <c r="E274" s="16">
        <f t="shared" si="71"/>
        <v>210.77777777777834</v>
      </c>
      <c r="F274" s="16">
        <f t="shared" si="71"/>
        <v>222.82222222222353</v>
      </c>
      <c r="G274" s="16">
        <f t="shared" si="71"/>
        <v>230.34999999999886</v>
      </c>
      <c r="H274" s="17">
        <f t="shared" si="71"/>
        <v>195.72222222222166</v>
      </c>
      <c r="I274" s="17">
        <f t="shared" si="71"/>
        <v>207.76666666666623</v>
      </c>
      <c r="J274" s="17">
        <f t="shared" si="71"/>
        <v>215.29444444444488</v>
      </c>
      <c r="K274" s="18">
        <f t="shared" si="71"/>
        <v>180.66666666666751</v>
      </c>
      <c r="L274" s="18">
        <f t="shared" si="71"/>
        <v>192.71111111111134</v>
      </c>
      <c r="M274" s="18">
        <f t="shared" si="71"/>
        <v>200.23888888888968</v>
      </c>
      <c r="N274" s="19">
        <f t="shared" si="71"/>
        <v>138.51111111111032</v>
      </c>
      <c r="O274" s="19">
        <f t="shared" si="71"/>
        <v>150.55555555555668</v>
      </c>
      <c r="P274" s="19">
        <f t="shared" si="71"/>
        <v>158.08333333333249</v>
      </c>
      <c r="Q274" s="20">
        <f t="shared" si="71"/>
        <v>130.98333333333451</v>
      </c>
      <c r="R274" s="20">
        <f t="shared" si="71"/>
        <v>143.02777777777834</v>
      </c>
      <c r="S274" s="20">
        <f t="shared" si="71"/>
        <v>150.55555555555668</v>
      </c>
      <c r="T274" s="21">
        <f t="shared" si="71"/>
        <v>123.45555555555617</v>
      </c>
      <c r="U274" s="21">
        <f t="shared" ref="U274:AI274" si="74">U275-(U$363/360)</f>
        <v>135.5</v>
      </c>
      <c r="V274" s="21">
        <f t="shared" si="74"/>
        <v>143.02777777777834</v>
      </c>
      <c r="W274" s="22">
        <f t="shared" si="74"/>
        <v>115.92777777777783</v>
      </c>
      <c r="X274" s="22">
        <f t="shared" si="74"/>
        <v>127.97222222222166</v>
      </c>
      <c r="Y274" s="22">
        <f t="shared" si="74"/>
        <v>135.5</v>
      </c>
      <c r="Z274" s="23">
        <f t="shared" si="74"/>
        <v>108.39999999999949</v>
      </c>
      <c r="AA274" s="23">
        <f t="shared" si="74"/>
        <v>120.44444444444358</v>
      </c>
      <c r="AB274" s="23">
        <f t="shared" si="74"/>
        <v>127.97222222222166</v>
      </c>
      <c r="AC274" s="24">
        <f t="shared" si="74"/>
        <v>100.87222222222219</v>
      </c>
      <c r="AD274" s="24">
        <f t="shared" si="74"/>
        <v>112.91666666666698</v>
      </c>
      <c r="AE274" s="24">
        <f t="shared" si="74"/>
        <v>120.44444444444358</v>
      </c>
      <c r="AF274" s="25">
        <f t="shared" si="74"/>
        <v>93.344444444444079</v>
      </c>
      <c r="AG274" s="25">
        <f t="shared" si="74"/>
        <v>105.38888888888917</v>
      </c>
      <c r="AH274" s="25">
        <f t="shared" si="74"/>
        <v>112.91666666666698</v>
      </c>
      <c r="AI274" s="26">
        <f t="shared" si="74"/>
        <v>85.816666666667004</v>
      </c>
      <c r="AJ274" s="26">
        <f t="shared" si="73"/>
        <v>97.86111111111083</v>
      </c>
      <c r="AK274" s="26">
        <f t="shared" si="65"/>
        <v>105.38888888888917</v>
      </c>
    </row>
    <row r="275" spans="4:37" ht="20.100000000000001" customHeight="1">
      <c r="D275" s="27">
        <f t="shared" si="72"/>
        <v>0.75555555555555343</v>
      </c>
      <c r="E275" s="16">
        <f t="shared" si="71"/>
        <v>211.55555555555611</v>
      </c>
      <c r="F275" s="16">
        <f t="shared" si="71"/>
        <v>223.64444444444575</v>
      </c>
      <c r="G275" s="16">
        <f t="shared" si="71"/>
        <v>231.19999999999885</v>
      </c>
      <c r="H275" s="17">
        <f t="shared" si="71"/>
        <v>196.44444444444389</v>
      </c>
      <c r="I275" s="17">
        <f t="shared" si="71"/>
        <v>208.53333333333291</v>
      </c>
      <c r="J275" s="17">
        <f t="shared" si="71"/>
        <v>216.08888888888933</v>
      </c>
      <c r="K275" s="18">
        <f t="shared" si="71"/>
        <v>181.33333333333417</v>
      </c>
      <c r="L275" s="18">
        <f t="shared" si="71"/>
        <v>193.42222222222244</v>
      </c>
      <c r="M275" s="18">
        <f t="shared" si="71"/>
        <v>200.97777777777856</v>
      </c>
      <c r="N275" s="19">
        <f t="shared" si="71"/>
        <v>139.02222222222144</v>
      </c>
      <c r="O275" s="19">
        <f t="shared" si="71"/>
        <v>151.11111111111222</v>
      </c>
      <c r="P275" s="19">
        <f t="shared" si="71"/>
        <v>158.66666666666583</v>
      </c>
      <c r="Q275" s="20">
        <f t="shared" si="71"/>
        <v>131.46666666666783</v>
      </c>
      <c r="R275" s="20">
        <f t="shared" si="71"/>
        <v>143.55555555555611</v>
      </c>
      <c r="S275" s="20">
        <f t="shared" si="71"/>
        <v>151.11111111111222</v>
      </c>
      <c r="T275" s="21">
        <f t="shared" ref="T275:AI290" si="75">T276-(T$363/360)</f>
        <v>123.91111111111172</v>
      </c>
      <c r="U275" s="21">
        <f t="shared" si="75"/>
        <v>136</v>
      </c>
      <c r="V275" s="21">
        <f t="shared" si="75"/>
        <v>143.55555555555611</v>
      </c>
      <c r="W275" s="22">
        <f t="shared" si="75"/>
        <v>116.35555555555561</v>
      </c>
      <c r="X275" s="22">
        <f t="shared" si="75"/>
        <v>128.44444444444389</v>
      </c>
      <c r="Y275" s="22">
        <f t="shared" si="75"/>
        <v>136</v>
      </c>
      <c r="Z275" s="23">
        <f t="shared" si="75"/>
        <v>108.7999999999995</v>
      </c>
      <c r="AA275" s="23">
        <f t="shared" si="75"/>
        <v>120.88888888888802</v>
      </c>
      <c r="AB275" s="23">
        <f t="shared" si="75"/>
        <v>128.44444444444389</v>
      </c>
      <c r="AC275" s="24">
        <f t="shared" si="75"/>
        <v>101.24444444444441</v>
      </c>
      <c r="AD275" s="24">
        <f t="shared" si="75"/>
        <v>113.33333333333366</v>
      </c>
      <c r="AE275" s="24">
        <f t="shared" si="75"/>
        <v>120.88888888888802</v>
      </c>
      <c r="AF275" s="25">
        <f t="shared" si="75"/>
        <v>93.688888888888528</v>
      </c>
      <c r="AG275" s="25">
        <f t="shared" si="75"/>
        <v>105.77777777777806</v>
      </c>
      <c r="AH275" s="25">
        <f t="shared" si="75"/>
        <v>113.33333333333366</v>
      </c>
      <c r="AI275" s="26">
        <f t="shared" si="75"/>
        <v>86.133333333333667</v>
      </c>
      <c r="AJ275" s="26">
        <f t="shared" si="73"/>
        <v>98.222222222221944</v>
      </c>
      <c r="AK275" s="26">
        <f t="shared" si="65"/>
        <v>105.77777777777806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212.33333333333388</v>
      </c>
      <c r="F276" s="16">
        <f t="shared" si="76"/>
        <v>224.46666666666798</v>
      </c>
      <c r="G276" s="16">
        <f t="shared" si="76"/>
        <v>232.04999999999885</v>
      </c>
      <c r="H276" s="17">
        <f t="shared" si="76"/>
        <v>197.16666666666612</v>
      </c>
      <c r="I276" s="17">
        <f t="shared" si="76"/>
        <v>209.29999999999959</v>
      </c>
      <c r="J276" s="17">
        <f t="shared" si="76"/>
        <v>216.88333333333378</v>
      </c>
      <c r="K276" s="18">
        <f t="shared" si="76"/>
        <v>182.00000000000082</v>
      </c>
      <c r="L276" s="18">
        <f t="shared" si="76"/>
        <v>194.13333333333355</v>
      </c>
      <c r="M276" s="18">
        <f t="shared" si="76"/>
        <v>201.71666666666744</v>
      </c>
      <c r="N276" s="19">
        <f t="shared" si="76"/>
        <v>139.53333333333256</v>
      </c>
      <c r="O276" s="19">
        <f t="shared" si="76"/>
        <v>151.66666666666777</v>
      </c>
      <c r="P276" s="19">
        <f t="shared" si="76"/>
        <v>159.24999999999918</v>
      </c>
      <c r="Q276" s="20">
        <f t="shared" si="76"/>
        <v>131.95000000000115</v>
      </c>
      <c r="R276" s="20">
        <f t="shared" si="76"/>
        <v>144.08333333333388</v>
      </c>
      <c r="S276" s="20">
        <f t="shared" si="76"/>
        <v>151.66666666666777</v>
      </c>
      <c r="T276" s="21">
        <f t="shared" si="76"/>
        <v>124.36666666666727</v>
      </c>
      <c r="U276" s="21">
        <f t="shared" si="75"/>
        <v>136.5</v>
      </c>
      <c r="V276" s="21">
        <f t="shared" si="75"/>
        <v>144.08333333333388</v>
      </c>
      <c r="W276" s="22">
        <f t="shared" si="75"/>
        <v>116.78333333333339</v>
      </c>
      <c r="X276" s="22">
        <f t="shared" si="75"/>
        <v>128.91666666666612</v>
      </c>
      <c r="Y276" s="22">
        <f t="shared" si="75"/>
        <v>136.5</v>
      </c>
      <c r="Z276" s="23">
        <f t="shared" si="75"/>
        <v>109.19999999999951</v>
      </c>
      <c r="AA276" s="23">
        <f t="shared" si="75"/>
        <v>121.33333333333246</v>
      </c>
      <c r="AB276" s="23">
        <f t="shared" si="75"/>
        <v>128.91666666666612</v>
      </c>
      <c r="AC276" s="24">
        <f t="shared" si="75"/>
        <v>101.61666666666663</v>
      </c>
      <c r="AD276" s="24">
        <f t="shared" si="75"/>
        <v>113.75000000000033</v>
      </c>
      <c r="AE276" s="24">
        <f t="shared" si="75"/>
        <v>121.33333333333246</v>
      </c>
      <c r="AF276" s="25">
        <f t="shared" si="75"/>
        <v>94.033333333332976</v>
      </c>
      <c r="AG276" s="25">
        <f t="shared" si="75"/>
        <v>106.16666666666694</v>
      </c>
      <c r="AH276" s="25">
        <f t="shared" si="75"/>
        <v>113.75000000000033</v>
      </c>
      <c r="AI276" s="26">
        <f t="shared" si="75"/>
        <v>86.45000000000033</v>
      </c>
      <c r="AJ276" s="26">
        <f t="shared" si="73"/>
        <v>98.583333333333059</v>
      </c>
      <c r="AK276" s="26">
        <f t="shared" si="65"/>
        <v>106.16666666666694</v>
      </c>
    </row>
    <row r="277" spans="4:37" ht="20.100000000000001" customHeight="1">
      <c r="D277" s="27">
        <f t="shared" si="72"/>
        <v>0.76111111111110896</v>
      </c>
      <c r="E277" s="16">
        <f t="shared" si="76"/>
        <v>213.11111111111165</v>
      </c>
      <c r="F277" s="16">
        <f t="shared" si="76"/>
        <v>225.2888888888902</v>
      </c>
      <c r="G277" s="16">
        <f t="shared" si="76"/>
        <v>232.89999999999884</v>
      </c>
      <c r="H277" s="17">
        <f t="shared" si="76"/>
        <v>197.88888888888835</v>
      </c>
      <c r="I277" s="17">
        <f t="shared" si="76"/>
        <v>210.06666666666626</v>
      </c>
      <c r="J277" s="17">
        <f t="shared" si="76"/>
        <v>217.67777777777823</v>
      </c>
      <c r="K277" s="18">
        <f t="shared" si="76"/>
        <v>182.66666666666748</v>
      </c>
      <c r="L277" s="18">
        <f t="shared" si="76"/>
        <v>194.84444444444466</v>
      </c>
      <c r="M277" s="18">
        <f t="shared" si="76"/>
        <v>202.45555555555632</v>
      </c>
      <c r="N277" s="19">
        <f t="shared" si="76"/>
        <v>140.04444444444368</v>
      </c>
      <c r="O277" s="19">
        <f t="shared" si="76"/>
        <v>152.22222222222331</v>
      </c>
      <c r="P277" s="19">
        <f t="shared" si="76"/>
        <v>159.83333333333252</v>
      </c>
      <c r="Q277" s="20">
        <f t="shared" si="76"/>
        <v>132.43333333333447</v>
      </c>
      <c r="R277" s="20">
        <f t="shared" si="76"/>
        <v>144.61111111111165</v>
      </c>
      <c r="S277" s="20">
        <f t="shared" si="76"/>
        <v>152.22222222222331</v>
      </c>
      <c r="T277" s="21">
        <f t="shared" si="76"/>
        <v>124.82222222222282</v>
      </c>
      <c r="U277" s="21">
        <f t="shared" si="75"/>
        <v>137</v>
      </c>
      <c r="V277" s="21">
        <f t="shared" si="75"/>
        <v>144.61111111111165</v>
      </c>
      <c r="W277" s="22">
        <f t="shared" si="75"/>
        <v>117.21111111111117</v>
      </c>
      <c r="X277" s="22">
        <f t="shared" si="75"/>
        <v>129.38888888888835</v>
      </c>
      <c r="Y277" s="22">
        <f t="shared" si="75"/>
        <v>137</v>
      </c>
      <c r="Z277" s="23">
        <f t="shared" si="75"/>
        <v>109.59999999999951</v>
      </c>
      <c r="AA277" s="23">
        <f t="shared" si="75"/>
        <v>121.7777777777769</v>
      </c>
      <c r="AB277" s="23">
        <f t="shared" si="75"/>
        <v>129.38888888888835</v>
      </c>
      <c r="AC277" s="24">
        <f t="shared" si="75"/>
        <v>101.98888888888885</v>
      </c>
      <c r="AD277" s="24">
        <f t="shared" si="75"/>
        <v>114.166666666667</v>
      </c>
      <c r="AE277" s="24">
        <f t="shared" si="75"/>
        <v>121.7777777777769</v>
      </c>
      <c r="AF277" s="25">
        <f t="shared" si="75"/>
        <v>94.377777777777425</v>
      </c>
      <c r="AG277" s="25">
        <f t="shared" si="75"/>
        <v>106.55555555555583</v>
      </c>
      <c r="AH277" s="25">
        <f t="shared" si="75"/>
        <v>114.166666666667</v>
      </c>
      <c r="AI277" s="26">
        <f t="shared" si="75"/>
        <v>86.766666666666993</v>
      </c>
      <c r="AJ277" s="26">
        <f t="shared" si="73"/>
        <v>98.944444444444173</v>
      </c>
      <c r="AK277" s="26">
        <f t="shared" ref="AJ277:AK299" si="77">AK278-(AK$363/360)</f>
        <v>106.55555555555583</v>
      </c>
    </row>
    <row r="278" spans="4:37" ht="20.100000000000001" customHeight="1">
      <c r="D278" s="27">
        <f t="shared" si="72"/>
        <v>0.76388888888888673</v>
      </c>
      <c r="E278" s="16">
        <f t="shared" si="76"/>
        <v>213.88888888888943</v>
      </c>
      <c r="F278" s="16">
        <f t="shared" si="76"/>
        <v>226.11111111111242</v>
      </c>
      <c r="G278" s="16">
        <f t="shared" si="76"/>
        <v>233.74999999999883</v>
      </c>
      <c r="H278" s="17">
        <f t="shared" si="76"/>
        <v>198.61111111111057</v>
      </c>
      <c r="I278" s="17">
        <f t="shared" si="76"/>
        <v>210.83333333333294</v>
      </c>
      <c r="J278" s="17">
        <f t="shared" si="76"/>
        <v>218.47222222222268</v>
      </c>
      <c r="K278" s="18">
        <f t="shared" si="76"/>
        <v>183.33333333333414</v>
      </c>
      <c r="L278" s="18">
        <f t="shared" si="76"/>
        <v>195.55555555555577</v>
      </c>
      <c r="M278" s="18">
        <f t="shared" si="76"/>
        <v>203.1944444444452</v>
      </c>
      <c r="N278" s="19">
        <f t="shared" si="76"/>
        <v>140.5555555555548</v>
      </c>
      <c r="O278" s="19">
        <f t="shared" si="76"/>
        <v>152.77777777777885</v>
      </c>
      <c r="P278" s="19">
        <f t="shared" si="76"/>
        <v>160.41666666666586</v>
      </c>
      <c r="Q278" s="20">
        <f t="shared" si="76"/>
        <v>132.91666666666779</v>
      </c>
      <c r="R278" s="20">
        <f t="shared" si="76"/>
        <v>145.13888888888943</v>
      </c>
      <c r="S278" s="20">
        <f t="shared" si="76"/>
        <v>152.77777777777885</v>
      </c>
      <c r="T278" s="21">
        <f t="shared" si="76"/>
        <v>125.27777777777837</v>
      </c>
      <c r="U278" s="21">
        <f t="shared" si="75"/>
        <v>137.5</v>
      </c>
      <c r="V278" s="21">
        <f t="shared" si="75"/>
        <v>145.13888888888943</v>
      </c>
      <c r="W278" s="22">
        <f t="shared" si="75"/>
        <v>117.63888888888894</v>
      </c>
      <c r="X278" s="22">
        <f t="shared" si="75"/>
        <v>129.86111111111057</v>
      </c>
      <c r="Y278" s="22">
        <f t="shared" si="75"/>
        <v>137.5</v>
      </c>
      <c r="Z278" s="23">
        <f t="shared" si="75"/>
        <v>109.99999999999952</v>
      </c>
      <c r="AA278" s="23">
        <f t="shared" si="75"/>
        <v>122.22222222222135</v>
      </c>
      <c r="AB278" s="23">
        <f t="shared" si="75"/>
        <v>129.86111111111057</v>
      </c>
      <c r="AC278" s="24">
        <f t="shared" si="75"/>
        <v>102.36111111111107</v>
      </c>
      <c r="AD278" s="24">
        <f t="shared" si="75"/>
        <v>114.58333333333367</v>
      </c>
      <c r="AE278" s="24">
        <f t="shared" si="75"/>
        <v>122.22222222222135</v>
      </c>
      <c r="AF278" s="25">
        <f t="shared" si="75"/>
        <v>94.722222222221873</v>
      </c>
      <c r="AG278" s="25">
        <f t="shared" si="75"/>
        <v>106.94444444444471</v>
      </c>
      <c r="AH278" s="25">
        <f t="shared" si="75"/>
        <v>114.58333333333367</v>
      </c>
      <c r="AI278" s="26">
        <f t="shared" si="75"/>
        <v>87.083333333333655</v>
      </c>
      <c r="AJ278" s="26">
        <f t="shared" si="73"/>
        <v>99.305555555555287</v>
      </c>
      <c r="AK278" s="26">
        <f t="shared" si="77"/>
        <v>106.94444444444471</v>
      </c>
    </row>
    <row r="279" spans="4:37" ht="20.100000000000001" customHeight="1">
      <c r="D279" s="27">
        <f t="shared" si="72"/>
        <v>0.7666666666666645</v>
      </c>
      <c r="E279" s="16">
        <f t="shared" si="76"/>
        <v>214.6666666666672</v>
      </c>
      <c r="F279" s="16">
        <f t="shared" si="76"/>
        <v>226.93333333333464</v>
      </c>
      <c r="G279" s="16">
        <f t="shared" si="76"/>
        <v>234.59999999999883</v>
      </c>
      <c r="H279" s="17">
        <f t="shared" si="76"/>
        <v>199.3333333333328</v>
      </c>
      <c r="I279" s="17">
        <f t="shared" si="76"/>
        <v>211.59999999999962</v>
      </c>
      <c r="J279" s="17">
        <f t="shared" si="76"/>
        <v>219.26666666666713</v>
      </c>
      <c r="K279" s="18">
        <f t="shared" si="76"/>
        <v>184.0000000000008</v>
      </c>
      <c r="L279" s="18">
        <f t="shared" si="76"/>
        <v>196.26666666666688</v>
      </c>
      <c r="M279" s="18">
        <f t="shared" si="76"/>
        <v>203.93333333333408</v>
      </c>
      <c r="N279" s="19">
        <f t="shared" si="76"/>
        <v>141.06666666666592</v>
      </c>
      <c r="O279" s="19">
        <f t="shared" si="76"/>
        <v>153.33333333333439</v>
      </c>
      <c r="P279" s="19">
        <f t="shared" si="76"/>
        <v>160.9999999999992</v>
      </c>
      <c r="Q279" s="20">
        <f t="shared" si="76"/>
        <v>133.40000000000111</v>
      </c>
      <c r="R279" s="20">
        <f t="shared" si="76"/>
        <v>145.6666666666672</v>
      </c>
      <c r="S279" s="20">
        <f t="shared" si="76"/>
        <v>153.33333333333439</v>
      </c>
      <c r="T279" s="21">
        <f t="shared" si="76"/>
        <v>125.73333333333392</v>
      </c>
      <c r="U279" s="21">
        <f t="shared" si="75"/>
        <v>138</v>
      </c>
      <c r="V279" s="21">
        <f t="shared" si="75"/>
        <v>145.6666666666672</v>
      </c>
      <c r="W279" s="22">
        <f t="shared" si="75"/>
        <v>118.06666666666672</v>
      </c>
      <c r="X279" s="22">
        <f t="shared" si="75"/>
        <v>130.3333333333328</v>
      </c>
      <c r="Y279" s="22">
        <f t="shared" si="75"/>
        <v>138</v>
      </c>
      <c r="Z279" s="23">
        <f t="shared" si="75"/>
        <v>110.39999999999952</v>
      </c>
      <c r="AA279" s="23">
        <f t="shared" si="75"/>
        <v>122.66666666666579</v>
      </c>
      <c r="AB279" s="23">
        <f t="shared" si="75"/>
        <v>130.3333333333328</v>
      </c>
      <c r="AC279" s="24">
        <f t="shared" si="75"/>
        <v>102.73333333333329</v>
      </c>
      <c r="AD279" s="24">
        <f t="shared" si="75"/>
        <v>115.00000000000034</v>
      </c>
      <c r="AE279" s="24">
        <f t="shared" si="75"/>
        <v>122.66666666666579</v>
      </c>
      <c r="AF279" s="25">
        <f t="shared" si="75"/>
        <v>95.066666666666322</v>
      </c>
      <c r="AG279" s="25">
        <f t="shared" si="75"/>
        <v>107.3333333333336</v>
      </c>
      <c r="AH279" s="25">
        <f t="shared" si="75"/>
        <v>115.00000000000034</v>
      </c>
      <c r="AI279" s="26">
        <f t="shared" si="75"/>
        <v>87.400000000000318</v>
      </c>
      <c r="AJ279" s="26">
        <f t="shared" si="73"/>
        <v>99.666666666666401</v>
      </c>
      <c r="AK279" s="26">
        <f t="shared" si="77"/>
        <v>107.3333333333336</v>
      </c>
    </row>
    <row r="280" spans="4:37" ht="20.100000000000001" customHeight="1">
      <c r="D280" s="27">
        <f t="shared" si="72"/>
        <v>0.76944444444444227</v>
      </c>
      <c r="E280" s="16">
        <f t="shared" si="76"/>
        <v>215.44444444444497</v>
      </c>
      <c r="F280" s="16">
        <f t="shared" si="76"/>
        <v>227.75555555555687</v>
      </c>
      <c r="G280" s="16">
        <f t="shared" si="76"/>
        <v>235.44999999999882</v>
      </c>
      <c r="H280" s="17">
        <f t="shared" si="76"/>
        <v>200.05555555555503</v>
      </c>
      <c r="I280" s="17">
        <f t="shared" si="76"/>
        <v>212.3666666666663</v>
      </c>
      <c r="J280" s="17">
        <f t="shared" si="76"/>
        <v>220.06111111111159</v>
      </c>
      <c r="K280" s="18">
        <f t="shared" si="76"/>
        <v>184.66666666666745</v>
      </c>
      <c r="L280" s="18">
        <f t="shared" si="76"/>
        <v>196.97777777777799</v>
      </c>
      <c r="M280" s="18">
        <f t="shared" si="76"/>
        <v>204.67222222222296</v>
      </c>
      <c r="N280" s="19">
        <f t="shared" si="76"/>
        <v>141.57777777777704</v>
      </c>
      <c r="O280" s="19">
        <f t="shared" si="76"/>
        <v>153.88888888888994</v>
      </c>
      <c r="P280" s="19">
        <f t="shared" si="76"/>
        <v>161.58333333333255</v>
      </c>
      <c r="Q280" s="20">
        <f t="shared" si="76"/>
        <v>133.88333333333443</v>
      </c>
      <c r="R280" s="20">
        <f t="shared" si="76"/>
        <v>146.19444444444497</v>
      </c>
      <c r="S280" s="20">
        <f t="shared" si="76"/>
        <v>153.88888888888994</v>
      </c>
      <c r="T280" s="21">
        <f t="shared" si="76"/>
        <v>126.18888888888947</v>
      </c>
      <c r="U280" s="21">
        <f t="shared" si="75"/>
        <v>138.5</v>
      </c>
      <c r="V280" s="21">
        <f t="shared" si="75"/>
        <v>146.19444444444497</v>
      </c>
      <c r="W280" s="22">
        <f t="shared" si="75"/>
        <v>118.4944444444445</v>
      </c>
      <c r="X280" s="22">
        <f t="shared" si="75"/>
        <v>130.80555555555503</v>
      </c>
      <c r="Y280" s="22">
        <f t="shared" si="75"/>
        <v>138.5</v>
      </c>
      <c r="Z280" s="23">
        <f t="shared" si="75"/>
        <v>110.79999999999953</v>
      </c>
      <c r="AA280" s="23">
        <f t="shared" si="75"/>
        <v>123.11111111111023</v>
      </c>
      <c r="AB280" s="23">
        <f t="shared" si="75"/>
        <v>130.80555555555503</v>
      </c>
      <c r="AC280" s="24">
        <f t="shared" si="75"/>
        <v>103.10555555555551</v>
      </c>
      <c r="AD280" s="24">
        <f t="shared" si="75"/>
        <v>115.41666666666701</v>
      </c>
      <c r="AE280" s="24">
        <f t="shared" si="75"/>
        <v>123.11111111111023</v>
      </c>
      <c r="AF280" s="25">
        <f t="shared" si="75"/>
        <v>95.41111111111077</v>
      </c>
      <c r="AG280" s="25">
        <f t="shared" si="75"/>
        <v>107.72222222222248</v>
      </c>
      <c r="AH280" s="25">
        <f t="shared" si="75"/>
        <v>115.41666666666701</v>
      </c>
      <c r="AI280" s="26">
        <f t="shared" si="75"/>
        <v>87.716666666666981</v>
      </c>
      <c r="AJ280" s="26">
        <f t="shared" si="73"/>
        <v>100.02777777777752</v>
      </c>
      <c r="AK280" s="26">
        <f t="shared" si="77"/>
        <v>107.72222222222248</v>
      </c>
    </row>
    <row r="281" spans="4:37" ht="20.100000000000001" customHeight="1">
      <c r="D281" s="27">
        <f t="shared" si="72"/>
        <v>0.77222222222222003</v>
      </c>
      <c r="E281" s="16">
        <f t="shared" si="76"/>
        <v>216.22222222222274</v>
      </c>
      <c r="F281" s="16">
        <f t="shared" si="76"/>
        <v>228.57777777777909</v>
      </c>
      <c r="G281" s="16">
        <f t="shared" si="76"/>
        <v>236.29999999999882</v>
      </c>
      <c r="H281" s="17">
        <f t="shared" si="76"/>
        <v>200.77777777777726</v>
      </c>
      <c r="I281" s="17">
        <f t="shared" si="76"/>
        <v>213.13333333333298</v>
      </c>
      <c r="J281" s="17">
        <f t="shared" si="76"/>
        <v>220.85555555555604</v>
      </c>
      <c r="K281" s="18">
        <f t="shared" si="76"/>
        <v>185.33333333333411</v>
      </c>
      <c r="L281" s="18">
        <f t="shared" si="76"/>
        <v>197.6888888888891</v>
      </c>
      <c r="M281" s="18">
        <f t="shared" si="76"/>
        <v>205.41111111111184</v>
      </c>
      <c r="N281" s="19">
        <f t="shared" si="76"/>
        <v>142.08888888888816</v>
      </c>
      <c r="O281" s="19">
        <f t="shared" si="76"/>
        <v>154.44444444444548</v>
      </c>
      <c r="P281" s="19">
        <f t="shared" si="76"/>
        <v>162.16666666666589</v>
      </c>
      <c r="Q281" s="20">
        <f t="shared" si="76"/>
        <v>134.36666666666775</v>
      </c>
      <c r="R281" s="20">
        <f t="shared" si="76"/>
        <v>146.72222222222274</v>
      </c>
      <c r="S281" s="20">
        <f t="shared" si="76"/>
        <v>154.44444444444548</v>
      </c>
      <c r="T281" s="21">
        <f t="shared" si="76"/>
        <v>126.64444444444501</v>
      </c>
      <c r="U281" s="21">
        <f t="shared" si="75"/>
        <v>139</v>
      </c>
      <c r="V281" s="21">
        <f t="shared" si="75"/>
        <v>146.72222222222274</v>
      </c>
      <c r="W281" s="22">
        <f t="shared" si="75"/>
        <v>118.92222222222227</v>
      </c>
      <c r="X281" s="22">
        <f t="shared" si="75"/>
        <v>131.27777777777726</v>
      </c>
      <c r="Y281" s="22">
        <f t="shared" si="75"/>
        <v>139</v>
      </c>
      <c r="Z281" s="23">
        <f t="shared" si="75"/>
        <v>111.19999999999953</v>
      </c>
      <c r="AA281" s="23">
        <f t="shared" si="75"/>
        <v>123.55555555555468</v>
      </c>
      <c r="AB281" s="23">
        <f t="shared" si="75"/>
        <v>131.27777777777726</v>
      </c>
      <c r="AC281" s="24">
        <f t="shared" si="75"/>
        <v>103.47777777777773</v>
      </c>
      <c r="AD281" s="24">
        <f t="shared" si="75"/>
        <v>115.83333333333368</v>
      </c>
      <c r="AE281" s="24">
        <f t="shared" si="75"/>
        <v>123.55555555555468</v>
      </c>
      <c r="AF281" s="25">
        <f t="shared" si="75"/>
        <v>95.755555555555219</v>
      </c>
      <c r="AG281" s="25">
        <f t="shared" si="75"/>
        <v>108.11111111111137</v>
      </c>
      <c r="AH281" s="25">
        <f t="shared" si="75"/>
        <v>115.83333333333368</v>
      </c>
      <c r="AI281" s="26">
        <f t="shared" si="75"/>
        <v>88.033333333333644</v>
      </c>
      <c r="AJ281" s="26">
        <f t="shared" si="73"/>
        <v>100.38888888888863</v>
      </c>
      <c r="AK281" s="26">
        <f t="shared" si="77"/>
        <v>108.11111111111137</v>
      </c>
    </row>
    <row r="282" spans="4:37" ht="20.100000000000001" customHeight="1">
      <c r="D282" s="27">
        <f t="shared" si="72"/>
        <v>0.7749999999999978</v>
      </c>
      <c r="E282" s="16">
        <f t="shared" si="76"/>
        <v>217.00000000000051</v>
      </c>
      <c r="F282" s="16">
        <f t="shared" si="76"/>
        <v>229.40000000000131</v>
      </c>
      <c r="G282" s="16">
        <f t="shared" si="76"/>
        <v>237.14999999999881</v>
      </c>
      <c r="H282" s="17">
        <f t="shared" si="76"/>
        <v>201.49999999999949</v>
      </c>
      <c r="I282" s="17">
        <f t="shared" si="76"/>
        <v>213.89999999999966</v>
      </c>
      <c r="J282" s="17">
        <f t="shared" si="76"/>
        <v>221.65000000000049</v>
      </c>
      <c r="K282" s="18">
        <f t="shared" si="76"/>
        <v>186.00000000000077</v>
      </c>
      <c r="L282" s="18">
        <f t="shared" si="76"/>
        <v>198.4000000000002</v>
      </c>
      <c r="M282" s="18">
        <f t="shared" si="76"/>
        <v>206.15000000000072</v>
      </c>
      <c r="N282" s="19">
        <f t="shared" si="76"/>
        <v>142.59999999999928</v>
      </c>
      <c r="O282" s="19">
        <f t="shared" si="76"/>
        <v>155.00000000000102</v>
      </c>
      <c r="P282" s="19">
        <f t="shared" si="76"/>
        <v>162.74999999999923</v>
      </c>
      <c r="Q282" s="20">
        <f t="shared" si="76"/>
        <v>134.85000000000107</v>
      </c>
      <c r="R282" s="20">
        <f t="shared" si="76"/>
        <v>147.25000000000051</v>
      </c>
      <c r="S282" s="20">
        <f t="shared" si="76"/>
        <v>155.00000000000102</v>
      </c>
      <c r="T282" s="21">
        <f t="shared" si="76"/>
        <v>127.10000000000056</v>
      </c>
      <c r="U282" s="21">
        <f t="shared" si="75"/>
        <v>139.5</v>
      </c>
      <c r="V282" s="21">
        <f t="shared" si="75"/>
        <v>147.25000000000051</v>
      </c>
      <c r="W282" s="22">
        <f t="shared" si="75"/>
        <v>119.35000000000005</v>
      </c>
      <c r="X282" s="22">
        <f t="shared" si="75"/>
        <v>131.74999999999949</v>
      </c>
      <c r="Y282" s="22">
        <f t="shared" si="75"/>
        <v>139.5</v>
      </c>
      <c r="Z282" s="23">
        <f t="shared" si="75"/>
        <v>111.59999999999954</v>
      </c>
      <c r="AA282" s="23">
        <f t="shared" si="75"/>
        <v>123.99999999999912</v>
      </c>
      <c r="AB282" s="23">
        <f t="shared" si="75"/>
        <v>131.74999999999949</v>
      </c>
      <c r="AC282" s="24">
        <f t="shared" si="75"/>
        <v>103.84999999999995</v>
      </c>
      <c r="AD282" s="24">
        <f t="shared" si="75"/>
        <v>116.25000000000036</v>
      </c>
      <c r="AE282" s="24">
        <f t="shared" si="75"/>
        <v>123.99999999999912</v>
      </c>
      <c r="AF282" s="25">
        <f t="shared" si="75"/>
        <v>96.099999999999667</v>
      </c>
      <c r="AG282" s="25">
        <f t="shared" si="75"/>
        <v>108.50000000000026</v>
      </c>
      <c r="AH282" s="25">
        <f t="shared" si="75"/>
        <v>116.25000000000036</v>
      </c>
      <c r="AI282" s="26">
        <f t="shared" si="75"/>
        <v>88.350000000000307</v>
      </c>
      <c r="AJ282" s="26">
        <f t="shared" si="77"/>
        <v>100.74999999999974</v>
      </c>
      <c r="AK282" s="26">
        <f t="shared" si="77"/>
        <v>108.50000000000026</v>
      </c>
    </row>
    <row r="283" spans="4:37" ht="20.100000000000001" customHeight="1">
      <c r="D283" s="27">
        <f t="shared" si="72"/>
        <v>0.77777777777777557</v>
      </c>
      <c r="E283" s="16">
        <f t="shared" si="76"/>
        <v>217.77777777777828</v>
      </c>
      <c r="F283" s="16">
        <f t="shared" si="76"/>
        <v>230.22222222222354</v>
      </c>
      <c r="G283" s="16">
        <f t="shared" si="76"/>
        <v>237.99999999999881</v>
      </c>
      <c r="H283" s="17">
        <f t="shared" si="76"/>
        <v>202.22222222222172</v>
      </c>
      <c r="I283" s="17">
        <f t="shared" si="76"/>
        <v>214.66666666666634</v>
      </c>
      <c r="J283" s="17">
        <f t="shared" si="76"/>
        <v>222.44444444444494</v>
      </c>
      <c r="K283" s="18">
        <f t="shared" si="76"/>
        <v>186.66666666666742</v>
      </c>
      <c r="L283" s="18">
        <f t="shared" si="76"/>
        <v>199.11111111111131</v>
      </c>
      <c r="M283" s="18">
        <f t="shared" si="76"/>
        <v>206.8888888888896</v>
      </c>
      <c r="N283" s="19">
        <f t="shared" si="76"/>
        <v>143.1111111111104</v>
      </c>
      <c r="O283" s="19">
        <f t="shared" si="76"/>
        <v>155.55555555555657</v>
      </c>
      <c r="P283" s="19">
        <f t="shared" si="76"/>
        <v>163.33333333333258</v>
      </c>
      <c r="Q283" s="20">
        <f t="shared" si="76"/>
        <v>135.33333333333439</v>
      </c>
      <c r="R283" s="20">
        <f t="shared" si="76"/>
        <v>147.77777777777828</v>
      </c>
      <c r="S283" s="20">
        <f t="shared" si="76"/>
        <v>155.55555555555657</v>
      </c>
      <c r="T283" s="21">
        <f t="shared" si="76"/>
        <v>127.55555555555611</v>
      </c>
      <c r="U283" s="21">
        <f t="shared" si="75"/>
        <v>140</v>
      </c>
      <c r="V283" s="21">
        <f t="shared" si="75"/>
        <v>147.77777777777828</v>
      </c>
      <c r="W283" s="22">
        <f t="shared" si="75"/>
        <v>119.77777777777783</v>
      </c>
      <c r="X283" s="22">
        <f t="shared" si="75"/>
        <v>132.22222222222172</v>
      </c>
      <c r="Y283" s="22">
        <f t="shared" si="75"/>
        <v>140</v>
      </c>
      <c r="Z283" s="23">
        <f t="shared" si="75"/>
        <v>111.99999999999955</v>
      </c>
      <c r="AA283" s="23">
        <f t="shared" si="75"/>
        <v>124.44444444444356</v>
      </c>
      <c r="AB283" s="23">
        <f t="shared" si="75"/>
        <v>132.22222222222172</v>
      </c>
      <c r="AC283" s="24">
        <f t="shared" si="75"/>
        <v>104.22222222222217</v>
      </c>
      <c r="AD283" s="24">
        <f t="shared" si="75"/>
        <v>116.66666666666703</v>
      </c>
      <c r="AE283" s="24">
        <f t="shared" si="75"/>
        <v>124.44444444444356</v>
      </c>
      <c r="AF283" s="25">
        <f t="shared" si="75"/>
        <v>96.444444444444116</v>
      </c>
      <c r="AG283" s="25">
        <f t="shared" si="75"/>
        <v>108.88888888888914</v>
      </c>
      <c r="AH283" s="25">
        <f t="shared" si="75"/>
        <v>116.66666666666703</v>
      </c>
      <c r="AI283" s="26">
        <f t="shared" si="75"/>
        <v>88.66666666666697</v>
      </c>
      <c r="AJ283" s="26">
        <f t="shared" si="77"/>
        <v>101.11111111111086</v>
      </c>
      <c r="AK283" s="26">
        <f t="shared" si="77"/>
        <v>108.88888888888914</v>
      </c>
    </row>
    <row r="284" spans="4:37" ht="20.100000000000001" customHeight="1">
      <c r="D284" s="27">
        <f t="shared" si="72"/>
        <v>0.78055555555555334</v>
      </c>
      <c r="E284" s="16">
        <f t="shared" si="76"/>
        <v>218.55555555555605</v>
      </c>
      <c r="F284" s="16">
        <f t="shared" si="76"/>
        <v>231.04444444444576</v>
      </c>
      <c r="G284" s="16">
        <f t="shared" si="76"/>
        <v>238.8499999999988</v>
      </c>
      <c r="H284" s="17">
        <f t="shared" si="76"/>
        <v>202.94444444444395</v>
      </c>
      <c r="I284" s="17">
        <f t="shared" si="76"/>
        <v>215.43333333333302</v>
      </c>
      <c r="J284" s="17">
        <f t="shared" si="76"/>
        <v>223.23888888888939</v>
      </c>
      <c r="K284" s="18">
        <f t="shared" si="76"/>
        <v>187.33333333333408</v>
      </c>
      <c r="L284" s="18">
        <f t="shared" si="76"/>
        <v>199.82222222222242</v>
      </c>
      <c r="M284" s="18">
        <f t="shared" si="76"/>
        <v>207.62777777777848</v>
      </c>
      <c r="N284" s="19">
        <f t="shared" si="76"/>
        <v>143.62222222222152</v>
      </c>
      <c r="O284" s="19">
        <f t="shared" si="76"/>
        <v>156.11111111111211</v>
      </c>
      <c r="P284" s="19">
        <f t="shared" si="76"/>
        <v>163.91666666666592</v>
      </c>
      <c r="Q284" s="20">
        <f t="shared" si="76"/>
        <v>135.81666666666771</v>
      </c>
      <c r="R284" s="20">
        <f t="shared" si="76"/>
        <v>148.30555555555605</v>
      </c>
      <c r="S284" s="20">
        <f t="shared" si="76"/>
        <v>156.11111111111211</v>
      </c>
      <c r="T284" s="21">
        <f t="shared" si="76"/>
        <v>128.01111111111166</v>
      </c>
      <c r="U284" s="21">
        <f t="shared" si="75"/>
        <v>140.5</v>
      </c>
      <c r="V284" s="21">
        <f t="shared" si="75"/>
        <v>148.30555555555605</v>
      </c>
      <c r="W284" s="22">
        <f t="shared" si="75"/>
        <v>120.20555555555561</v>
      </c>
      <c r="X284" s="22">
        <f t="shared" si="75"/>
        <v>132.69444444444395</v>
      </c>
      <c r="Y284" s="22">
        <f t="shared" si="75"/>
        <v>140.5</v>
      </c>
      <c r="Z284" s="23">
        <f t="shared" si="75"/>
        <v>112.39999999999955</v>
      </c>
      <c r="AA284" s="23">
        <f t="shared" si="75"/>
        <v>124.888888888888</v>
      </c>
      <c r="AB284" s="23">
        <f t="shared" si="75"/>
        <v>132.69444444444395</v>
      </c>
      <c r="AC284" s="24">
        <f t="shared" si="75"/>
        <v>104.59444444444439</v>
      </c>
      <c r="AD284" s="24">
        <f t="shared" si="75"/>
        <v>117.0833333333337</v>
      </c>
      <c r="AE284" s="24">
        <f t="shared" si="75"/>
        <v>124.888888888888</v>
      </c>
      <c r="AF284" s="25">
        <f t="shared" si="75"/>
        <v>96.788888888888565</v>
      </c>
      <c r="AG284" s="25">
        <f t="shared" si="75"/>
        <v>109.27777777777803</v>
      </c>
      <c r="AH284" s="25">
        <f t="shared" si="75"/>
        <v>117.0833333333337</v>
      </c>
      <c r="AI284" s="26">
        <f t="shared" si="75"/>
        <v>88.983333333333633</v>
      </c>
      <c r="AJ284" s="26">
        <f t="shared" si="77"/>
        <v>101.47222222222197</v>
      </c>
      <c r="AK284" s="26">
        <f t="shared" si="77"/>
        <v>109.27777777777803</v>
      </c>
    </row>
    <row r="285" spans="4:37" ht="20.100000000000001" customHeight="1">
      <c r="D285" s="27">
        <f t="shared" si="72"/>
        <v>0.78333333333333111</v>
      </c>
      <c r="E285" s="16">
        <f t="shared" si="76"/>
        <v>219.33333333333383</v>
      </c>
      <c r="F285" s="16">
        <f t="shared" si="76"/>
        <v>231.86666666666798</v>
      </c>
      <c r="G285" s="16">
        <f t="shared" si="76"/>
        <v>239.69999999999879</v>
      </c>
      <c r="H285" s="17">
        <f t="shared" si="76"/>
        <v>203.66666666666617</v>
      </c>
      <c r="I285" s="17">
        <f t="shared" si="76"/>
        <v>216.1999999999997</v>
      </c>
      <c r="J285" s="17">
        <f t="shared" si="76"/>
        <v>224.03333333333384</v>
      </c>
      <c r="K285" s="18">
        <f t="shared" si="76"/>
        <v>188.00000000000074</v>
      </c>
      <c r="L285" s="18">
        <f t="shared" si="76"/>
        <v>200.53333333333353</v>
      </c>
      <c r="M285" s="18">
        <f t="shared" si="76"/>
        <v>208.36666666666736</v>
      </c>
      <c r="N285" s="19">
        <f t="shared" si="76"/>
        <v>144.13333333333264</v>
      </c>
      <c r="O285" s="19">
        <f t="shared" si="76"/>
        <v>156.66666666666765</v>
      </c>
      <c r="P285" s="19">
        <f t="shared" si="76"/>
        <v>164.49999999999926</v>
      </c>
      <c r="Q285" s="20">
        <f t="shared" si="76"/>
        <v>136.30000000000103</v>
      </c>
      <c r="R285" s="20">
        <f t="shared" si="76"/>
        <v>148.83333333333383</v>
      </c>
      <c r="S285" s="20">
        <f t="shared" si="76"/>
        <v>156.66666666666765</v>
      </c>
      <c r="T285" s="21">
        <f t="shared" si="76"/>
        <v>128.46666666666721</v>
      </c>
      <c r="U285" s="21">
        <f t="shared" si="75"/>
        <v>141</v>
      </c>
      <c r="V285" s="21">
        <f t="shared" si="75"/>
        <v>148.83333333333383</v>
      </c>
      <c r="W285" s="22">
        <f t="shared" si="75"/>
        <v>120.63333333333338</v>
      </c>
      <c r="X285" s="22">
        <f t="shared" si="75"/>
        <v>133.16666666666617</v>
      </c>
      <c r="Y285" s="22">
        <f t="shared" si="75"/>
        <v>141</v>
      </c>
      <c r="Z285" s="23">
        <f t="shared" si="75"/>
        <v>112.79999999999956</v>
      </c>
      <c r="AA285" s="23">
        <f t="shared" si="75"/>
        <v>125.33333333333245</v>
      </c>
      <c r="AB285" s="23">
        <f t="shared" si="75"/>
        <v>133.16666666666617</v>
      </c>
      <c r="AC285" s="24">
        <f t="shared" si="75"/>
        <v>104.96666666666661</v>
      </c>
      <c r="AD285" s="24">
        <f t="shared" si="75"/>
        <v>117.50000000000037</v>
      </c>
      <c r="AE285" s="24">
        <f t="shared" si="75"/>
        <v>125.33333333333245</v>
      </c>
      <c r="AF285" s="25">
        <f t="shared" si="75"/>
        <v>97.133333333333013</v>
      </c>
      <c r="AG285" s="25">
        <f t="shared" si="75"/>
        <v>109.66666666666691</v>
      </c>
      <c r="AH285" s="25">
        <f t="shared" si="75"/>
        <v>117.50000000000037</v>
      </c>
      <c r="AI285" s="26">
        <f t="shared" si="75"/>
        <v>89.300000000000296</v>
      </c>
      <c r="AJ285" s="26">
        <f t="shared" si="77"/>
        <v>101.83333333333309</v>
      </c>
      <c r="AK285" s="26">
        <f t="shared" si="77"/>
        <v>109.66666666666691</v>
      </c>
    </row>
    <row r="286" spans="4:37" ht="20.100000000000001" customHeight="1">
      <c r="D286" s="27">
        <f t="shared" si="72"/>
        <v>0.78611111111110887</v>
      </c>
      <c r="E286" s="16">
        <f t="shared" si="76"/>
        <v>220.1111111111116</v>
      </c>
      <c r="F286" s="16">
        <f t="shared" si="76"/>
        <v>232.6888888888902</v>
      </c>
      <c r="G286" s="16">
        <f t="shared" si="76"/>
        <v>240.54999999999879</v>
      </c>
      <c r="H286" s="17">
        <f t="shared" si="76"/>
        <v>204.3888888888884</v>
      </c>
      <c r="I286" s="17">
        <f t="shared" si="76"/>
        <v>216.96666666666638</v>
      </c>
      <c r="J286" s="17">
        <f t="shared" si="76"/>
        <v>224.82777777777829</v>
      </c>
      <c r="K286" s="18">
        <f t="shared" si="76"/>
        <v>188.6666666666674</v>
      </c>
      <c r="L286" s="18">
        <f t="shared" si="76"/>
        <v>201.24444444444464</v>
      </c>
      <c r="M286" s="18">
        <f t="shared" si="76"/>
        <v>209.10555555555624</v>
      </c>
      <c r="N286" s="19">
        <f t="shared" si="76"/>
        <v>144.64444444444376</v>
      </c>
      <c r="O286" s="19">
        <f t="shared" si="76"/>
        <v>157.22222222222319</v>
      </c>
      <c r="P286" s="19">
        <f t="shared" si="76"/>
        <v>165.0833333333326</v>
      </c>
      <c r="Q286" s="20">
        <f t="shared" si="76"/>
        <v>136.78333333333435</v>
      </c>
      <c r="R286" s="20">
        <f t="shared" si="76"/>
        <v>149.3611111111116</v>
      </c>
      <c r="S286" s="20">
        <f t="shared" si="76"/>
        <v>157.22222222222319</v>
      </c>
      <c r="T286" s="21">
        <f t="shared" si="76"/>
        <v>128.92222222222276</v>
      </c>
      <c r="U286" s="21">
        <f t="shared" si="75"/>
        <v>141.5</v>
      </c>
      <c r="V286" s="21">
        <f t="shared" si="75"/>
        <v>149.3611111111116</v>
      </c>
      <c r="W286" s="22">
        <f t="shared" si="75"/>
        <v>121.06111111111116</v>
      </c>
      <c r="X286" s="22">
        <f t="shared" si="75"/>
        <v>133.6388888888884</v>
      </c>
      <c r="Y286" s="22">
        <f t="shared" si="75"/>
        <v>141.5</v>
      </c>
      <c r="Z286" s="23">
        <f t="shared" si="75"/>
        <v>113.19999999999956</v>
      </c>
      <c r="AA286" s="23">
        <f t="shared" si="75"/>
        <v>125.77777777777689</v>
      </c>
      <c r="AB286" s="23">
        <f t="shared" si="75"/>
        <v>133.6388888888884</v>
      </c>
      <c r="AC286" s="24">
        <f t="shared" si="75"/>
        <v>105.33888888888883</v>
      </c>
      <c r="AD286" s="24">
        <f t="shared" si="75"/>
        <v>117.91666666666704</v>
      </c>
      <c r="AE286" s="24">
        <f t="shared" si="75"/>
        <v>125.77777777777689</v>
      </c>
      <c r="AF286" s="25">
        <f t="shared" si="75"/>
        <v>97.477777777777462</v>
      </c>
      <c r="AG286" s="25">
        <f t="shared" si="75"/>
        <v>110.0555555555558</v>
      </c>
      <c r="AH286" s="25">
        <f t="shared" si="75"/>
        <v>117.91666666666704</v>
      </c>
      <c r="AI286" s="26">
        <f t="shared" si="75"/>
        <v>89.616666666666958</v>
      </c>
      <c r="AJ286" s="26">
        <f t="shared" si="77"/>
        <v>102.1944444444442</v>
      </c>
      <c r="AK286" s="26">
        <f t="shared" si="77"/>
        <v>110.0555555555558</v>
      </c>
    </row>
    <row r="287" spans="4:37" ht="20.100000000000001" customHeight="1">
      <c r="D287" s="27">
        <f t="shared" si="72"/>
        <v>0.78888888888888664</v>
      </c>
      <c r="E287" s="16">
        <f t="shared" si="76"/>
        <v>220.88888888888937</v>
      </c>
      <c r="F287" s="16">
        <f t="shared" si="76"/>
        <v>233.51111111111243</v>
      </c>
      <c r="G287" s="16">
        <f t="shared" si="76"/>
        <v>241.39999999999878</v>
      </c>
      <c r="H287" s="17">
        <f t="shared" si="76"/>
        <v>205.11111111111063</v>
      </c>
      <c r="I287" s="17">
        <f t="shared" si="76"/>
        <v>217.73333333333306</v>
      </c>
      <c r="J287" s="17">
        <f t="shared" si="76"/>
        <v>225.62222222222275</v>
      </c>
      <c r="K287" s="18">
        <f t="shared" si="76"/>
        <v>189.33333333333405</v>
      </c>
      <c r="L287" s="18">
        <f t="shared" si="76"/>
        <v>201.95555555555575</v>
      </c>
      <c r="M287" s="18">
        <f t="shared" si="76"/>
        <v>209.84444444444512</v>
      </c>
      <c r="N287" s="19">
        <f t="shared" si="76"/>
        <v>145.15555555555488</v>
      </c>
      <c r="O287" s="19">
        <f t="shared" si="76"/>
        <v>157.77777777777874</v>
      </c>
      <c r="P287" s="19">
        <f t="shared" si="76"/>
        <v>165.66666666666595</v>
      </c>
      <c r="Q287" s="20">
        <f t="shared" si="76"/>
        <v>137.26666666666767</v>
      </c>
      <c r="R287" s="20">
        <f t="shared" si="76"/>
        <v>149.88888888888937</v>
      </c>
      <c r="S287" s="20">
        <f t="shared" si="76"/>
        <v>157.77777777777874</v>
      </c>
      <c r="T287" s="21">
        <f t="shared" si="76"/>
        <v>129.37777777777831</v>
      </c>
      <c r="U287" s="21">
        <f t="shared" si="75"/>
        <v>142</v>
      </c>
      <c r="V287" s="21">
        <f t="shared" si="75"/>
        <v>149.88888888888937</v>
      </c>
      <c r="W287" s="22">
        <f t="shared" si="75"/>
        <v>121.48888888888894</v>
      </c>
      <c r="X287" s="22">
        <f t="shared" si="75"/>
        <v>134.11111111111063</v>
      </c>
      <c r="Y287" s="22">
        <f t="shared" si="75"/>
        <v>142</v>
      </c>
      <c r="Z287" s="23">
        <f t="shared" si="75"/>
        <v>113.59999999999957</v>
      </c>
      <c r="AA287" s="23">
        <f t="shared" si="75"/>
        <v>126.22222222222133</v>
      </c>
      <c r="AB287" s="23">
        <f t="shared" si="75"/>
        <v>134.11111111111063</v>
      </c>
      <c r="AC287" s="24">
        <f t="shared" si="75"/>
        <v>105.71111111111105</v>
      </c>
      <c r="AD287" s="24">
        <f t="shared" si="75"/>
        <v>118.33333333333371</v>
      </c>
      <c r="AE287" s="24">
        <f t="shared" si="75"/>
        <v>126.22222222222133</v>
      </c>
      <c r="AF287" s="25">
        <f t="shared" si="75"/>
        <v>97.82222222222191</v>
      </c>
      <c r="AG287" s="25">
        <f t="shared" si="75"/>
        <v>110.44444444444468</v>
      </c>
      <c r="AH287" s="25">
        <f t="shared" si="75"/>
        <v>118.33333333333371</v>
      </c>
      <c r="AI287" s="26">
        <f t="shared" si="75"/>
        <v>89.933333333333621</v>
      </c>
      <c r="AJ287" s="26">
        <f t="shared" si="77"/>
        <v>102.55555555555532</v>
      </c>
      <c r="AK287" s="26">
        <f t="shared" si="77"/>
        <v>110.44444444444468</v>
      </c>
    </row>
    <row r="288" spans="4:37" ht="20.100000000000001" customHeight="1">
      <c r="D288" s="27">
        <f t="shared" si="72"/>
        <v>0.79166666666666441</v>
      </c>
      <c r="E288" s="16">
        <f t="shared" si="76"/>
        <v>221.66666666666714</v>
      </c>
      <c r="F288" s="16">
        <f t="shared" si="76"/>
        <v>234.33333333333465</v>
      </c>
      <c r="G288" s="16">
        <f t="shared" si="76"/>
        <v>242.24999999999878</v>
      </c>
      <c r="H288" s="17">
        <f t="shared" si="76"/>
        <v>205.83333333333286</v>
      </c>
      <c r="I288" s="17">
        <f t="shared" si="76"/>
        <v>218.49999999999974</v>
      </c>
      <c r="J288" s="17">
        <f t="shared" si="76"/>
        <v>226.4166666666672</v>
      </c>
      <c r="K288" s="18">
        <f t="shared" si="76"/>
        <v>190.00000000000071</v>
      </c>
      <c r="L288" s="18">
        <f t="shared" si="76"/>
        <v>202.66666666666686</v>
      </c>
      <c r="M288" s="18">
        <f t="shared" si="76"/>
        <v>210.583333333334</v>
      </c>
      <c r="N288" s="19">
        <f t="shared" si="76"/>
        <v>145.666666666666</v>
      </c>
      <c r="O288" s="19">
        <f t="shared" si="76"/>
        <v>158.33333333333428</v>
      </c>
      <c r="P288" s="19">
        <f t="shared" si="76"/>
        <v>166.24999999999929</v>
      </c>
      <c r="Q288" s="20">
        <f t="shared" si="76"/>
        <v>137.75000000000099</v>
      </c>
      <c r="R288" s="20">
        <f t="shared" si="76"/>
        <v>150.41666666666714</v>
      </c>
      <c r="S288" s="20">
        <f t="shared" si="76"/>
        <v>158.33333333333428</v>
      </c>
      <c r="T288" s="21">
        <f t="shared" si="76"/>
        <v>129.83333333333385</v>
      </c>
      <c r="U288" s="21">
        <f t="shared" si="75"/>
        <v>142.5</v>
      </c>
      <c r="V288" s="21">
        <f t="shared" si="75"/>
        <v>150.41666666666714</v>
      </c>
      <c r="W288" s="22">
        <f t="shared" si="75"/>
        <v>121.91666666666671</v>
      </c>
      <c r="X288" s="22">
        <f t="shared" si="75"/>
        <v>134.58333333333286</v>
      </c>
      <c r="Y288" s="22">
        <f t="shared" si="75"/>
        <v>142.5</v>
      </c>
      <c r="Z288" s="23">
        <f t="shared" si="75"/>
        <v>113.99999999999957</v>
      </c>
      <c r="AA288" s="23">
        <f t="shared" si="75"/>
        <v>126.66666666666578</v>
      </c>
      <c r="AB288" s="23">
        <f t="shared" si="75"/>
        <v>134.58333333333286</v>
      </c>
      <c r="AC288" s="24">
        <f t="shared" si="75"/>
        <v>106.08333333333327</v>
      </c>
      <c r="AD288" s="24">
        <f t="shared" si="75"/>
        <v>118.75000000000038</v>
      </c>
      <c r="AE288" s="24">
        <f t="shared" si="75"/>
        <v>126.66666666666578</v>
      </c>
      <c r="AF288" s="25">
        <f t="shared" si="75"/>
        <v>98.166666666666359</v>
      </c>
      <c r="AG288" s="25">
        <f t="shared" si="75"/>
        <v>110.83333333333357</v>
      </c>
      <c r="AH288" s="25">
        <f t="shared" si="75"/>
        <v>118.75000000000038</v>
      </c>
      <c r="AI288" s="26">
        <f t="shared" si="75"/>
        <v>90.250000000000284</v>
      </c>
      <c r="AJ288" s="26">
        <f t="shared" si="77"/>
        <v>102.91666666666643</v>
      </c>
      <c r="AK288" s="26">
        <f t="shared" si="77"/>
        <v>110.83333333333357</v>
      </c>
    </row>
    <row r="289" spans="4:37" ht="20.100000000000001" customHeight="1">
      <c r="D289" s="27">
        <f t="shared" si="72"/>
        <v>0.79444444444444218</v>
      </c>
      <c r="E289" s="16">
        <f t="shared" si="76"/>
        <v>222.44444444444491</v>
      </c>
      <c r="F289" s="16">
        <f t="shared" si="76"/>
        <v>235.15555555555687</v>
      </c>
      <c r="G289" s="16">
        <f t="shared" si="76"/>
        <v>243.09999999999877</v>
      </c>
      <c r="H289" s="17">
        <f t="shared" si="76"/>
        <v>206.55555555555509</v>
      </c>
      <c r="I289" s="17">
        <f t="shared" si="76"/>
        <v>219.26666666666642</v>
      </c>
      <c r="J289" s="17">
        <f t="shared" si="76"/>
        <v>227.21111111111165</v>
      </c>
      <c r="K289" s="18">
        <f t="shared" si="76"/>
        <v>190.66666666666737</v>
      </c>
      <c r="L289" s="18">
        <f t="shared" si="76"/>
        <v>203.37777777777796</v>
      </c>
      <c r="M289" s="18">
        <f t="shared" si="76"/>
        <v>211.32222222222288</v>
      </c>
      <c r="N289" s="19">
        <f t="shared" si="76"/>
        <v>146.17777777777712</v>
      </c>
      <c r="O289" s="19">
        <f t="shared" si="76"/>
        <v>158.88888888888982</v>
      </c>
      <c r="P289" s="19">
        <f t="shared" si="76"/>
        <v>166.83333333333263</v>
      </c>
      <c r="Q289" s="20">
        <f t="shared" si="76"/>
        <v>138.23333333333431</v>
      </c>
      <c r="R289" s="20">
        <f t="shared" si="76"/>
        <v>150.94444444444491</v>
      </c>
      <c r="S289" s="20">
        <f t="shared" si="76"/>
        <v>158.88888888888982</v>
      </c>
      <c r="T289" s="21">
        <f t="shared" si="76"/>
        <v>130.2888888888894</v>
      </c>
      <c r="U289" s="21">
        <f t="shared" si="75"/>
        <v>143</v>
      </c>
      <c r="V289" s="21">
        <f t="shared" si="75"/>
        <v>150.94444444444491</v>
      </c>
      <c r="W289" s="22">
        <f t="shared" si="75"/>
        <v>122.34444444444449</v>
      </c>
      <c r="X289" s="22">
        <f t="shared" si="75"/>
        <v>135.05555555555509</v>
      </c>
      <c r="Y289" s="22">
        <f t="shared" si="75"/>
        <v>143</v>
      </c>
      <c r="Z289" s="23">
        <f t="shared" si="75"/>
        <v>114.39999999999958</v>
      </c>
      <c r="AA289" s="23">
        <f t="shared" si="75"/>
        <v>127.11111111111022</v>
      </c>
      <c r="AB289" s="23">
        <f t="shared" si="75"/>
        <v>135.05555555555509</v>
      </c>
      <c r="AC289" s="24">
        <f t="shared" si="75"/>
        <v>106.45555555555549</v>
      </c>
      <c r="AD289" s="24">
        <f t="shared" si="75"/>
        <v>119.16666666666706</v>
      </c>
      <c r="AE289" s="24">
        <f t="shared" si="75"/>
        <v>127.11111111111022</v>
      </c>
      <c r="AF289" s="25">
        <f t="shared" si="75"/>
        <v>98.511111111110807</v>
      </c>
      <c r="AG289" s="25">
        <f t="shared" si="75"/>
        <v>111.22222222222246</v>
      </c>
      <c r="AH289" s="25">
        <f t="shared" si="75"/>
        <v>119.16666666666706</v>
      </c>
      <c r="AI289" s="26">
        <f t="shared" si="75"/>
        <v>90.566666666666947</v>
      </c>
      <c r="AJ289" s="26">
        <f t="shared" si="77"/>
        <v>103.27777777777754</v>
      </c>
      <c r="AK289" s="26">
        <f t="shared" si="77"/>
        <v>111.22222222222246</v>
      </c>
    </row>
    <row r="290" spans="4:37" ht="20.100000000000001" customHeight="1">
      <c r="D290" s="27">
        <f t="shared" si="72"/>
        <v>0.79722222222221995</v>
      </c>
      <c r="E290" s="16">
        <f t="shared" si="76"/>
        <v>223.22222222222268</v>
      </c>
      <c r="F290" s="16">
        <f t="shared" si="76"/>
        <v>235.9777777777791</v>
      </c>
      <c r="G290" s="16">
        <f t="shared" si="76"/>
        <v>243.94999999999877</v>
      </c>
      <c r="H290" s="17">
        <f t="shared" si="76"/>
        <v>207.27777777777732</v>
      </c>
      <c r="I290" s="17">
        <f t="shared" si="76"/>
        <v>220.0333333333331</v>
      </c>
      <c r="J290" s="17">
        <f t="shared" si="76"/>
        <v>228.0055555555561</v>
      </c>
      <c r="K290" s="18">
        <f t="shared" si="76"/>
        <v>191.33333333333402</v>
      </c>
      <c r="L290" s="18">
        <f t="shared" si="76"/>
        <v>204.08888888888907</v>
      </c>
      <c r="M290" s="18">
        <f t="shared" si="76"/>
        <v>212.06111111111176</v>
      </c>
      <c r="N290" s="19">
        <f t="shared" si="76"/>
        <v>146.68888888888824</v>
      </c>
      <c r="O290" s="19">
        <f t="shared" si="76"/>
        <v>159.44444444444537</v>
      </c>
      <c r="P290" s="19">
        <f t="shared" si="76"/>
        <v>167.41666666666598</v>
      </c>
      <c r="Q290" s="20">
        <f t="shared" si="76"/>
        <v>138.71666666666763</v>
      </c>
      <c r="R290" s="20">
        <f t="shared" si="76"/>
        <v>151.47222222222268</v>
      </c>
      <c r="S290" s="20">
        <f t="shared" si="76"/>
        <v>159.44444444444537</v>
      </c>
      <c r="T290" s="21">
        <f t="shared" si="76"/>
        <v>130.74444444444495</v>
      </c>
      <c r="U290" s="21">
        <f t="shared" si="75"/>
        <v>143.5</v>
      </c>
      <c r="V290" s="21">
        <f t="shared" si="75"/>
        <v>151.47222222222268</v>
      </c>
      <c r="W290" s="22">
        <f t="shared" si="75"/>
        <v>122.77222222222227</v>
      </c>
      <c r="X290" s="22">
        <f t="shared" si="75"/>
        <v>135.52777777777732</v>
      </c>
      <c r="Y290" s="22">
        <f t="shared" si="75"/>
        <v>143.5</v>
      </c>
      <c r="Z290" s="23">
        <f t="shared" si="75"/>
        <v>114.79999999999959</v>
      </c>
      <c r="AA290" s="23">
        <f t="shared" si="75"/>
        <v>127.55555555555466</v>
      </c>
      <c r="AB290" s="23">
        <f t="shared" si="75"/>
        <v>135.52777777777732</v>
      </c>
      <c r="AC290" s="24">
        <f t="shared" si="75"/>
        <v>106.82777777777771</v>
      </c>
      <c r="AD290" s="24">
        <f t="shared" si="75"/>
        <v>119.58333333333373</v>
      </c>
      <c r="AE290" s="24">
        <f t="shared" si="75"/>
        <v>127.55555555555466</v>
      </c>
      <c r="AF290" s="25">
        <f t="shared" si="75"/>
        <v>98.855555555555256</v>
      </c>
      <c r="AG290" s="25">
        <f t="shared" si="75"/>
        <v>111.61111111111134</v>
      </c>
      <c r="AH290" s="25">
        <f t="shared" si="75"/>
        <v>119.58333333333373</v>
      </c>
      <c r="AI290" s="26">
        <f t="shared" si="75"/>
        <v>90.88333333333361</v>
      </c>
      <c r="AJ290" s="26">
        <f t="shared" si="77"/>
        <v>103.63888888888866</v>
      </c>
      <c r="AK290" s="26">
        <f t="shared" si="77"/>
        <v>111.61111111111134</v>
      </c>
    </row>
    <row r="291" spans="4:37" ht="20.100000000000001" customHeight="1">
      <c r="D291" s="27">
        <f t="shared" si="72"/>
        <v>0.79999999999999771</v>
      </c>
      <c r="E291" s="16">
        <f t="shared" si="76"/>
        <v>224.00000000000045</v>
      </c>
      <c r="F291" s="16">
        <f t="shared" si="76"/>
        <v>236.80000000000132</v>
      </c>
      <c r="G291" s="16">
        <f t="shared" si="76"/>
        <v>244.79999999999876</v>
      </c>
      <c r="H291" s="17">
        <f t="shared" si="76"/>
        <v>207.99999999999955</v>
      </c>
      <c r="I291" s="17">
        <f t="shared" si="76"/>
        <v>220.79999999999978</v>
      </c>
      <c r="J291" s="17">
        <f t="shared" si="76"/>
        <v>228.80000000000055</v>
      </c>
      <c r="K291" s="18">
        <f t="shared" si="76"/>
        <v>192.00000000000068</v>
      </c>
      <c r="L291" s="18">
        <f t="shared" si="76"/>
        <v>204.80000000000018</v>
      </c>
      <c r="M291" s="18">
        <f t="shared" si="76"/>
        <v>212.80000000000064</v>
      </c>
      <c r="N291" s="19">
        <f t="shared" si="76"/>
        <v>147.19999999999936</v>
      </c>
      <c r="O291" s="19">
        <f t="shared" si="76"/>
        <v>160.00000000000091</v>
      </c>
      <c r="P291" s="19">
        <f t="shared" si="76"/>
        <v>167.99999999999932</v>
      </c>
      <c r="Q291" s="20">
        <f t="shared" si="76"/>
        <v>139.20000000000095</v>
      </c>
      <c r="R291" s="20">
        <f t="shared" si="76"/>
        <v>152.00000000000045</v>
      </c>
      <c r="S291" s="20">
        <f t="shared" si="76"/>
        <v>160.00000000000091</v>
      </c>
      <c r="T291" s="21">
        <f t="shared" ref="T291:AI306" si="78">T292-(T$363/360)</f>
        <v>131.2000000000005</v>
      </c>
      <c r="U291" s="21">
        <f t="shared" si="78"/>
        <v>144</v>
      </c>
      <c r="V291" s="21">
        <f t="shared" si="78"/>
        <v>152.00000000000045</v>
      </c>
      <c r="W291" s="22">
        <f t="shared" si="78"/>
        <v>123.20000000000005</v>
      </c>
      <c r="X291" s="22">
        <f t="shared" si="78"/>
        <v>135.99999999999955</v>
      </c>
      <c r="Y291" s="22">
        <f t="shared" si="78"/>
        <v>144</v>
      </c>
      <c r="Z291" s="23">
        <f t="shared" si="78"/>
        <v>115.19999999999959</v>
      </c>
      <c r="AA291" s="23">
        <f t="shared" si="78"/>
        <v>127.9999999999991</v>
      </c>
      <c r="AB291" s="23">
        <f t="shared" si="78"/>
        <v>135.99999999999955</v>
      </c>
      <c r="AC291" s="24">
        <f t="shared" si="78"/>
        <v>107.19999999999993</v>
      </c>
      <c r="AD291" s="24">
        <f t="shared" si="78"/>
        <v>120.0000000000004</v>
      </c>
      <c r="AE291" s="24">
        <f t="shared" si="78"/>
        <v>127.9999999999991</v>
      </c>
      <c r="AF291" s="25">
        <f t="shared" si="78"/>
        <v>99.199999999999704</v>
      </c>
      <c r="AG291" s="25">
        <f t="shared" si="78"/>
        <v>112.00000000000023</v>
      </c>
      <c r="AH291" s="25">
        <f t="shared" si="78"/>
        <v>120.0000000000004</v>
      </c>
      <c r="AI291" s="26">
        <f t="shared" si="78"/>
        <v>91.200000000000273</v>
      </c>
      <c r="AJ291" s="26">
        <f t="shared" si="77"/>
        <v>103.99999999999977</v>
      </c>
      <c r="AK291" s="26">
        <f t="shared" si="77"/>
        <v>112.00000000000023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224.77777777777823</v>
      </c>
      <c r="F292" s="16">
        <f t="shared" si="79"/>
        <v>237.62222222222354</v>
      </c>
      <c r="G292" s="16">
        <f t="shared" si="79"/>
        <v>245.64999999999876</v>
      </c>
      <c r="H292" s="17">
        <f t="shared" si="79"/>
        <v>208.72222222222177</v>
      </c>
      <c r="I292" s="17">
        <f t="shared" si="79"/>
        <v>221.56666666666646</v>
      </c>
      <c r="J292" s="17">
        <f t="shared" si="79"/>
        <v>229.594444444445</v>
      </c>
      <c r="K292" s="18">
        <f t="shared" si="79"/>
        <v>192.66666666666734</v>
      </c>
      <c r="L292" s="18">
        <f t="shared" si="79"/>
        <v>205.51111111111129</v>
      </c>
      <c r="M292" s="18">
        <f t="shared" si="79"/>
        <v>213.53888888888952</v>
      </c>
      <c r="N292" s="19">
        <f t="shared" si="79"/>
        <v>147.71111111111048</v>
      </c>
      <c r="O292" s="19">
        <f t="shared" si="79"/>
        <v>160.55555555555645</v>
      </c>
      <c r="P292" s="19">
        <f t="shared" si="79"/>
        <v>168.58333333333266</v>
      </c>
      <c r="Q292" s="20">
        <f t="shared" si="79"/>
        <v>139.68333333333428</v>
      </c>
      <c r="R292" s="20">
        <f t="shared" si="79"/>
        <v>152.52777777777823</v>
      </c>
      <c r="S292" s="20">
        <f t="shared" si="79"/>
        <v>160.55555555555645</v>
      </c>
      <c r="T292" s="21">
        <f t="shared" si="79"/>
        <v>131.65555555555605</v>
      </c>
      <c r="U292" s="21">
        <f t="shared" si="78"/>
        <v>144.5</v>
      </c>
      <c r="V292" s="21">
        <f t="shared" si="78"/>
        <v>152.52777777777823</v>
      </c>
      <c r="W292" s="22">
        <f t="shared" si="78"/>
        <v>123.62777777777782</v>
      </c>
      <c r="X292" s="22">
        <f t="shared" si="78"/>
        <v>136.47222222222177</v>
      </c>
      <c r="Y292" s="22">
        <f t="shared" si="78"/>
        <v>144.5</v>
      </c>
      <c r="Z292" s="23">
        <f t="shared" si="78"/>
        <v>115.5999999999996</v>
      </c>
      <c r="AA292" s="23">
        <f t="shared" si="78"/>
        <v>128.44444444444355</v>
      </c>
      <c r="AB292" s="23">
        <f t="shared" si="78"/>
        <v>136.47222222222177</v>
      </c>
      <c r="AC292" s="24">
        <f t="shared" si="78"/>
        <v>107.57222222222215</v>
      </c>
      <c r="AD292" s="24">
        <f t="shared" si="78"/>
        <v>120.41666666666707</v>
      </c>
      <c r="AE292" s="24">
        <f t="shared" si="78"/>
        <v>128.44444444444355</v>
      </c>
      <c r="AF292" s="25">
        <f t="shared" si="78"/>
        <v>99.544444444444153</v>
      </c>
      <c r="AG292" s="25">
        <f t="shared" si="78"/>
        <v>112.38888888888911</v>
      </c>
      <c r="AH292" s="25">
        <f t="shared" si="78"/>
        <v>120.41666666666707</v>
      </c>
      <c r="AI292" s="26">
        <f t="shared" si="78"/>
        <v>91.516666666666936</v>
      </c>
      <c r="AJ292" s="26">
        <f t="shared" si="77"/>
        <v>104.36111111111089</v>
      </c>
      <c r="AK292" s="26">
        <f t="shared" si="77"/>
        <v>112.38888888888911</v>
      </c>
    </row>
    <row r="293" spans="4:37" ht="20.100000000000001" customHeight="1">
      <c r="D293" s="27">
        <f t="shared" si="72"/>
        <v>0.80555555555555325</v>
      </c>
      <c r="E293" s="16">
        <f t="shared" si="79"/>
        <v>225.555555555556</v>
      </c>
      <c r="F293" s="16">
        <f t="shared" si="79"/>
        <v>238.44444444444576</v>
      </c>
      <c r="G293" s="16">
        <f t="shared" si="79"/>
        <v>246.49999999999875</v>
      </c>
      <c r="H293" s="17">
        <f t="shared" si="79"/>
        <v>209.444444444444</v>
      </c>
      <c r="I293" s="17">
        <f t="shared" si="79"/>
        <v>222.33333333333314</v>
      </c>
      <c r="J293" s="17">
        <f t="shared" si="79"/>
        <v>230.38888888888945</v>
      </c>
      <c r="K293" s="18">
        <f t="shared" si="79"/>
        <v>193.333333333334</v>
      </c>
      <c r="L293" s="18">
        <f t="shared" si="79"/>
        <v>206.2222222222224</v>
      </c>
      <c r="M293" s="18">
        <f t="shared" si="79"/>
        <v>214.2777777777784</v>
      </c>
      <c r="N293" s="19">
        <f t="shared" si="79"/>
        <v>148.2222222222216</v>
      </c>
      <c r="O293" s="19">
        <f t="shared" si="79"/>
        <v>161.111111111112</v>
      </c>
      <c r="P293" s="19">
        <f t="shared" si="79"/>
        <v>169.166666666666</v>
      </c>
      <c r="Q293" s="20">
        <f t="shared" si="79"/>
        <v>140.1666666666676</v>
      </c>
      <c r="R293" s="20">
        <f t="shared" si="79"/>
        <v>153.055555555556</v>
      </c>
      <c r="S293" s="20">
        <f t="shared" si="79"/>
        <v>161.111111111112</v>
      </c>
      <c r="T293" s="21">
        <f t="shared" si="79"/>
        <v>132.1111111111116</v>
      </c>
      <c r="U293" s="21">
        <f t="shared" si="78"/>
        <v>145</v>
      </c>
      <c r="V293" s="21">
        <f t="shared" si="78"/>
        <v>153.055555555556</v>
      </c>
      <c r="W293" s="22">
        <f t="shared" si="78"/>
        <v>124.0555555555556</v>
      </c>
      <c r="X293" s="22">
        <f t="shared" si="78"/>
        <v>136.944444444444</v>
      </c>
      <c r="Y293" s="22">
        <f t="shared" si="78"/>
        <v>145</v>
      </c>
      <c r="Z293" s="23">
        <f t="shared" si="78"/>
        <v>115.9999999999996</v>
      </c>
      <c r="AA293" s="23">
        <f t="shared" si="78"/>
        <v>128.888888888888</v>
      </c>
      <c r="AB293" s="23">
        <f t="shared" si="78"/>
        <v>136.944444444444</v>
      </c>
      <c r="AC293" s="24">
        <f t="shared" si="78"/>
        <v>107.94444444444437</v>
      </c>
      <c r="AD293" s="24">
        <f t="shared" si="78"/>
        <v>120.83333333333374</v>
      </c>
      <c r="AE293" s="24">
        <f t="shared" si="78"/>
        <v>128.888888888888</v>
      </c>
      <c r="AF293" s="25">
        <f t="shared" si="78"/>
        <v>99.888888888888602</v>
      </c>
      <c r="AG293" s="25">
        <f t="shared" si="78"/>
        <v>112.777777777778</v>
      </c>
      <c r="AH293" s="25">
        <f t="shared" si="78"/>
        <v>120.83333333333374</v>
      </c>
      <c r="AI293" s="26">
        <f t="shared" si="78"/>
        <v>91.833333333333599</v>
      </c>
      <c r="AJ293" s="26">
        <f t="shared" si="77"/>
        <v>104.722222222222</v>
      </c>
      <c r="AK293" s="26">
        <f t="shared" si="77"/>
        <v>112.777777777778</v>
      </c>
    </row>
    <row r="294" spans="4:37" ht="20.100000000000001" customHeight="1">
      <c r="D294" s="27">
        <f t="shared" si="72"/>
        <v>0.80833333333333102</v>
      </c>
      <c r="E294" s="16">
        <f t="shared" si="79"/>
        <v>226.33333333333377</v>
      </c>
      <c r="F294" s="16">
        <f t="shared" si="79"/>
        <v>239.26666666666799</v>
      </c>
      <c r="G294" s="16">
        <f t="shared" si="79"/>
        <v>247.34999999999874</v>
      </c>
      <c r="H294" s="17">
        <f t="shared" si="79"/>
        <v>210.16666666666623</v>
      </c>
      <c r="I294" s="17">
        <f t="shared" si="79"/>
        <v>223.09999999999982</v>
      </c>
      <c r="J294" s="17">
        <f t="shared" si="79"/>
        <v>231.18333333333391</v>
      </c>
      <c r="K294" s="18">
        <f t="shared" si="79"/>
        <v>194.00000000000065</v>
      </c>
      <c r="L294" s="18">
        <f t="shared" si="79"/>
        <v>206.93333333333351</v>
      </c>
      <c r="M294" s="18">
        <f t="shared" si="79"/>
        <v>215.01666666666728</v>
      </c>
      <c r="N294" s="19">
        <f t="shared" si="79"/>
        <v>148.73333333333272</v>
      </c>
      <c r="O294" s="19">
        <f t="shared" si="79"/>
        <v>161.66666666666754</v>
      </c>
      <c r="P294" s="19">
        <f t="shared" si="79"/>
        <v>169.74999999999935</v>
      </c>
      <c r="Q294" s="20">
        <f t="shared" si="79"/>
        <v>140.65000000000092</v>
      </c>
      <c r="R294" s="20">
        <f t="shared" si="79"/>
        <v>153.58333333333377</v>
      </c>
      <c r="S294" s="20">
        <f t="shared" si="79"/>
        <v>161.66666666666754</v>
      </c>
      <c r="T294" s="21">
        <f t="shared" si="79"/>
        <v>132.56666666666715</v>
      </c>
      <c r="U294" s="21">
        <f t="shared" si="78"/>
        <v>145.5</v>
      </c>
      <c r="V294" s="21">
        <f t="shared" si="78"/>
        <v>153.58333333333377</v>
      </c>
      <c r="W294" s="22">
        <f t="shared" si="78"/>
        <v>124.48333333333338</v>
      </c>
      <c r="X294" s="22">
        <f t="shared" si="78"/>
        <v>137.41666666666623</v>
      </c>
      <c r="Y294" s="22">
        <f t="shared" si="78"/>
        <v>145.5</v>
      </c>
      <c r="Z294" s="23">
        <f t="shared" si="78"/>
        <v>116.39999999999961</v>
      </c>
      <c r="AA294" s="23">
        <f t="shared" si="78"/>
        <v>129.33333333333246</v>
      </c>
      <c r="AB294" s="23">
        <f t="shared" si="78"/>
        <v>137.41666666666623</v>
      </c>
      <c r="AC294" s="24">
        <f t="shared" si="78"/>
        <v>108.31666666666659</v>
      </c>
      <c r="AD294" s="24">
        <f t="shared" si="78"/>
        <v>121.25000000000041</v>
      </c>
      <c r="AE294" s="24">
        <f t="shared" si="78"/>
        <v>129.33333333333246</v>
      </c>
      <c r="AF294" s="25">
        <f t="shared" si="78"/>
        <v>100.23333333333305</v>
      </c>
      <c r="AG294" s="25">
        <f t="shared" si="78"/>
        <v>113.16666666666688</v>
      </c>
      <c r="AH294" s="25">
        <f t="shared" si="78"/>
        <v>121.25000000000041</v>
      </c>
      <c r="AI294" s="26">
        <f t="shared" si="78"/>
        <v>92.150000000000261</v>
      </c>
      <c r="AJ294" s="26">
        <f t="shared" si="77"/>
        <v>105.08333333333312</v>
      </c>
      <c r="AK294" s="26">
        <f t="shared" si="77"/>
        <v>113.16666666666688</v>
      </c>
    </row>
    <row r="295" spans="4:37" ht="20.100000000000001" customHeight="1">
      <c r="D295" s="27">
        <f t="shared" si="72"/>
        <v>0.81111111111110878</v>
      </c>
      <c r="E295" s="16">
        <f t="shared" si="79"/>
        <v>227.11111111111154</v>
      </c>
      <c r="F295" s="16">
        <f t="shared" si="79"/>
        <v>240.08888888889021</v>
      </c>
      <c r="G295" s="16">
        <f t="shared" si="79"/>
        <v>248.19999999999874</v>
      </c>
      <c r="H295" s="17">
        <f t="shared" si="79"/>
        <v>210.88888888888846</v>
      </c>
      <c r="I295" s="17">
        <f t="shared" si="79"/>
        <v>223.8666666666665</v>
      </c>
      <c r="J295" s="17">
        <f t="shared" si="79"/>
        <v>231.97777777777836</v>
      </c>
      <c r="K295" s="18">
        <f t="shared" si="79"/>
        <v>194.66666666666731</v>
      </c>
      <c r="L295" s="18">
        <f t="shared" si="79"/>
        <v>207.64444444444462</v>
      </c>
      <c r="M295" s="18">
        <f t="shared" si="79"/>
        <v>215.75555555555616</v>
      </c>
      <c r="N295" s="19">
        <f t="shared" si="79"/>
        <v>149.24444444444384</v>
      </c>
      <c r="O295" s="19">
        <f t="shared" si="79"/>
        <v>162.22222222222308</v>
      </c>
      <c r="P295" s="19">
        <f t="shared" si="79"/>
        <v>170.33333333333269</v>
      </c>
      <c r="Q295" s="20">
        <f t="shared" si="79"/>
        <v>141.13333333333424</v>
      </c>
      <c r="R295" s="20">
        <f t="shared" si="79"/>
        <v>154.11111111111154</v>
      </c>
      <c r="S295" s="20">
        <f t="shared" si="79"/>
        <v>162.22222222222308</v>
      </c>
      <c r="T295" s="21">
        <f t="shared" si="79"/>
        <v>133.02222222222269</v>
      </c>
      <c r="U295" s="21">
        <f t="shared" si="78"/>
        <v>146</v>
      </c>
      <c r="V295" s="21">
        <f t="shared" si="78"/>
        <v>154.11111111111154</v>
      </c>
      <c r="W295" s="22">
        <f t="shared" si="78"/>
        <v>124.91111111111115</v>
      </c>
      <c r="X295" s="22">
        <f t="shared" si="78"/>
        <v>137.88888888888846</v>
      </c>
      <c r="Y295" s="22">
        <f t="shared" si="78"/>
        <v>146</v>
      </c>
      <c r="Z295" s="23">
        <f t="shared" si="78"/>
        <v>116.79999999999961</v>
      </c>
      <c r="AA295" s="23">
        <f t="shared" si="78"/>
        <v>129.77777777777692</v>
      </c>
      <c r="AB295" s="23">
        <f t="shared" si="78"/>
        <v>137.88888888888846</v>
      </c>
      <c r="AC295" s="24">
        <f t="shared" si="78"/>
        <v>108.68888888888881</v>
      </c>
      <c r="AD295" s="24">
        <f t="shared" si="78"/>
        <v>121.66666666666708</v>
      </c>
      <c r="AE295" s="24">
        <f t="shared" si="78"/>
        <v>129.77777777777692</v>
      </c>
      <c r="AF295" s="25">
        <f t="shared" si="78"/>
        <v>100.5777777777775</v>
      </c>
      <c r="AG295" s="25">
        <f t="shared" si="78"/>
        <v>113.55555555555577</v>
      </c>
      <c r="AH295" s="25">
        <f t="shared" si="78"/>
        <v>121.66666666666708</v>
      </c>
      <c r="AI295" s="26">
        <f t="shared" si="78"/>
        <v>92.466666666666924</v>
      </c>
      <c r="AJ295" s="26">
        <f t="shared" si="77"/>
        <v>105.44444444444423</v>
      </c>
      <c r="AK295" s="26">
        <f t="shared" si="77"/>
        <v>113.55555555555577</v>
      </c>
    </row>
    <row r="296" spans="4:37" ht="20.100000000000001" customHeight="1">
      <c r="D296" s="27">
        <f t="shared" si="72"/>
        <v>0.81388888888888655</v>
      </c>
      <c r="E296" s="16">
        <f t="shared" si="79"/>
        <v>227.88888888888931</v>
      </c>
      <c r="F296" s="16">
        <f t="shared" si="79"/>
        <v>240.91111111111243</v>
      </c>
      <c r="G296" s="16">
        <f t="shared" si="79"/>
        <v>249.04999999999873</v>
      </c>
      <c r="H296" s="17">
        <f t="shared" si="79"/>
        <v>211.61111111111069</v>
      </c>
      <c r="I296" s="17">
        <f t="shared" si="79"/>
        <v>224.63333333333318</v>
      </c>
      <c r="J296" s="17">
        <f t="shared" si="79"/>
        <v>232.77222222222281</v>
      </c>
      <c r="K296" s="18">
        <f t="shared" si="79"/>
        <v>195.33333333333397</v>
      </c>
      <c r="L296" s="18">
        <f t="shared" si="79"/>
        <v>208.35555555555572</v>
      </c>
      <c r="M296" s="18">
        <f t="shared" si="79"/>
        <v>216.49444444444504</v>
      </c>
      <c r="N296" s="19">
        <f t="shared" si="79"/>
        <v>149.75555555555496</v>
      </c>
      <c r="O296" s="19">
        <f t="shared" si="79"/>
        <v>162.77777777777862</v>
      </c>
      <c r="P296" s="19">
        <f t="shared" si="79"/>
        <v>170.91666666666603</v>
      </c>
      <c r="Q296" s="20">
        <f t="shared" si="79"/>
        <v>141.61666666666756</v>
      </c>
      <c r="R296" s="20">
        <f t="shared" si="79"/>
        <v>154.63888888888931</v>
      </c>
      <c r="S296" s="20">
        <f t="shared" si="79"/>
        <v>162.77777777777862</v>
      </c>
      <c r="T296" s="21">
        <f t="shared" si="79"/>
        <v>133.47777777777824</v>
      </c>
      <c r="U296" s="21">
        <f t="shared" si="78"/>
        <v>146.5</v>
      </c>
      <c r="V296" s="21">
        <f t="shared" si="78"/>
        <v>154.63888888888931</v>
      </c>
      <c r="W296" s="22">
        <f t="shared" si="78"/>
        <v>125.33888888888893</v>
      </c>
      <c r="X296" s="22">
        <f t="shared" si="78"/>
        <v>138.36111111111069</v>
      </c>
      <c r="Y296" s="22">
        <f t="shared" si="78"/>
        <v>146.5</v>
      </c>
      <c r="Z296" s="23">
        <f t="shared" si="78"/>
        <v>117.19999999999962</v>
      </c>
      <c r="AA296" s="23">
        <f t="shared" si="78"/>
        <v>130.22222222222138</v>
      </c>
      <c r="AB296" s="23">
        <f t="shared" si="78"/>
        <v>138.36111111111069</v>
      </c>
      <c r="AC296" s="24">
        <f t="shared" si="78"/>
        <v>109.06111111111103</v>
      </c>
      <c r="AD296" s="24">
        <f t="shared" si="78"/>
        <v>122.08333333333375</v>
      </c>
      <c r="AE296" s="24">
        <f t="shared" si="78"/>
        <v>130.22222222222138</v>
      </c>
      <c r="AF296" s="25">
        <f t="shared" si="78"/>
        <v>100.92222222222195</v>
      </c>
      <c r="AG296" s="25">
        <f t="shared" si="78"/>
        <v>113.94444444444466</v>
      </c>
      <c r="AH296" s="25">
        <f t="shared" si="78"/>
        <v>122.08333333333375</v>
      </c>
      <c r="AI296" s="26">
        <f t="shared" si="78"/>
        <v>92.783333333333587</v>
      </c>
      <c r="AJ296" s="26">
        <f t="shared" si="77"/>
        <v>105.80555555555534</v>
      </c>
      <c r="AK296" s="26">
        <f t="shared" si="77"/>
        <v>113.94444444444466</v>
      </c>
    </row>
    <row r="297" spans="4:37" ht="20.100000000000001" customHeight="1">
      <c r="D297" s="27">
        <f t="shared" si="72"/>
        <v>0.81666666666666432</v>
      </c>
      <c r="E297" s="16">
        <f t="shared" si="79"/>
        <v>228.66666666666708</v>
      </c>
      <c r="F297" s="16">
        <f t="shared" si="79"/>
        <v>241.73333333333466</v>
      </c>
      <c r="G297" s="16">
        <f t="shared" si="79"/>
        <v>249.89999999999873</v>
      </c>
      <c r="H297" s="17">
        <f t="shared" si="79"/>
        <v>212.33333333333292</v>
      </c>
      <c r="I297" s="17">
        <f t="shared" si="79"/>
        <v>225.39999999999986</v>
      </c>
      <c r="J297" s="17">
        <f t="shared" si="79"/>
        <v>233.56666666666726</v>
      </c>
      <c r="K297" s="18">
        <f t="shared" si="79"/>
        <v>196.00000000000063</v>
      </c>
      <c r="L297" s="18">
        <f t="shared" si="79"/>
        <v>209.06666666666683</v>
      </c>
      <c r="M297" s="18">
        <f t="shared" si="79"/>
        <v>217.23333333333392</v>
      </c>
      <c r="N297" s="19">
        <f t="shared" si="79"/>
        <v>150.26666666666608</v>
      </c>
      <c r="O297" s="19">
        <f t="shared" si="79"/>
        <v>163.33333333333417</v>
      </c>
      <c r="P297" s="19">
        <f t="shared" si="79"/>
        <v>171.49999999999937</v>
      </c>
      <c r="Q297" s="20">
        <f t="shared" si="79"/>
        <v>142.10000000000088</v>
      </c>
      <c r="R297" s="20">
        <f t="shared" si="79"/>
        <v>155.16666666666708</v>
      </c>
      <c r="S297" s="20">
        <f t="shared" si="79"/>
        <v>163.33333333333417</v>
      </c>
      <c r="T297" s="21">
        <f t="shared" si="79"/>
        <v>133.93333333333379</v>
      </c>
      <c r="U297" s="21">
        <f t="shared" si="78"/>
        <v>147</v>
      </c>
      <c r="V297" s="21">
        <f t="shared" si="78"/>
        <v>155.16666666666708</v>
      </c>
      <c r="W297" s="22">
        <f t="shared" si="78"/>
        <v>125.76666666666671</v>
      </c>
      <c r="X297" s="22">
        <f t="shared" si="78"/>
        <v>138.83333333333292</v>
      </c>
      <c r="Y297" s="22">
        <f t="shared" si="78"/>
        <v>147</v>
      </c>
      <c r="Z297" s="23">
        <f t="shared" si="78"/>
        <v>117.59999999999962</v>
      </c>
      <c r="AA297" s="23">
        <f t="shared" si="78"/>
        <v>130.66666666666583</v>
      </c>
      <c r="AB297" s="23">
        <f t="shared" si="78"/>
        <v>138.83333333333292</v>
      </c>
      <c r="AC297" s="24">
        <f t="shared" si="78"/>
        <v>109.43333333333325</v>
      </c>
      <c r="AD297" s="24">
        <f t="shared" si="78"/>
        <v>122.50000000000043</v>
      </c>
      <c r="AE297" s="24">
        <f t="shared" si="78"/>
        <v>130.66666666666583</v>
      </c>
      <c r="AF297" s="25">
        <f t="shared" si="78"/>
        <v>101.2666666666664</v>
      </c>
      <c r="AG297" s="25">
        <f t="shared" si="78"/>
        <v>114.33333333333354</v>
      </c>
      <c r="AH297" s="25">
        <f t="shared" si="78"/>
        <v>122.50000000000043</v>
      </c>
      <c r="AI297" s="26">
        <f t="shared" si="78"/>
        <v>93.10000000000025</v>
      </c>
      <c r="AJ297" s="26">
        <f t="shared" si="77"/>
        <v>106.16666666666646</v>
      </c>
      <c r="AK297" s="26">
        <f t="shared" si="77"/>
        <v>114.33333333333354</v>
      </c>
    </row>
    <row r="298" spans="4:37" ht="20.100000000000001" customHeight="1">
      <c r="D298" s="27">
        <f t="shared" si="72"/>
        <v>0.81944444444444209</v>
      </c>
      <c r="E298" s="16">
        <f t="shared" si="79"/>
        <v>229.44444444444485</v>
      </c>
      <c r="F298" s="16">
        <f t="shared" si="79"/>
        <v>242.55555555555688</v>
      </c>
      <c r="G298" s="16">
        <f t="shared" si="79"/>
        <v>250.74999999999872</v>
      </c>
      <c r="H298" s="17">
        <f t="shared" si="79"/>
        <v>213.05555555555515</v>
      </c>
      <c r="I298" s="17">
        <f t="shared" si="79"/>
        <v>226.16666666666654</v>
      </c>
      <c r="J298" s="17">
        <f t="shared" si="79"/>
        <v>234.36111111111171</v>
      </c>
      <c r="K298" s="18">
        <f t="shared" si="79"/>
        <v>196.66666666666728</v>
      </c>
      <c r="L298" s="18">
        <f t="shared" si="79"/>
        <v>209.77777777777794</v>
      </c>
      <c r="M298" s="18">
        <f t="shared" si="79"/>
        <v>217.9722222222228</v>
      </c>
      <c r="N298" s="19">
        <f t="shared" si="79"/>
        <v>150.7777777777772</v>
      </c>
      <c r="O298" s="19">
        <f t="shared" si="79"/>
        <v>163.88888888888971</v>
      </c>
      <c r="P298" s="19">
        <f t="shared" si="79"/>
        <v>172.08333333333272</v>
      </c>
      <c r="Q298" s="20">
        <f t="shared" si="79"/>
        <v>142.5833333333342</v>
      </c>
      <c r="R298" s="20">
        <f t="shared" si="79"/>
        <v>155.69444444444485</v>
      </c>
      <c r="S298" s="20">
        <f t="shared" si="79"/>
        <v>163.88888888888971</v>
      </c>
      <c r="T298" s="21">
        <f t="shared" si="79"/>
        <v>134.38888888888934</v>
      </c>
      <c r="U298" s="21">
        <f t="shared" si="78"/>
        <v>147.5</v>
      </c>
      <c r="V298" s="21">
        <f t="shared" si="78"/>
        <v>155.69444444444485</v>
      </c>
      <c r="W298" s="22">
        <f t="shared" si="78"/>
        <v>126.19444444444449</v>
      </c>
      <c r="X298" s="22">
        <f t="shared" si="78"/>
        <v>139.30555555555515</v>
      </c>
      <c r="Y298" s="22">
        <f t="shared" si="78"/>
        <v>147.5</v>
      </c>
      <c r="Z298" s="23">
        <f t="shared" si="78"/>
        <v>117.99999999999963</v>
      </c>
      <c r="AA298" s="23">
        <f t="shared" si="78"/>
        <v>131.11111111111029</v>
      </c>
      <c r="AB298" s="23">
        <f t="shared" si="78"/>
        <v>139.30555555555515</v>
      </c>
      <c r="AC298" s="24">
        <f t="shared" si="78"/>
        <v>109.80555555555547</v>
      </c>
      <c r="AD298" s="24">
        <f t="shared" si="78"/>
        <v>122.9166666666671</v>
      </c>
      <c r="AE298" s="24">
        <f t="shared" si="78"/>
        <v>131.11111111111029</v>
      </c>
      <c r="AF298" s="25">
        <f t="shared" si="78"/>
        <v>101.61111111111084</v>
      </c>
      <c r="AG298" s="25">
        <f t="shared" si="78"/>
        <v>114.72222222222243</v>
      </c>
      <c r="AH298" s="25">
        <f t="shared" si="78"/>
        <v>122.9166666666671</v>
      </c>
      <c r="AI298" s="26">
        <f t="shared" si="78"/>
        <v>93.416666666666913</v>
      </c>
      <c r="AJ298" s="26">
        <f t="shared" si="77"/>
        <v>106.52777777777757</v>
      </c>
      <c r="AK298" s="26">
        <f t="shared" si="77"/>
        <v>114.72222222222243</v>
      </c>
    </row>
    <row r="299" spans="4:37" ht="20.100000000000001" customHeight="1">
      <c r="D299" s="27">
        <f t="shared" si="72"/>
        <v>0.82222222222221986</v>
      </c>
      <c r="E299" s="16">
        <f t="shared" si="79"/>
        <v>230.22222222222263</v>
      </c>
      <c r="F299" s="16">
        <f t="shared" si="79"/>
        <v>243.3777777777791</v>
      </c>
      <c r="G299" s="16">
        <f t="shared" si="79"/>
        <v>251.59999999999872</v>
      </c>
      <c r="H299" s="17">
        <f t="shared" si="79"/>
        <v>213.77777777777737</v>
      </c>
      <c r="I299" s="17">
        <f t="shared" si="79"/>
        <v>226.93333333333322</v>
      </c>
      <c r="J299" s="17">
        <f t="shared" si="79"/>
        <v>235.15555555555616</v>
      </c>
      <c r="K299" s="18">
        <f t="shared" si="79"/>
        <v>197.33333333333394</v>
      </c>
      <c r="L299" s="18">
        <f t="shared" si="79"/>
        <v>210.48888888888905</v>
      </c>
      <c r="M299" s="18">
        <f t="shared" si="79"/>
        <v>218.71111111111168</v>
      </c>
      <c r="N299" s="19">
        <f t="shared" si="79"/>
        <v>151.28888888888832</v>
      </c>
      <c r="O299" s="19">
        <f t="shared" si="79"/>
        <v>164.44444444444525</v>
      </c>
      <c r="P299" s="19">
        <f t="shared" si="79"/>
        <v>172.66666666666606</v>
      </c>
      <c r="Q299" s="20">
        <f t="shared" si="79"/>
        <v>143.06666666666752</v>
      </c>
      <c r="R299" s="20">
        <f t="shared" si="79"/>
        <v>156.22222222222263</v>
      </c>
      <c r="S299" s="20">
        <f t="shared" si="79"/>
        <v>164.44444444444525</v>
      </c>
      <c r="T299" s="21">
        <f t="shared" si="79"/>
        <v>134.84444444444489</v>
      </c>
      <c r="U299" s="21">
        <f t="shared" si="78"/>
        <v>148</v>
      </c>
      <c r="V299" s="21">
        <f t="shared" si="78"/>
        <v>156.22222222222263</v>
      </c>
      <c r="W299" s="22">
        <f t="shared" si="78"/>
        <v>126.62222222222226</v>
      </c>
      <c r="X299" s="22">
        <f t="shared" si="78"/>
        <v>139.77777777777737</v>
      </c>
      <c r="Y299" s="22">
        <f t="shared" si="78"/>
        <v>148</v>
      </c>
      <c r="Z299" s="23">
        <f t="shared" si="78"/>
        <v>118.39999999999964</v>
      </c>
      <c r="AA299" s="23">
        <f t="shared" si="78"/>
        <v>131.55555555555475</v>
      </c>
      <c r="AB299" s="23">
        <f t="shared" si="78"/>
        <v>139.77777777777737</v>
      </c>
      <c r="AC299" s="24">
        <f t="shared" si="78"/>
        <v>110.17777777777769</v>
      </c>
      <c r="AD299" s="24">
        <f t="shared" si="78"/>
        <v>123.33333333333377</v>
      </c>
      <c r="AE299" s="24">
        <f t="shared" si="78"/>
        <v>131.55555555555475</v>
      </c>
      <c r="AF299" s="25">
        <f t="shared" si="78"/>
        <v>101.95555555555529</v>
      </c>
      <c r="AG299" s="25">
        <f t="shared" si="78"/>
        <v>115.11111111111131</v>
      </c>
      <c r="AH299" s="25">
        <f t="shared" si="78"/>
        <v>123.33333333333377</v>
      </c>
      <c r="AI299" s="26">
        <f t="shared" si="78"/>
        <v>93.733333333333576</v>
      </c>
      <c r="AJ299" s="26">
        <f t="shared" si="77"/>
        <v>106.88888888888869</v>
      </c>
      <c r="AK299" s="26">
        <f t="shared" si="77"/>
        <v>115.11111111111131</v>
      </c>
    </row>
    <row r="300" spans="4:37" ht="20.100000000000001" customHeight="1">
      <c r="D300" s="27">
        <f t="shared" si="72"/>
        <v>0.82499999999999762</v>
      </c>
      <c r="E300" s="16">
        <f t="shared" si="79"/>
        <v>231.0000000000004</v>
      </c>
      <c r="F300" s="16">
        <f t="shared" si="79"/>
        <v>244.20000000000132</v>
      </c>
      <c r="G300" s="16">
        <f t="shared" si="79"/>
        <v>252.44999999999871</v>
      </c>
      <c r="H300" s="17">
        <f t="shared" si="79"/>
        <v>214.4999999999996</v>
      </c>
      <c r="I300" s="17">
        <f t="shared" si="79"/>
        <v>227.6999999999999</v>
      </c>
      <c r="J300" s="17">
        <f t="shared" si="79"/>
        <v>235.95000000000061</v>
      </c>
      <c r="K300" s="18">
        <f t="shared" si="79"/>
        <v>198.0000000000006</v>
      </c>
      <c r="L300" s="18">
        <f t="shared" si="79"/>
        <v>211.20000000000016</v>
      </c>
      <c r="M300" s="18">
        <f t="shared" si="79"/>
        <v>219.45000000000056</v>
      </c>
      <c r="N300" s="19">
        <f t="shared" si="79"/>
        <v>151.79999999999944</v>
      </c>
      <c r="O300" s="19">
        <f t="shared" si="79"/>
        <v>165.0000000000008</v>
      </c>
      <c r="P300" s="19">
        <f t="shared" si="79"/>
        <v>173.2499999999994</v>
      </c>
      <c r="Q300" s="20">
        <f t="shared" si="79"/>
        <v>143.55000000000084</v>
      </c>
      <c r="R300" s="20">
        <f t="shared" si="79"/>
        <v>156.7500000000004</v>
      </c>
      <c r="S300" s="20">
        <f t="shared" si="79"/>
        <v>165.0000000000008</v>
      </c>
      <c r="T300" s="21">
        <f t="shared" si="79"/>
        <v>135.30000000000044</v>
      </c>
      <c r="U300" s="21">
        <f t="shared" si="78"/>
        <v>148.5</v>
      </c>
      <c r="V300" s="21">
        <f t="shared" si="78"/>
        <v>156.7500000000004</v>
      </c>
      <c r="W300" s="22">
        <f t="shared" si="78"/>
        <v>127.05000000000004</v>
      </c>
      <c r="X300" s="22">
        <f t="shared" si="78"/>
        <v>140.2499999999996</v>
      </c>
      <c r="Y300" s="22">
        <f t="shared" si="78"/>
        <v>148.5</v>
      </c>
      <c r="Z300" s="23">
        <f t="shared" si="78"/>
        <v>118.79999999999964</v>
      </c>
      <c r="AA300" s="23">
        <f t="shared" si="78"/>
        <v>131.9999999999992</v>
      </c>
      <c r="AB300" s="23">
        <f t="shared" si="78"/>
        <v>140.2499999999996</v>
      </c>
      <c r="AC300" s="24">
        <f t="shared" si="78"/>
        <v>110.54999999999991</v>
      </c>
      <c r="AD300" s="24">
        <f t="shared" si="78"/>
        <v>123.75000000000044</v>
      </c>
      <c r="AE300" s="24">
        <f t="shared" si="78"/>
        <v>131.9999999999992</v>
      </c>
      <c r="AF300" s="25">
        <f t="shared" si="78"/>
        <v>102.29999999999974</v>
      </c>
      <c r="AG300" s="25">
        <f t="shared" si="78"/>
        <v>115.5000000000002</v>
      </c>
      <c r="AH300" s="25">
        <f t="shared" si="78"/>
        <v>123.75000000000044</v>
      </c>
      <c r="AI300" s="26">
        <f t="shared" si="78"/>
        <v>94.050000000000239</v>
      </c>
      <c r="AJ300" s="26">
        <f t="shared" ref="AJ300:AK306" si="80">AJ301-(AJ$363/360)</f>
        <v>107.2499999999998</v>
      </c>
      <c r="AK300" s="26">
        <f t="shared" si="80"/>
        <v>115.5000000000002</v>
      </c>
    </row>
    <row r="301" spans="4:37" ht="20.100000000000001" customHeight="1">
      <c r="D301" s="27">
        <f t="shared" si="72"/>
        <v>0.82777777777777539</v>
      </c>
      <c r="E301" s="16">
        <f t="shared" si="79"/>
        <v>231.77777777777817</v>
      </c>
      <c r="F301" s="16">
        <f t="shared" si="79"/>
        <v>245.02222222222355</v>
      </c>
      <c r="G301" s="16">
        <f t="shared" si="79"/>
        <v>253.2999999999987</v>
      </c>
      <c r="H301" s="17">
        <f t="shared" si="79"/>
        <v>215.22222222222183</v>
      </c>
      <c r="I301" s="17">
        <f t="shared" si="79"/>
        <v>228.46666666666658</v>
      </c>
      <c r="J301" s="17">
        <f t="shared" si="79"/>
        <v>236.74444444444507</v>
      </c>
      <c r="K301" s="18">
        <f t="shared" si="79"/>
        <v>198.66666666666725</v>
      </c>
      <c r="L301" s="18">
        <f t="shared" si="79"/>
        <v>211.91111111111127</v>
      </c>
      <c r="M301" s="18">
        <f t="shared" si="79"/>
        <v>220.18888888888944</v>
      </c>
      <c r="N301" s="19">
        <f t="shared" si="79"/>
        <v>152.31111111111056</v>
      </c>
      <c r="O301" s="19">
        <f t="shared" si="79"/>
        <v>165.55555555555634</v>
      </c>
      <c r="P301" s="19">
        <f t="shared" si="79"/>
        <v>173.83333333333275</v>
      </c>
      <c r="Q301" s="20">
        <f t="shared" si="79"/>
        <v>144.03333333333416</v>
      </c>
      <c r="R301" s="20">
        <f t="shared" si="79"/>
        <v>157.27777777777817</v>
      </c>
      <c r="S301" s="20">
        <f t="shared" si="79"/>
        <v>165.55555555555634</v>
      </c>
      <c r="T301" s="21">
        <f t="shared" si="79"/>
        <v>135.75555555555599</v>
      </c>
      <c r="U301" s="21">
        <f t="shared" si="78"/>
        <v>149</v>
      </c>
      <c r="V301" s="21">
        <f t="shared" si="78"/>
        <v>157.27777777777817</v>
      </c>
      <c r="W301" s="22">
        <f t="shared" si="78"/>
        <v>127.47777777777782</v>
      </c>
      <c r="X301" s="22">
        <f t="shared" si="78"/>
        <v>140.72222222222183</v>
      </c>
      <c r="Y301" s="22">
        <f t="shared" si="78"/>
        <v>149</v>
      </c>
      <c r="Z301" s="23">
        <f t="shared" si="78"/>
        <v>119.19999999999965</v>
      </c>
      <c r="AA301" s="23">
        <f t="shared" si="78"/>
        <v>132.44444444444366</v>
      </c>
      <c r="AB301" s="23">
        <f t="shared" si="78"/>
        <v>140.72222222222183</v>
      </c>
      <c r="AC301" s="24">
        <f t="shared" si="78"/>
        <v>110.92222222222213</v>
      </c>
      <c r="AD301" s="24">
        <f t="shared" si="78"/>
        <v>124.16666666666711</v>
      </c>
      <c r="AE301" s="24">
        <f t="shared" si="78"/>
        <v>132.44444444444366</v>
      </c>
      <c r="AF301" s="25">
        <f t="shared" si="78"/>
        <v>102.64444444444419</v>
      </c>
      <c r="AG301" s="25">
        <f t="shared" si="78"/>
        <v>115.88888888888908</v>
      </c>
      <c r="AH301" s="25">
        <f t="shared" si="78"/>
        <v>124.16666666666711</v>
      </c>
      <c r="AI301" s="26">
        <f t="shared" si="78"/>
        <v>94.366666666666902</v>
      </c>
      <c r="AJ301" s="26">
        <f t="shared" si="80"/>
        <v>107.61111111111092</v>
      </c>
      <c r="AK301" s="26">
        <f t="shared" si="80"/>
        <v>115.88888888888908</v>
      </c>
    </row>
    <row r="302" spans="4:37" ht="20.100000000000001" customHeight="1">
      <c r="D302" s="27">
        <f t="shared" si="72"/>
        <v>0.83055555555555316</v>
      </c>
      <c r="E302" s="16">
        <f t="shared" si="79"/>
        <v>232.55555555555594</v>
      </c>
      <c r="F302" s="16">
        <f t="shared" si="79"/>
        <v>245.84444444444577</v>
      </c>
      <c r="G302" s="16">
        <f t="shared" si="79"/>
        <v>254.1499999999987</v>
      </c>
      <c r="H302" s="17">
        <f t="shared" si="79"/>
        <v>215.94444444444406</v>
      </c>
      <c r="I302" s="17">
        <f t="shared" si="79"/>
        <v>229.23333333333326</v>
      </c>
      <c r="J302" s="17">
        <f t="shared" si="79"/>
        <v>237.53888888888952</v>
      </c>
      <c r="K302" s="18">
        <f t="shared" si="79"/>
        <v>199.33333333333391</v>
      </c>
      <c r="L302" s="18">
        <f t="shared" si="79"/>
        <v>212.62222222222238</v>
      </c>
      <c r="M302" s="18">
        <f t="shared" si="79"/>
        <v>220.92777777777832</v>
      </c>
      <c r="N302" s="19">
        <f t="shared" si="79"/>
        <v>152.82222222222168</v>
      </c>
      <c r="O302" s="19">
        <f t="shared" si="79"/>
        <v>166.11111111111188</v>
      </c>
      <c r="P302" s="19">
        <f t="shared" si="79"/>
        <v>174.41666666666609</v>
      </c>
      <c r="Q302" s="20">
        <f t="shared" si="79"/>
        <v>144.51666666666748</v>
      </c>
      <c r="R302" s="20">
        <f t="shared" si="79"/>
        <v>157.80555555555594</v>
      </c>
      <c r="S302" s="20">
        <f t="shared" si="79"/>
        <v>166.11111111111188</v>
      </c>
      <c r="T302" s="21">
        <f t="shared" si="79"/>
        <v>136.21111111111153</v>
      </c>
      <c r="U302" s="21">
        <f t="shared" si="78"/>
        <v>149.5</v>
      </c>
      <c r="V302" s="21">
        <f t="shared" si="78"/>
        <v>157.80555555555594</v>
      </c>
      <c r="W302" s="22">
        <f t="shared" si="78"/>
        <v>127.90555555555559</v>
      </c>
      <c r="X302" s="22">
        <f t="shared" si="78"/>
        <v>141.19444444444406</v>
      </c>
      <c r="Y302" s="22">
        <f t="shared" si="78"/>
        <v>149.5</v>
      </c>
      <c r="Z302" s="23">
        <f t="shared" si="78"/>
        <v>119.59999999999965</v>
      </c>
      <c r="AA302" s="23">
        <f t="shared" si="78"/>
        <v>132.88888888888812</v>
      </c>
      <c r="AB302" s="23">
        <f t="shared" si="78"/>
        <v>141.19444444444406</v>
      </c>
      <c r="AC302" s="24">
        <f t="shared" si="78"/>
        <v>111.29444444444435</v>
      </c>
      <c r="AD302" s="24">
        <f t="shared" si="78"/>
        <v>124.58333333333378</v>
      </c>
      <c r="AE302" s="24">
        <f t="shared" si="78"/>
        <v>132.88888888888812</v>
      </c>
      <c r="AF302" s="25">
        <f t="shared" si="78"/>
        <v>102.98888888888864</v>
      </c>
      <c r="AG302" s="25">
        <f t="shared" si="78"/>
        <v>116.27777777777797</v>
      </c>
      <c r="AH302" s="25">
        <f t="shared" si="78"/>
        <v>124.58333333333378</v>
      </c>
      <c r="AI302" s="26">
        <f t="shared" si="78"/>
        <v>94.683333333333564</v>
      </c>
      <c r="AJ302" s="26">
        <f t="shared" si="80"/>
        <v>107.97222222222203</v>
      </c>
      <c r="AK302" s="26">
        <f t="shared" si="80"/>
        <v>116.27777777777797</v>
      </c>
    </row>
    <row r="303" spans="4:37" ht="20.100000000000001" customHeight="1">
      <c r="D303" s="27">
        <f t="shared" si="72"/>
        <v>0.83333333333333093</v>
      </c>
      <c r="E303" s="16">
        <f t="shared" si="79"/>
        <v>233.33333333333371</v>
      </c>
      <c r="F303" s="16">
        <f t="shared" si="79"/>
        <v>246.66666666666799</v>
      </c>
      <c r="G303" s="16">
        <f t="shared" si="79"/>
        <v>254.99999999999869</v>
      </c>
      <c r="H303" s="17">
        <f t="shared" si="79"/>
        <v>216.66666666666629</v>
      </c>
      <c r="I303" s="17">
        <f t="shared" si="79"/>
        <v>229.99999999999994</v>
      </c>
      <c r="J303" s="17">
        <f t="shared" si="79"/>
        <v>238.33333333333397</v>
      </c>
      <c r="K303" s="18">
        <f t="shared" si="79"/>
        <v>200.00000000000057</v>
      </c>
      <c r="L303" s="18">
        <f t="shared" si="79"/>
        <v>213.33333333333348</v>
      </c>
      <c r="M303" s="18">
        <f t="shared" si="79"/>
        <v>221.6666666666672</v>
      </c>
      <c r="N303" s="19">
        <f t="shared" si="79"/>
        <v>153.3333333333328</v>
      </c>
      <c r="O303" s="19">
        <f t="shared" si="79"/>
        <v>166.66666666666742</v>
      </c>
      <c r="P303" s="19">
        <f t="shared" si="79"/>
        <v>174.99999999999943</v>
      </c>
      <c r="Q303" s="20">
        <f t="shared" si="79"/>
        <v>145.0000000000008</v>
      </c>
      <c r="R303" s="20">
        <f t="shared" si="79"/>
        <v>158.33333333333371</v>
      </c>
      <c r="S303" s="20">
        <f t="shared" si="79"/>
        <v>166.66666666666742</v>
      </c>
      <c r="T303" s="21">
        <f t="shared" si="79"/>
        <v>136.66666666666708</v>
      </c>
      <c r="U303" s="21">
        <f t="shared" si="78"/>
        <v>150</v>
      </c>
      <c r="V303" s="21">
        <f t="shared" si="78"/>
        <v>158.33333333333371</v>
      </c>
      <c r="W303" s="22">
        <f t="shared" si="78"/>
        <v>128.33333333333337</v>
      </c>
      <c r="X303" s="22">
        <f t="shared" si="78"/>
        <v>141.66666666666629</v>
      </c>
      <c r="Y303" s="22">
        <f t="shared" si="78"/>
        <v>150</v>
      </c>
      <c r="Z303" s="23">
        <f t="shared" si="78"/>
        <v>119.99999999999966</v>
      </c>
      <c r="AA303" s="23">
        <f t="shared" si="78"/>
        <v>133.33333333333258</v>
      </c>
      <c r="AB303" s="23">
        <f t="shared" si="78"/>
        <v>141.66666666666629</v>
      </c>
      <c r="AC303" s="24">
        <f t="shared" si="78"/>
        <v>111.66666666666657</v>
      </c>
      <c r="AD303" s="24">
        <f t="shared" si="78"/>
        <v>125.00000000000045</v>
      </c>
      <c r="AE303" s="24">
        <f t="shared" si="78"/>
        <v>133.33333333333258</v>
      </c>
      <c r="AF303" s="25">
        <f t="shared" si="78"/>
        <v>103.33333333333309</v>
      </c>
      <c r="AG303" s="25">
        <f t="shared" si="78"/>
        <v>116.66666666666686</v>
      </c>
      <c r="AH303" s="25">
        <f t="shared" si="78"/>
        <v>125.00000000000045</v>
      </c>
      <c r="AI303" s="26">
        <f t="shared" si="78"/>
        <v>95.000000000000227</v>
      </c>
      <c r="AJ303" s="26">
        <f t="shared" si="80"/>
        <v>108.33333333333314</v>
      </c>
      <c r="AK303" s="26">
        <f t="shared" si="80"/>
        <v>116.66666666666686</v>
      </c>
    </row>
    <row r="304" spans="4:37" ht="20.100000000000001" customHeight="1">
      <c r="D304" s="27">
        <f t="shared" si="72"/>
        <v>0.8361111111111087</v>
      </c>
      <c r="E304" s="16">
        <f t="shared" si="79"/>
        <v>234.11111111111148</v>
      </c>
      <c r="F304" s="16">
        <f t="shared" si="79"/>
        <v>247.48888888889022</v>
      </c>
      <c r="G304" s="16">
        <f t="shared" si="79"/>
        <v>255.84999999999869</v>
      </c>
      <c r="H304" s="17">
        <f t="shared" si="79"/>
        <v>217.38888888888852</v>
      </c>
      <c r="I304" s="17">
        <f t="shared" si="79"/>
        <v>230.76666666666662</v>
      </c>
      <c r="J304" s="17">
        <f t="shared" si="79"/>
        <v>239.12777777777842</v>
      </c>
      <c r="K304" s="18">
        <f t="shared" si="79"/>
        <v>200.66666666666723</v>
      </c>
      <c r="L304" s="18">
        <f t="shared" si="79"/>
        <v>214.04444444444459</v>
      </c>
      <c r="M304" s="18">
        <f t="shared" si="79"/>
        <v>222.40555555555608</v>
      </c>
      <c r="N304" s="19">
        <f t="shared" si="79"/>
        <v>153.84444444444392</v>
      </c>
      <c r="O304" s="19">
        <f t="shared" si="79"/>
        <v>167.22222222222297</v>
      </c>
      <c r="P304" s="19">
        <f t="shared" si="79"/>
        <v>175.58333333333277</v>
      </c>
      <c r="Q304" s="20">
        <f t="shared" si="79"/>
        <v>145.48333333333412</v>
      </c>
      <c r="R304" s="20">
        <f t="shared" si="79"/>
        <v>158.86111111111148</v>
      </c>
      <c r="S304" s="20">
        <f t="shared" si="79"/>
        <v>167.22222222222297</v>
      </c>
      <c r="T304" s="21">
        <f t="shared" si="79"/>
        <v>137.12222222222263</v>
      </c>
      <c r="U304" s="21">
        <f t="shared" si="78"/>
        <v>150.5</v>
      </c>
      <c r="V304" s="21">
        <f t="shared" si="78"/>
        <v>158.86111111111148</v>
      </c>
      <c r="W304" s="22">
        <f t="shared" si="78"/>
        <v>128.76111111111115</v>
      </c>
      <c r="X304" s="22">
        <f t="shared" si="78"/>
        <v>142.13888888888852</v>
      </c>
      <c r="Y304" s="22">
        <f t="shared" si="78"/>
        <v>150.5</v>
      </c>
      <c r="Z304" s="23">
        <f t="shared" si="78"/>
        <v>120.39999999999966</v>
      </c>
      <c r="AA304" s="23">
        <f t="shared" si="78"/>
        <v>133.77777777777703</v>
      </c>
      <c r="AB304" s="23">
        <f t="shared" si="78"/>
        <v>142.13888888888852</v>
      </c>
      <c r="AC304" s="24">
        <f t="shared" si="78"/>
        <v>112.03888888888879</v>
      </c>
      <c r="AD304" s="24">
        <f t="shared" si="78"/>
        <v>125.41666666666713</v>
      </c>
      <c r="AE304" s="24">
        <f t="shared" si="78"/>
        <v>133.77777777777703</v>
      </c>
      <c r="AF304" s="25">
        <f t="shared" si="78"/>
        <v>103.67777777777754</v>
      </c>
      <c r="AG304" s="25">
        <f t="shared" si="78"/>
        <v>117.05555555555574</v>
      </c>
      <c r="AH304" s="25">
        <f t="shared" si="78"/>
        <v>125.41666666666713</v>
      </c>
      <c r="AI304" s="26">
        <f t="shared" si="78"/>
        <v>95.31666666666689</v>
      </c>
      <c r="AJ304" s="26">
        <f t="shared" si="80"/>
        <v>108.69444444444426</v>
      </c>
      <c r="AK304" s="26">
        <f t="shared" si="80"/>
        <v>117.05555555555574</v>
      </c>
    </row>
    <row r="305" spans="4:37" ht="20.100000000000001" customHeight="1">
      <c r="D305" s="27">
        <f t="shared" si="72"/>
        <v>0.83888888888888646</v>
      </c>
      <c r="E305" s="16">
        <f t="shared" si="79"/>
        <v>234.88888888888926</v>
      </c>
      <c r="F305" s="16">
        <f t="shared" si="79"/>
        <v>248.31111111111244</v>
      </c>
      <c r="G305" s="16">
        <f t="shared" si="79"/>
        <v>256.69999999999868</v>
      </c>
      <c r="H305" s="17">
        <f t="shared" si="79"/>
        <v>218.11111111111074</v>
      </c>
      <c r="I305" s="17">
        <f t="shared" si="79"/>
        <v>231.5333333333333</v>
      </c>
      <c r="J305" s="17">
        <f t="shared" si="79"/>
        <v>239.92222222222287</v>
      </c>
      <c r="K305" s="18">
        <f t="shared" si="79"/>
        <v>201.33333333333388</v>
      </c>
      <c r="L305" s="18">
        <f t="shared" si="79"/>
        <v>214.7555555555557</v>
      </c>
      <c r="M305" s="18">
        <f t="shared" si="79"/>
        <v>223.14444444444496</v>
      </c>
      <c r="N305" s="19">
        <f t="shared" si="79"/>
        <v>154.35555555555504</v>
      </c>
      <c r="O305" s="19">
        <f t="shared" si="79"/>
        <v>167.77777777777851</v>
      </c>
      <c r="P305" s="19">
        <f t="shared" si="79"/>
        <v>176.16666666666612</v>
      </c>
      <c r="Q305" s="20">
        <f t="shared" si="79"/>
        <v>145.96666666666744</v>
      </c>
      <c r="R305" s="20">
        <f t="shared" si="79"/>
        <v>159.38888888888926</v>
      </c>
      <c r="S305" s="20">
        <f t="shared" si="79"/>
        <v>167.77777777777851</v>
      </c>
      <c r="T305" s="21">
        <f t="shared" si="79"/>
        <v>137.57777777777818</v>
      </c>
      <c r="U305" s="21">
        <f t="shared" si="78"/>
        <v>151</v>
      </c>
      <c r="V305" s="21">
        <f t="shared" si="78"/>
        <v>159.38888888888926</v>
      </c>
      <c r="W305" s="22">
        <f t="shared" si="78"/>
        <v>129.18888888888893</v>
      </c>
      <c r="X305" s="22">
        <f t="shared" si="78"/>
        <v>142.61111111111074</v>
      </c>
      <c r="Y305" s="22">
        <f t="shared" si="78"/>
        <v>151</v>
      </c>
      <c r="Z305" s="23">
        <f t="shared" si="78"/>
        <v>120.79999999999967</v>
      </c>
      <c r="AA305" s="23">
        <f t="shared" si="78"/>
        <v>134.22222222222149</v>
      </c>
      <c r="AB305" s="23">
        <f t="shared" si="78"/>
        <v>142.61111111111074</v>
      </c>
      <c r="AC305" s="24">
        <f t="shared" si="78"/>
        <v>112.41111111111101</v>
      </c>
      <c r="AD305" s="24">
        <f t="shared" si="78"/>
        <v>125.8333333333338</v>
      </c>
      <c r="AE305" s="24">
        <f t="shared" si="78"/>
        <v>134.22222222222149</v>
      </c>
      <c r="AF305" s="25">
        <f t="shared" si="78"/>
        <v>104.02222222222198</v>
      </c>
      <c r="AG305" s="25">
        <f t="shared" si="78"/>
        <v>117.44444444444463</v>
      </c>
      <c r="AH305" s="25">
        <f t="shared" si="78"/>
        <v>125.8333333333338</v>
      </c>
      <c r="AI305" s="26">
        <f t="shared" si="78"/>
        <v>95.633333333333553</v>
      </c>
      <c r="AJ305" s="26">
        <f t="shared" si="80"/>
        <v>109.05555555555537</v>
      </c>
      <c r="AK305" s="26">
        <f t="shared" si="80"/>
        <v>117.44444444444463</v>
      </c>
    </row>
    <row r="306" spans="4:37" ht="20.100000000000001" customHeight="1">
      <c r="D306" s="27">
        <f t="shared" si="72"/>
        <v>0.84166666666666423</v>
      </c>
      <c r="E306" s="16">
        <f t="shared" si="79"/>
        <v>235.66666666666703</v>
      </c>
      <c r="F306" s="16">
        <f t="shared" si="79"/>
        <v>249.13333333333466</v>
      </c>
      <c r="G306" s="16">
        <f t="shared" si="79"/>
        <v>257.5499999999987</v>
      </c>
      <c r="H306" s="17">
        <f t="shared" si="79"/>
        <v>218.83333333333297</v>
      </c>
      <c r="I306" s="17">
        <f t="shared" si="79"/>
        <v>232.29999999999998</v>
      </c>
      <c r="J306" s="17">
        <f t="shared" si="79"/>
        <v>240.71666666666732</v>
      </c>
      <c r="K306" s="18">
        <f t="shared" si="79"/>
        <v>202.00000000000054</v>
      </c>
      <c r="L306" s="18">
        <f t="shared" si="79"/>
        <v>215.46666666666681</v>
      </c>
      <c r="M306" s="18">
        <f t="shared" si="79"/>
        <v>223.88333333333384</v>
      </c>
      <c r="N306" s="19">
        <f t="shared" si="79"/>
        <v>154.86666666666616</v>
      </c>
      <c r="O306" s="19">
        <f t="shared" si="79"/>
        <v>168.33333333333405</v>
      </c>
      <c r="P306" s="19">
        <f t="shared" si="79"/>
        <v>176.74999999999946</v>
      </c>
      <c r="Q306" s="20">
        <f t="shared" si="79"/>
        <v>146.45000000000076</v>
      </c>
      <c r="R306" s="20">
        <f t="shared" si="79"/>
        <v>159.91666666666703</v>
      </c>
      <c r="S306" s="20">
        <f t="shared" si="79"/>
        <v>168.33333333333405</v>
      </c>
      <c r="T306" s="21">
        <f t="shared" si="79"/>
        <v>138.03333333333373</v>
      </c>
      <c r="U306" s="21">
        <f t="shared" si="78"/>
        <v>151.5</v>
      </c>
      <c r="V306" s="21">
        <f t="shared" si="78"/>
        <v>159.91666666666703</v>
      </c>
      <c r="W306" s="22">
        <f t="shared" si="78"/>
        <v>129.6166666666667</v>
      </c>
      <c r="X306" s="22">
        <f t="shared" si="78"/>
        <v>143.08333333333297</v>
      </c>
      <c r="Y306" s="22">
        <f t="shared" si="78"/>
        <v>151.5</v>
      </c>
      <c r="Z306" s="23">
        <f t="shared" si="78"/>
        <v>121.19999999999968</v>
      </c>
      <c r="AA306" s="23">
        <f t="shared" si="78"/>
        <v>134.66666666666595</v>
      </c>
      <c r="AB306" s="23">
        <f>AB307-(AB$363/360)</f>
        <v>143.08333333333297</v>
      </c>
      <c r="AC306" s="24">
        <f t="shared" si="78"/>
        <v>112.78333333333323</v>
      </c>
      <c r="AD306" s="24">
        <f t="shared" si="78"/>
        <v>126.25000000000047</v>
      </c>
      <c r="AE306" s="24">
        <f t="shared" si="78"/>
        <v>134.66666666666595</v>
      </c>
      <c r="AF306" s="25">
        <f t="shared" si="78"/>
        <v>104.36666666666643</v>
      </c>
      <c r="AG306" s="25">
        <f t="shared" si="78"/>
        <v>117.83333333333351</v>
      </c>
      <c r="AH306" s="25">
        <f t="shared" si="78"/>
        <v>126.25000000000047</v>
      </c>
      <c r="AI306" s="26">
        <f t="shared" si="78"/>
        <v>95.950000000000216</v>
      </c>
      <c r="AJ306" s="26">
        <f t="shared" si="80"/>
        <v>109.41666666666649</v>
      </c>
      <c r="AK306" s="26">
        <f t="shared" si="80"/>
        <v>117.83333333333351</v>
      </c>
    </row>
    <row r="307" spans="4:37" ht="20.100000000000001" customHeight="1">
      <c r="D307" s="27">
        <f t="shared" si="72"/>
        <v>0.844444444444442</v>
      </c>
      <c r="E307" s="16">
        <f t="shared" si="79"/>
        <v>236.4444444444448</v>
      </c>
      <c r="F307" s="16">
        <f t="shared" si="79"/>
        <v>249.95555555555688</v>
      </c>
      <c r="G307" s="16">
        <f t="shared" si="79"/>
        <v>258.39999999999873</v>
      </c>
      <c r="H307" s="17">
        <f t="shared" si="79"/>
        <v>219.5555555555552</v>
      </c>
      <c r="I307" s="17">
        <f t="shared" si="79"/>
        <v>233.06666666666666</v>
      </c>
      <c r="J307" s="17">
        <f t="shared" si="79"/>
        <v>241.51111111111177</v>
      </c>
      <c r="K307" s="18">
        <f t="shared" si="79"/>
        <v>202.6666666666672</v>
      </c>
      <c r="L307" s="18">
        <f t="shared" si="79"/>
        <v>216.17777777777792</v>
      </c>
      <c r="M307" s="18">
        <f t="shared" si="79"/>
        <v>224.62222222222272</v>
      </c>
      <c r="N307" s="19">
        <f t="shared" si="79"/>
        <v>155.37777777777728</v>
      </c>
      <c r="O307" s="19">
        <f t="shared" si="79"/>
        <v>168.8888888888896</v>
      </c>
      <c r="P307" s="19">
        <f t="shared" si="79"/>
        <v>177.3333333333328</v>
      </c>
      <c r="Q307" s="20">
        <f t="shared" si="79"/>
        <v>146.93333333333408</v>
      </c>
      <c r="R307" s="20">
        <f t="shared" si="79"/>
        <v>160.4444444444448</v>
      </c>
      <c r="S307" s="20">
        <f t="shared" si="79"/>
        <v>168.8888888888896</v>
      </c>
      <c r="T307" s="21">
        <f t="shared" ref="T307:AI323" si="81">T308-(T$363/360)</f>
        <v>138.48888888888928</v>
      </c>
      <c r="U307" s="21">
        <f t="shared" si="81"/>
        <v>152</v>
      </c>
      <c r="V307" s="21">
        <f t="shared" si="81"/>
        <v>160.4444444444448</v>
      </c>
      <c r="W307" s="22">
        <f t="shared" si="81"/>
        <v>130.04444444444448</v>
      </c>
      <c r="X307" s="22">
        <f t="shared" si="81"/>
        <v>143.5555555555552</v>
      </c>
      <c r="Y307" s="22">
        <f t="shared" si="81"/>
        <v>152</v>
      </c>
      <c r="Z307" s="23">
        <f t="shared" si="81"/>
        <v>121.59999999999968</v>
      </c>
      <c r="AA307" s="23">
        <f t="shared" si="81"/>
        <v>135.1111111111104</v>
      </c>
      <c r="AB307" s="23">
        <f>AB308-(AB$363/360)</f>
        <v>143.5555555555552</v>
      </c>
      <c r="AC307" s="24">
        <f t="shared" ref="AC307:AK307" si="82">AC308-(AC$363/360)</f>
        <v>113.15555555555545</v>
      </c>
      <c r="AD307" s="24">
        <f t="shared" si="82"/>
        <v>126.66666666666714</v>
      </c>
      <c r="AE307" s="24">
        <f t="shared" si="82"/>
        <v>135.1111111111104</v>
      </c>
      <c r="AF307" s="25">
        <f t="shared" si="82"/>
        <v>104.71111111111088</v>
      </c>
      <c r="AG307" s="25">
        <f t="shared" si="82"/>
        <v>118.2222222222224</v>
      </c>
      <c r="AH307" s="25">
        <f t="shared" si="82"/>
        <v>126.66666666666714</v>
      </c>
      <c r="AI307" s="26">
        <f t="shared" si="82"/>
        <v>96.266666666666879</v>
      </c>
      <c r="AJ307" s="26">
        <f t="shared" si="82"/>
        <v>109.7777777777776</v>
      </c>
      <c r="AK307" s="26">
        <f t="shared" si="82"/>
        <v>118.2222222222224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237.22222222222257</v>
      </c>
      <c r="F308" s="16">
        <f t="shared" si="83"/>
        <v>250.77777777777911</v>
      </c>
      <c r="G308" s="16">
        <f t="shared" si="83"/>
        <v>259.24999999999875</v>
      </c>
      <c r="H308" s="17">
        <f t="shared" si="83"/>
        <v>220.27777777777743</v>
      </c>
      <c r="I308" s="17">
        <f t="shared" si="83"/>
        <v>233.83333333333334</v>
      </c>
      <c r="J308" s="17">
        <f t="shared" si="83"/>
        <v>242.30555555555623</v>
      </c>
      <c r="K308" s="18">
        <f t="shared" si="83"/>
        <v>203.33333333333385</v>
      </c>
      <c r="L308" s="18">
        <f t="shared" si="83"/>
        <v>216.88888888888903</v>
      </c>
      <c r="M308" s="18">
        <f t="shared" si="83"/>
        <v>225.3611111111116</v>
      </c>
      <c r="N308" s="19">
        <f t="shared" si="83"/>
        <v>155.8888888888884</v>
      </c>
      <c r="O308" s="19">
        <f t="shared" si="83"/>
        <v>169.44444444444514</v>
      </c>
      <c r="P308" s="19">
        <f t="shared" si="83"/>
        <v>177.91666666666615</v>
      </c>
      <c r="Q308" s="20">
        <f t="shared" si="83"/>
        <v>147.4166666666674</v>
      </c>
      <c r="R308" s="20">
        <f t="shared" si="83"/>
        <v>160.97222222222257</v>
      </c>
      <c r="S308" s="20">
        <f t="shared" si="83"/>
        <v>169.44444444444514</v>
      </c>
      <c r="T308" s="21">
        <f t="shared" si="83"/>
        <v>138.94444444444483</v>
      </c>
      <c r="U308" s="21">
        <f t="shared" si="81"/>
        <v>152.5</v>
      </c>
      <c r="V308" s="21">
        <f t="shared" si="81"/>
        <v>160.97222222222257</v>
      </c>
      <c r="W308" s="22">
        <f t="shared" si="81"/>
        <v>130.47222222222226</v>
      </c>
      <c r="X308" s="22">
        <f t="shared" si="81"/>
        <v>144.02777777777743</v>
      </c>
      <c r="Y308" s="22">
        <f t="shared" si="81"/>
        <v>152.5</v>
      </c>
      <c r="Z308" s="23">
        <f t="shared" si="81"/>
        <v>121.99999999999969</v>
      </c>
      <c r="AA308" s="23">
        <f t="shared" si="81"/>
        <v>135.55555555555486</v>
      </c>
      <c r="AB308" s="23">
        <f t="shared" si="81"/>
        <v>144.02777777777743</v>
      </c>
      <c r="AC308" s="24">
        <f t="shared" si="81"/>
        <v>113.52777777777767</v>
      </c>
      <c r="AD308" s="24">
        <f t="shared" si="81"/>
        <v>127.08333333333381</v>
      </c>
      <c r="AE308" s="24">
        <f t="shared" si="81"/>
        <v>135.55555555555486</v>
      </c>
      <c r="AF308" s="25">
        <f t="shared" si="81"/>
        <v>105.05555555555533</v>
      </c>
      <c r="AG308" s="25">
        <f t="shared" si="81"/>
        <v>118.61111111111128</v>
      </c>
      <c r="AH308" s="25">
        <f t="shared" si="81"/>
        <v>127.08333333333381</v>
      </c>
      <c r="AI308" s="26">
        <f t="shared" si="81"/>
        <v>96.583333333333542</v>
      </c>
      <c r="AJ308" s="26">
        <f t="shared" ref="AJ308:AJ323" si="84">AJ309-(AJ$363/360)</f>
        <v>110.13888888888872</v>
      </c>
      <c r="AK308" s="26">
        <f t="shared" ref="AK308:AK323" si="85">AK309-(AK$363/360)</f>
        <v>118.61111111111128</v>
      </c>
    </row>
    <row r="309" spans="4:37" ht="20.100000000000001" customHeight="1">
      <c r="D309" s="27">
        <f t="shared" si="72"/>
        <v>0.84999999999999754</v>
      </c>
      <c r="E309" s="16">
        <f t="shared" si="83"/>
        <v>238.00000000000034</v>
      </c>
      <c r="F309" s="16">
        <f t="shared" si="83"/>
        <v>251.60000000000133</v>
      </c>
      <c r="G309" s="16">
        <f t="shared" si="83"/>
        <v>260.09999999999877</v>
      </c>
      <c r="H309" s="17">
        <f t="shared" si="83"/>
        <v>220.99999999999966</v>
      </c>
      <c r="I309" s="17">
        <f t="shared" si="83"/>
        <v>234.60000000000002</v>
      </c>
      <c r="J309" s="17">
        <f t="shared" si="83"/>
        <v>243.10000000000068</v>
      </c>
      <c r="K309" s="18">
        <f t="shared" si="83"/>
        <v>204.00000000000051</v>
      </c>
      <c r="L309" s="18">
        <f t="shared" si="83"/>
        <v>217.60000000000014</v>
      </c>
      <c r="M309" s="18">
        <f t="shared" si="83"/>
        <v>226.10000000000048</v>
      </c>
      <c r="N309" s="19">
        <f t="shared" si="83"/>
        <v>156.39999999999952</v>
      </c>
      <c r="O309" s="19">
        <f t="shared" si="83"/>
        <v>170.00000000000068</v>
      </c>
      <c r="P309" s="19">
        <f t="shared" si="83"/>
        <v>178.49999999999949</v>
      </c>
      <c r="Q309" s="20">
        <f t="shared" si="83"/>
        <v>147.90000000000072</v>
      </c>
      <c r="R309" s="20">
        <f t="shared" si="83"/>
        <v>161.50000000000034</v>
      </c>
      <c r="S309" s="20">
        <f t="shared" si="83"/>
        <v>170.00000000000068</v>
      </c>
      <c r="T309" s="21">
        <f t="shared" si="83"/>
        <v>139.40000000000038</v>
      </c>
      <c r="U309" s="21">
        <f t="shared" si="81"/>
        <v>153</v>
      </c>
      <c r="V309" s="21">
        <f t="shared" si="81"/>
        <v>161.50000000000034</v>
      </c>
      <c r="W309" s="22">
        <f t="shared" si="81"/>
        <v>130.90000000000003</v>
      </c>
      <c r="X309" s="22">
        <f t="shared" si="81"/>
        <v>144.49999999999966</v>
      </c>
      <c r="Y309" s="22">
        <f t="shared" si="81"/>
        <v>153</v>
      </c>
      <c r="Z309" s="23">
        <f t="shared" si="81"/>
        <v>122.39999999999969</v>
      </c>
      <c r="AA309" s="23">
        <f t="shared" si="81"/>
        <v>135.99999999999932</v>
      </c>
      <c r="AB309" s="23">
        <f t="shared" si="81"/>
        <v>144.49999999999966</v>
      </c>
      <c r="AC309" s="24">
        <f t="shared" si="81"/>
        <v>113.89999999999989</v>
      </c>
      <c r="AD309" s="24">
        <f t="shared" si="81"/>
        <v>127.50000000000048</v>
      </c>
      <c r="AE309" s="24">
        <f t="shared" si="81"/>
        <v>135.99999999999932</v>
      </c>
      <c r="AF309" s="25">
        <f t="shared" si="81"/>
        <v>105.39999999999978</v>
      </c>
      <c r="AG309" s="25">
        <f t="shared" si="81"/>
        <v>119.00000000000017</v>
      </c>
      <c r="AH309" s="25">
        <f t="shared" si="81"/>
        <v>127.50000000000048</v>
      </c>
      <c r="AI309" s="26">
        <f t="shared" si="81"/>
        <v>96.900000000000205</v>
      </c>
      <c r="AJ309" s="26">
        <f t="shared" si="84"/>
        <v>110.49999999999983</v>
      </c>
      <c r="AK309" s="26">
        <f t="shared" si="85"/>
        <v>119.00000000000017</v>
      </c>
    </row>
    <row r="310" spans="4:37" ht="20.100000000000001" customHeight="1">
      <c r="D310" s="27">
        <f t="shared" si="72"/>
        <v>0.8527777777777753</v>
      </c>
      <c r="E310" s="16">
        <f t="shared" si="83"/>
        <v>238.77777777777811</v>
      </c>
      <c r="F310" s="16">
        <f t="shared" si="83"/>
        <v>252.42222222222355</v>
      </c>
      <c r="G310" s="16">
        <f t="shared" si="83"/>
        <v>260.94999999999879</v>
      </c>
      <c r="H310" s="17">
        <f t="shared" si="83"/>
        <v>221.72222222222189</v>
      </c>
      <c r="I310" s="17">
        <f t="shared" si="83"/>
        <v>235.3666666666667</v>
      </c>
      <c r="J310" s="17">
        <f t="shared" si="83"/>
        <v>243.89444444444513</v>
      </c>
      <c r="K310" s="18">
        <f t="shared" si="83"/>
        <v>204.66666666666717</v>
      </c>
      <c r="L310" s="18">
        <f t="shared" si="83"/>
        <v>218.31111111111125</v>
      </c>
      <c r="M310" s="18">
        <f t="shared" si="83"/>
        <v>226.83888888888936</v>
      </c>
      <c r="N310" s="19">
        <f t="shared" si="83"/>
        <v>156.91111111111064</v>
      </c>
      <c r="O310" s="19">
        <f t="shared" si="83"/>
        <v>170.55555555555623</v>
      </c>
      <c r="P310" s="19">
        <f t="shared" si="83"/>
        <v>179.08333333333283</v>
      </c>
      <c r="Q310" s="20">
        <f t="shared" si="83"/>
        <v>148.38333333333404</v>
      </c>
      <c r="R310" s="20">
        <f t="shared" si="83"/>
        <v>162.02777777777811</v>
      </c>
      <c r="S310" s="20">
        <f t="shared" si="83"/>
        <v>170.55555555555623</v>
      </c>
      <c r="T310" s="21">
        <f t="shared" si="83"/>
        <v>139.85555555555592</v>
      </c>
      <c r="U310" s="21">
        <f t="shared" si="81"/>
        <v>153.5</v>
      </c>
      <c r="V310" s="21">
        <f t="shared" si="81"/>
        <v>162.02777777777811</v>
      </c>
      <c r="W310" s="22">
        <f t="shared" si="81"/>
        <v>131.32777777777781</v>
      </c>
      <c r="X310" s="22">
        <f t="shared" si="81"/>
        <v>144.97222222222189</v>
      </c>
      <c r="Y310" s="22">
        <f t="shared" si="81"/>
        <v>153.5</v>
      </c>
      <c r="Z310" s="23">
        <f t="shared" si="81"/>
        <v>122.7999999999997</v>
      </c>
      <c r="AA310" s="23">
        <f t="shared" si="81"/>
        <v>136.44444444444377</v>
      </c>
      <c r="AB310" s="23">
        <f t="shared" si="81"/>
        <v>144.97222222222189</v>
      </c>
      <c r="AC310" s="24">
        <f t="shared" si="81"/>
        <v>114.27222222222211</v>
      </c>
      <c r="AD310" s="24">
        <f t="shared" si="81"/>
        <v>127.91666666666715</v>
      </c>
      <c r="AE310" s="24">
        <f t="shared" si="81"/>
        <v>136.44444444444377</v>
      </c>
      <c r="AF310" s="25">
        <f t="shared" si="81"/>
        <v>105.74444444444423</v>
      </c>
      <c r="AG310" s="25">
        <f t="shared" si="81"/>
        <v>119.38888888888906</v>
      </c>
      <c r="AH310" s="25">
        <f t="shared" si="81"/>
        <v>127.91666666666715</v>
      </c>
      <c r="AI310" s="26">
        <f t="shared" si="81"/>
        <v>97.216666666666868</v>
      </c>
      <c r="AJ310" s="26">
        <f t="shared" si="84"/>
        <v>110.86111111111094</v>
      </c>
      <c r="AK310" s="26">
        <f t="shared" si="85"/>
        <v>119.38888888888906</v>
      </c>
    </row>
    <row r="311" spans="4:37" ht="20.100000000000001" customHeight="1">
      <c r="D311" s="27">
        <f t="shared" si="72"/>
        <v>0.85555555555555307</v>
      </c>
      <c r="E311" s="16">
        <f t="shared" si="83"/>
        <v>239.55555555555588</v>
      </c>
      <c r="F311" s="16">
        <f t="shared" si="83"/>
        <v>253.24444444444578</v>
      </c>
      <c r="G311" s="16">
        <f t="shared" si="83"/>
        <v>261.79999999999882</v>
      </c>
      <c r="H311" s="17">
        <f t="shared" si="83"/>
        <v>222.44444444444412</v>
      </c>
      <c r="I311" s="17">
        <f t="shared" si="83"/>
        <v>236.13333333333338</v>
      </c>
      <c r="J311" s="17">
        <f t="shared" si="83"/>
        <v>244.68888888888958</v>
      </c>
      <c r="K311" s="18">
        <f t="shared" si="83"/>
        <v>205.33333333333383</v>
      </c>
      <c r="L311" s="18">
        <f t="shared" si="83"/>
        <v>219.02222222222235</v>
      </c>
      <c r="M311" s="18">
        <f t="shared" si="83"/>
        <v>227.57777777777824</v>
      </c>
      <c r="N311" s="19">
        <f t="shared" si="83"/>
        <v>157.42222222222176</v>
      </c>
      <c r="O311" s="19">
        <f t="shared" si="83"/>
        <v>171.11111111111177</v>
      </c>
      <c r="P311" s="19">
        <f t="shared" si="83"/>
        <v>179.66666666666617</v>
      </c>
      <c r="Q311" s="20">
        <f t="shared" si="83"/>
        <v>148.86666666666736</v>
      </c>
      <c r="R311" s="20">
        <f t="shared" si="83"/>
        <v>162.55555555555588</v>
      </c>
      <c r="S311" s="20">
        <f t="shared" si="83"/>
        <v>171.11111111111177</v>
      </c>
      <c r="T311" s="21">
        <f t="shared" si="83"/>
        <v>140.31111111111147</v>
      </c>
      <c r="U311" s="21">
        <f t="shared" si="81"/>
        <v>154</v>
      </c>
      <c r="V311" s="21">
        <f t="shared" si="81"/>
        <v>162.55555555555588</v>
      </c>
      <c r="W311" s="22">
        <f t="shared" si="81"/>
        <v>131.75555555555559</v>
      </c>
      <c r="X311" s="22">
        <f t="shared" si="81"/>
        <v>145.44444444444412</v>
      </c>
      <c r="Y311" s="22">
        <f t="shared" si="81"/>
        <v>154</v>
      </c>
      <c r="Z311" s="23">
        <f t="shared" si="81"/>
        <v>123.1999999999997</v>
      </c>
      <c r="AA311" s="23">
        <f t="shared" si="81"/>
        <v>136.88888888888823</v>
      </c>
      <c r="AB311" s="23">
        <f t="shared" si="81"/>
        <v>145.44444444444412</v>
      </c>
      <c r="AC311" s="24">
        <f t="shared" si="81"/>
        <v>114.64444444444433</v>
      </c>
      <c r="AD311" s="24">
        <f t="shared" si="81"/>
        <v>128.33333333333383</v>
      </c>
      <c r="AE311" s="24">
        <f t="shared" si="81"/>
        <v>136.88888888888823</v>
      </c>
      <c r="AF311" s="25">
        <f t="shared" si="81"/>
        <v>106.08888888888868</v>
      </c>
      <c r="AG311" s="25">
        <f t="shared" si="81"/>
        <v>119.77777777777794</v>
      </c>
      <c r="AH311" s="25">
        <f t="shared" si="81"/>
        <v>128.33333333333383</v>
      </c>
      <c r="AI311" s="26">
        <f t="shared" si="81"/>
        <v>97.53333333333353</v>
      </c>
      <c r="AJ311" s="26">
        <f t="shared" si="84"/>
        <v>111.22222222222206</v>
      </c>
      <c r="AK311" s="26">
        <f t="shared" si="85"/>
        <v>119.77777777777794</v>
      </c>
    </row>
    <row r="312" spans="4:37" ht="20.100000000000001" customHeight="1">
      <c r="D312" s="27">
        <f t="shared" si="72"/>
        <v>0.85833333333333084</v>
      </c>
      <c r="E312" s="16">
        <f t="shared" si="83"/>
        <v>240.33333333333366</v>
      </c>
      <c r="F312" s="16">
        <f t="shared" si="83"/>
        <v>254.066666666668</v>
      </c>
      <c r="G312" s="16">
        <f t="shared" si="83"/>
        <v>262.64999999999884</v>
      </c>
      <c r="H312" s="17">
        <f t="shared" si="83"/>
        <v>223.16666666666634</v>
      </c>
      <c r="I312" s="17">
        <f t="shared" si="83"/>
        <v>236.90000000000006</v>
      </c>
      <c r="J312" s="17">
        <f t="shared" si="83"/>
        <v>245.48333333333403</v>
      </c>
      <c r="K312" s="18">
        <f t="shared" si="83"/>
        <v>206.00000000000048</v>
      </c>
      <c r="L312" s="18">
        <f t="shared" si="83"/>
        <v>219.73333333333346</v>
      </c>
      <c r="M312" s="18">
        <f t="shared" si="83"/>
        <v>228.31666666666712</v>
      </c>
      <c r="N312" s="19">
        <f t="shared" si="83"/>
        <v>157.93333333333288</v>
      </c>
      <c r="O312" s="19">
        <f t="shared" si="83"/>
        <v>171.66666666666731</v>
      </c>
      <c r="P312" s="19">
        <f t="shared" si="83"/>
        <v>180.24999999999952</v>
      </c>
      <c r="Q312" s="20">
        <f t="shared" si="83"/>
        <v>149.35000000000068</v>
      </c>
      <c r="R312" s="20">
        <f t="shared" si="83"/>
        <v>163.08333333333366</v>
      </c>
      <c r="S312" s="20">
        <f t="shared" si="83"/>
        <v>171.66666666666731</v>
      </c>
      <c r="T312" s="21">
        <f t="shared" si="83"/>
        <v>140.76666666666702</v>
      </c>
      <c r="U312" s="21">
        <f t="shared" si="81"/>
        <v>154.5</v>
      </c>
      <c r="V312" s="21">
        <f t="shared" si="81"/>
        <v>163.08333333333366</v>
      </c>
      <c r="W312" s="22">
        <f t="shared" si="81"/>
        <v>132.18333333333337</v>
      </c>
      <c r="X312" s="22">
        <f t="shared" si="81"/>
        <v>145.91666666666634</v>
      </c>
      <c r="Y312" s="22">
        <f t="shared" si="81"/>
        <v>154.5</v>
      </c>
      <c r="Z312" s="23">
        <f t="shared" si="81"/>
        <v>123.59999999999971</v>
      </c>
      <c r="AA312" s="23">
        <f t="shared" si="81"/>
        <v>137.33333333333269</v>
      </c>
      <c r="AB312" s="23">
        <f t="shared" si="81"/>
        <v>145.91666666666634</v>
      </c>
      <c r="AC312" s="24">
        <f t="shared" si="81"/>
        <v>115.01666666666655</v>
      </c>
      <c r="AD312" s="24">
        <f t="shared" si="81"/>
        <v>128.75000000000048</v>
      </c>
      <c r="AE312" s="24">
        <f t="shared" si="81"/>
        <v>137.33333333333269</v>
      </c>
      <c r="AF312" s="25">
        <f t="shared" si="81"/>
        <v>106.43333333333312</v>
      </c>
      <c r="AG312" s="25">
        <f t="shared" si="81"/>
        <v>120.16666666666683</v>
      </c>
      <c r="AH312" s="25">
        <f t="shared" si="81"/>
        <v>128.75000000000048</v>
      </c>
      <c r="AI312" s="26">
        <f t="shared" si="81"/>
        <v>97.850000000000193</v>
      </c>
      <c r="AJ312" s="26">
        <f t="shared" si="84"/>
        <v>111.58333333333317</v>
      </c>
      <c r="AK312" s="26">
        <f t="shared" si="85"/>
        <v>120.16666666666683</v>
      </c>
    </row>
    <row r="313" spans="4:37" ht="20.100000000000001" customHeight="1">
      <c r="D313" s="27">
        <f t="shared" si="72"/>
        <v>0.86111111111110861</v>
      </c>
      <c r="E313" s="16">
        <f t="shared" si="83"/>
        <v>241.11111111111143</v>
      </c>
      <c r="F313" s="16">
        <f t="shared" si="83"/>
        <v>254.88888888889022</v>
      </c>
      <c r="G313" s="16">
        <f t="shared" si="83"/>
        <v>263.49999999999886</v>
      </c>
      <c r="H313" s="17">
        <f t="shared" si="83"/>
        <v>223.88888888888857</v>
      </c>
      <c r="I313" s="17">
        <f t="shared" si="83"/>
        <v>237.66666666666674</v>
      </c>
      <c r="J313" s="17">
        <f t="shared" si="83"/>
        <v>246.27777777777848</v>
      </c>
      <c r="K313" s="18">
        <f t="shared" si="83"/>
        <v>206.66666666666714</v>
      </c>
      <c r="L313" s="18">
        <f t="shared" si="83"/>
        <v>220.44444444444457</v>
      </c>
      <c r="M313" s="18">
        <f t="shared" si="83"/>
        <v>229.055555555556</v>
      </c>
      <c r="N313" s="19">
        <f t="shared" si="83"/>
        <v>158.444444444444</v>
      </c>
      <c r="O313" s="19">
        <f t="shared" si="83"/>
        <v>172.22222222222285</v>
      </c>
      <c r="P313" s="19">
        <f t="shared" si="83"/>
        <v>180.83333333333286</v>
      </c>
      <c r="Q313" s="20">
        <f t="shared" si="83"/>
        <v>149.833333333334</v>
      </c>
      <c r="R313" s="20">
        <f t="shared" si="83"/>
        <v>163.61111111111143</v>
      </c>
      <c r="S313" s="20">
        <f t="shared" si="83"/>
        <v>172.22222222222285</v>
      </c>
      <c r="T313" s="21">
        <f t="shared" si="83"/>
        <v>141.22222222222257</v>
      </c>
      <c r="U313" s="21">
        <f t="shared" si="81"/>
        <v>155</v>
      </c>
      <c r="V313" s="21">
        <f t="shared" si="81"/>
        <v>163.61111111111143</v>
      </c>
      <c r="W313" s="22">
        <f t="shared" si="81"/>
        <v>132.61111111111114</v>
      </c>
      <c r="X313" s="22">
        <f t="shared" si="81"/>
        <v>146.38888888888857</v>
      </c>
      <c r="Y313" s="22">
        <f t="shared" si="81"/>
        <v>155</v>
      </c>
      <c r="Z313" s="23">
        <f t="shared" si="81"/>
        <v>123.99999999999972</v>
      </c>
      <c r="AA313" s="23">
        <f t="shared" si="81"/>
        <v>137.77777777777715</v>
      </c>
      <c r="AB313" s="23">
        <f t="shared" si="81"/>
        <v>146.38888888888857</v>
      </c>
      <c r="AC313" s="24">
        <f t="shared" si="81"/>
        <v>115.38888888888877</v>
      </c>
      <c r="AD313" s="24">
        <f t="shared" si="81"/>
        <v>129.16666666666714</v>
      </c>
      <c r="AE313" s="24">
        <f t="shared" si="81"/>
        <v>137.77777777777715</v>
      </c>
      <c r="AF313" s="25">
        <f t="shared" si="81"/>
        <v>106.77777777777757</v>
      </c>
      <c r="AG313" s="25">
        <f t="shared" si="81"/>
        <v>120.55555555555571</v>
      </c>
      <c r="AH313" s="25">
        <f t="shared" si="81"/>
        <v>129.16666666666714</v>
      </c>
      <c r="AI313" s="26">
        <f t="shared" si="81"/>
        <v>98.166666666666856</v>
      </c>
      <c r="AJ313" s="26">
        <f t="shared" si="84"/>
        <v>111.94444444444429</v>
      </c>
      <c r="AK313" s="26">
        <f t="shared" si="85"/>
        <v>120.55555555555571</v>
      </c>
    </row>
    <row r="314" spans="4:37" ht="20.100000000000001" customHeight="1">
      <c r="D314" s="27">
        <f t="shared" si="72"/>
        <v>0.86388888888888637</v>
      </c>
      <c r="E314" s="16">
        <f t="shared" si="83"/>
        <v>241.8888888888892</v>
      </c>
      <c r="F314" s="16">
        <f t="shared" si="83"/>
        <v>255.71111111111244</v>
      </c>
      <c r="G314" s="16">
        <f t="shared" si="83"/>
        <v>264.34999999999889</v>
      </c>
      <c r="H314" s="17">
        <f t="shared" si="83"/>
        <v>224.6111111111108</v>
      </c>
      <c r="I314" s="17">
        <f t="shared" si="83"/>
        <v>238.43333333333342</v>
      </c>
      <c r="J314" s="17">
        <f t="shared" si="83"/>
        <v>247.07222222222293</v>
      </c>
      <c r="K314" s="18">
        <f t="shared" si="83"/>
        <v>207.3333333333338</v>
      </c>
      <c r="L314" s="18">
        <f t="shared" si="83"/>
        <v>221.15555555555568</v>
      </c>
      <c r="M314" s="18">
        <f t="shared" si="83"/>
        <v>229.79444444444488</v>
      </c>
      <c r="N314" s="19">
        <f t="shared" si="83"/>
        <v>158.95555555555512</v>
      </c>
      <c r="O314" s="19">
        <f t="shared" si="83"/>
        <v>172.7777777777784</v>
      </c>
      <c r="P314" s="19">
        <f t="shared" si="83"/>
        <v>181.4166666666662</v>
      </c>
      <c r="Q314" s="20">
        <f t="shared" si="83"/>
        <v>150.31666666666732</v>
      </c>
      <c r="R314" s="20">
        <f t="shared" si="83"/>
        <v>164.1388888888892</v>
      </c>
      <c r="S314" s="20">
        <f t="shared" si="83"/>
        <v>172.7777777777784</v>
      </c>
      <c r="T314" s="21">
        <f t="shared" si="83"/>
        <v>141.67777777777812</v>
      </c>
      <c r="U314" s="21">
        <f t="shared" si="81"/>
        <v>155.5</v>
      </c>
      <c r="V314" s="21">
        <f t="shared" si="81"/>
        <v>164.1388888888892</v>
      </c>
      <c r="W314" s="22">
        <f t="shared" si="81"/>
        <v>133.03888888888892</v>
      </c>
      <c r="X314" s="22">
        <f t="shared" si="81"/>
        <v>146.8611111111108</v>
      </c>
      <c r="Y314" s="22">
        <f t="shared" si="81"/>
        <v>155.5</v>
      </c>
      <c r="Z314" s="23">
        <f t="shared" si="81"/>
        <v>124.39999999999972</v>
      </c>
      <c r="AA314" s="23">
        <f t="shared" si="81"/>
        <v>138.2222222222216</v>
      </c>
      <c r="AB314" s="23">
        <f t="shared" si="81"/>
        <v>146.8611111111108</v>
      </c>
      <c r="AC314" s="24">
        <f t="shared" si="81"/>
        <v>115.76111111111099</v>
      </c>
      <c r="AD314" s="24">
        <f t="shared" si="81"/>
        <v>129.5833333333338</v>
      </c>
      <c r="AE314" s="24">
        <f t="shared" si="81"/>
        <v>138.2222222222216</v>
      </c>
      <c r="AF314" s="25">
        <f t="shared" si="81"/>
        <v>107.12222222222202</v>
      </c>
      <c r="AG314" s="25">
        <f t="shared" si="81"/>
        <v>120.9444444444446</v>
      </c>
      <c r="AH314" s="25">
        <f t="shared" si="81"/>
        <v>129.5833333333338</v>
      </c>
      <c r="AI314" s="26">
        <f t="shared" si="81"/>
        <v>98.483333333333519</v>
      </c>
      <c r="AJ314" s="26">
        <f t="shared" si="84"/>
        <v>112.3055555555554</v>
      </c>
      <c r="AK314" s="26">
        <f t="shared" si="85"/>
        <v>120.9444444444446</v>
      </c>
    </row>
    <row r="315" spans="4:37" ht="20.100000000000001" customHeight="1">
      <c r="D315" s="27">
        <f t="shared" si="72"/>
        <v>0.86666666666666414</v>
      </c>
      <c r="E315" s="16">
        <f t="shared" si="83"/>
        <v>242.66666666666697</v>
      </c>
      <c r="F315" s="16">
        <f t="shared" si="83"/>
        <v>256.53333333333467</v>
      </c>
      <c r="G315" s="16">
        <f t="shared" si="83"/>
        <v>265.19999999999891</v>
      </c>
      <c r="H315" s="17">
        <f t="shared" si="83"/>
        <v>225.33333333333303</v>
      </c>
      <c r="I315" s="17">
        <f t="shared" si="83"/>
        <v>239.2000000000001</v>
      </c>
      <c r="J315" s="17">
        <f t="shared" si="83"/>
        <v>247.86666666666738</v>
      </c>
      <c r="K315" s="18">
        <f t="shared" si="83"/>
        <v>208.00000000000045</v>
      </c>
      <c r="L315" s="18">
        <f t="shared" si="83"/>
        <v>221.86666666666679</v>
      </c>
      <c r="M315" s="18">
        <f t="shared" si="83"/>
        <v>230.53333333333376</v>
      </c>
      <c r="N315" s="19">
        <f t="shared" si="83"/>
        <v>159.46666666666624</v>
      </c>
      <c r="O315" s="19">
        <f t="shared" si="83"/>
        <v>173.33333333333394</v>
      </c>
      <c r="P315" s="19">
        <f t="shared" si="83"/>
        <v>181.99999999999955</v>
      </c>
      <c r="Q315" s="20">
        <f t="shared" si="83"/>
        <v>150.80000000000064</v>
      </c>
      <c r="R315" s="20">
        <f t="shared" si="83"/>
        <v>164.66666666666697</v>
      </c>
      <c r="S315" s="20">
        <f t="shared" si="83"/>
        <v>173.33333333333394</v>
      </c>
      <c r="T315" s="21">
        <f t="shared" si="83"/>
        <v>142.13333333333367</v>
      </c>
      <c r="U315" s="21">
        <f t="shared" si="81"/>
        <v>156</v>
      </c>
      <c r="V315" s="21">
        <f t="shared" si="81"/>
        <v>164.66666666666697</v>
      </c>
      <c r="W315" s="22">
        <f t="shared" si="81"/>
        <v>133.4666666666667</v>
      </c>
      <c r="X315" s="22">
        <f t="shared" si="81"/>
        <v>147.33333333333303</v>
      </c>
      <c r="Y315" s="22">
        <f t="shared" si="81"/>
        <v>156</v>
      </c>
      <c r="Z315" s="23">
        <f t="shared" si="81"/>
        <v>124.79999999999973</v>
      </c>
      <c r="AA315" s="23">
        <f t="shared" si="81"/>
        <v>138.66666666666606</v>
      </c>
      <c r="AB315" s="23">
        <f t="shared" si="81"/>
        <v>147.33333333333303</v>
      </c>
      <c r="AC315" s="24">
        <f t="shared" si="81"/>
        <v>116.13333333333321</v>
      </c>
      <c r="AD315" s="24">
        <f t="shared" si="81"/>
        <v>130.00000000000045</v>
      </c>
      <c r="AE315" s="24">
        <f t="shared" si="81"/>
        <v>138.66666666666606</v>
      </c>
      <c r="AF315" s="25">
        <f t="shared" si="81"/>
        <v>107.46666666666647</v>
      </c>
      <c r="AG315" s="25">
        <f t="shared" si="81"/>
        <v>121.33333333333348</v>
      </c>
      <c r="AH315" s="25">
        <f t="shared" si="81"/>
        <v>130.00000000000045</v>
      </c>
      <c r="AI315" s="26">
        <f t="shared" si="81"/>
        <v>98.800000000000182</v>
      </c>
      <c r="AJ315" s="26">
        <f t="shared" si="84"/>
        <v>112.66666666666652</v>
      </c>
      <c r="AK315" s="26">
        <f t="shared" si="85"/>
        <v>121.33333333333348</v>
      </c>
    </row>
    <row r="316" spans="4:37" ht="20.100000000000001" customHeight="1">
      <c r="D316" s="27">
        <f t="shared" si="72"/>
        <v>0.86944444444444191</v>
      </c>
      <c r="E316" s="16">
        <f t="shared" si="83"/>
        <v>243.44444444444474</v>
      </c>
      <c r="F316" s="16">
        <f t="shared" si="83"/>
        <v>257.35555555555686</v>
      </c>
      <c r="G316" s="16">
        <f t="shared" si="83"/>
        <v>266.04999999999893</v>
      </c>
      <c r="H316" s="17">
        <f t="shared" si="83"/>
        <v>226.05555555555526</v>
      </c>
      <c r="I316" s="17">
        <f t="shared" si="83"/>
        <v>239.96666666666678</v>
      </c>
      <c r="J316" s="17">
        <f t="shared" si="83"/>
        <v>248.66111111111184</v>
      </c>
      <c r="K316" s="18">
        <f t="shared" si="83"/>
        <v>208.66666666666711</v>
      </c>
      <c r="L316" s="18">
        <f t="shared" si="83"/>
        <v>222.5777777777779</v>
      </c>
      <c r="M316" s="18">
        <f t="shared" si="83"/>
        <v>231.27222222222264</v>
      </c>
      <c r="N316" s="19">
        <f t="shared" si="83"/>
        <v>159.97777777777736</v>
      </c>
      <c r="O316" s="19">
        <f t="shared" si="83"/>
        <v>173.88888888888948</v>
      </c>
      <c r="P316" s="19">
        <f t="shared" si="83"/>
        <v>182.58333333333289</v>
      </c>
      <c r="Q316" s="20">
        <f t="shared" si="83"/>
        <v>151.28333333333396</v>
      </c>
      <c r="R316" s="20">
        <f t="shared" si="83"/>
        <v>165.19444444444474</v>
      </c>
      <c r="S316" s="20">
        <f t="shared" si="83"/>
        <v>173.88888888888948</v>
      </c>
      <c r="T316" s="21">
        <f t="shared" si="83"/>
        <v>142.58888888888922</v>
      </c>
      <c r="U316" s="21">
        <f t="shared" si="81"/>
        <v>156.5</v>
      </c>
      <c r="V316" s="21">
        <f t="shared" si="81"/>
        <v>165.19444444444474</v>
      </c>
      <c r="W316" s="22">
        <f t="shared" si="81"/>
        <v>133.89444444444447</v>
      </c>
      <c r="X316" s="22">
        <f t="shared" si="81"/>
        <v>147.80555555555526</v>
      </c>
      <c r="Y316" s="22">
        <f t="shared" si="81"/>
        <v>156.5</v>
      </c>
      <c r="Z316" s="23">
        <f t="shared" si="81"/>
        <v>125.19999999999973</v>
      </c>
      <c r="AA316" s="23">
        <f t="shared" si="81"/>
        <v>139.11111111111052</v>
      </c>
      <c r="AB316" s="23">
        <f t="shared" si="81"/>
        <v>147.80555555555526</v>
      </c>
      <c r="AC316" s="24">
        <f t="shared" si="81"/>
        <v>116.50555555555543</v>
      </c>
      <c r="AD316" s="24">
        <f t="shared" si="81"/>
        <v>130.41666666666711</v>
      </c>
      <c r="AE316" s="24">
        <f t="shared" si="81"/>
        <v>139.11111111111052</v>
      </c>
      <c r="AF316" s="25">
        <f t="shared" si="81"/>
        <v>107.81111111111092</v>
      </c>
      <c r="AG316" s="25">
        <f t="shared" si="81"/>
        <v>121.72222222222237</v>
      </c>
      <c r="AH316" s="25">
        <f t="shared" si="81"/>
        <v>130.41666666666711</v>
      </c>
      <c r="AI316" s="26">
        <f t="shared" si="81"/>
        <v>99.116666666666845</v>
      </c>
      <c r="AJ316" s="26">
        <f t="shared" si="84"/>
        <v>113.02777777777763</v>
      </c>
      <c r="AK316" s="26">
        <f t="shared" si="85"/>
        <v>121.72222222222237</v>
      </c>
    </row>
    <row r="317" spans="4:37" ht="20.100000000000001" customHeight="1">
      <c r="D317" s="27">
        <f t="shared" si="72"/>
        <v>0.87222222222221968</v>
      </c>
      <c r="E317" s="16">
        <f t="shared" si="83"/>
        <v>244.22222222222251</v>
      </c>
      <c r="F317" s="16">
        <f t="shared" si="83"/>
        <v>258.17777777777906</v>
      </c>
      <c r="G317" s="16">
        <f t="shared" si="83"/>
        <v>266.89999999999895</v>
      </c>
      <c r="H317" s="17">
        <f t="shared" si="83"/>
        <v>226.77777777777749</v>
      </c>
      <c r="I317" s="17">
        <f t="shared" si="83"/>
        <v>240.73333333333346</v>
      </c>
      <c r="J317" s="17">
        <f t="shared" si="83"/>
        <v>249.45555555555629</v>
      </c>
      <c r="K317" s="18">
        <f t="shared" si="83"/>
        <v>209.33333333333377</v>
      </c>
      <c r="L317" s="18">
        <f t="shared" si="83"/>
        <v>223.28888888888901</v>
      </c>
      <c r="M317" s="18">
        <f t="shared" si="83"/>
        <v>232.01111111111152</v>
      </c>
      <c r="N317" s="19">
        <f t="shared" si="83"/>
        <v>160.48888888888848</v>
      </c>
      <c r="O317" s="19">
        <f t="shared" si="83"/>
        <v>174.44444444444503</v>
      </c>
      <c r="P317" s="19">
        <f t="shared" si="83"/>
        <v>183.16666666666623</v>
      </c>
      <c r="Q317" s="20">
        <f t="shared" si="83"/>
        <v>151.76666666666728</v>
      </c>
      <c r="R317" s="20">
        <f t="shared" si="83"/>
        <v>165.72222222222251</v>
      </c>
      <c r="S317" s="20">
        <f t="shared" si="83"/>
        <v>174.44444444444503</v>
      </c>
      <c r="T317" s="21">
        <f t="shared" si="83"/>
        <v>143.04444444444476</v>
      </c>
      <c r="U317" s="21">
        <f t="shared" si="81"/>
        <v>157</v>
      </c>
      <c r="V317" s="21">
        <f t="shared" si="81"/>
        <v>165.72222222222251</v>
      </c>
      <c r="W317" s="22">
        <f t="shared" si="81"/>
        <v>134.32222222222225</v>
      </c>
      <c r="X317" s="22">
        <f t="shared" si="81"/>
        <v>148.27777777777749</v>
      </c>
      <c r="Y317" s="22">
        <f t="shared" si="81"/>
        <v>157</v>
      </c>
      <c r="Z317" s="23">
        <f t="shared" si="81"/>
        <v>125.59999999999974</v>
      </c>
      <c r="AA317" s="23">
        <f t="shared" si="81"/>
        <v>139.55555555555497</v>
      </c>
      <c r="AB317" s="23">
        <f t="shared" si="81"/>
        <v>148.27777777777749</v>
      </c>
      <c r="AC317" s="24">
        <f t="shared" si="81"/>
        <v>116.87777777777765</v>
      </c>
      <c r="AD317" s="24">
        <f t="shared" si="81"/>
        <v>130.83333333333377</v>
      </c>
      <c r="AE317" s="24">
        <f t="shared" si="81"/>
        <v>139.55555555555497</v>
      </c>
      <c r="AF317" s="25">
        <f t="shared" si="81"/>
        <v>108.15555555555537</v>
      </c>
      <c r="AG317" s="25">
        <f t="shared" si="81"/>
        <v>122.11111111111126</v>
      </c>
      <c r="AH317" s="25">
        <f t="shared" si="81"/>
        <v>130.83333333333377</v>
      </c>
      <c r="AI317" s="26">
        <f t="shared" si="81"/>
        <v>99.433333333333508</v>
      </c>
      <c r="AJ317" s="26">
        <f t="shared" si="84"/>
        <v>113.38888888888874</v>
      </c>
      <c r="AK317" s="26">
        <f t="shared" si="85"/>
        <v>122.11111111111126</v>
      </c>
    </row>
    <row r="318" spans="4:37" ht="20.100000000000001" customHeight="1">
      <c r="D318" s="27">
        <f t="shared" si="72"/>
        <v>0.87499999999999745</v>
      </c>
      <c r="E318" s="16">
        <f t="shared" si="83"/>
        <v>245.00000000000028</v>
      </c>
      <c r="F318" s="16">
        <f t="shared" si="83"/>
        <v>259.00000000000125</v>
      </c>
      <c r="G318" s="16">
        <f t="shared" si="83"/>
        <v>267.74999999999898</v>
      </c>
      <c r="H318" s="17">
        <f t="shared" si="83"/>
        <v>227.49999999999972</v>
      </c>
      <c r="I318" s="17">
        <f t="shared" si="83"/>
        <v>241.50000000000014</v>
      </c>
      <c r="J318" s="17">
        <f t="shared" si="83"/>
        <v>250.25000000000074</v>
      </c>
      <c r="K318" s="18">
        <f t="shared" si="83"/>
        <v>210.00000000000043</v>
      </c>
      <c r="L318" s="18">
        <f t="shared" si="83"/>
        <v>224.00000000000011</v>
      </c>
      <c r="M318" s="18">
        <f t="shared" si="83"/>
        <v>232.7500000000004</v>
      </c>
      <c r="N318" s="19">
        <f t="shared" si="83"/>
        <v>160.9999999999996</v>
      </c>
      <c r="O318" s="19">
        <f t="shared" si="83"/>
        <v>175.00000000000057</v>
      </c>
      <c r="P318" s="19">
        <f t="shared" si="83"/>
        <v>183.74999999999957</v>
      </c>
      <c r="Q318" s="20">
        <f t="shared" si="83"/>
        <v>152.2500000000006</v>
      </c>
      <c r="R318" s="20">
        <f t="shared" si="83"/>
        <v>166.25000000000028</v>
      </c>
      <c r="S318" s="20">
        <f t="shared" si="83"/>
        <v>175.00000000000057</v>
      </c>
      <c r="T318" s="21">
        <f t="shared" si="83"/>
        <v>143.50000000000031</v>
      </c>
      <c r="U318" s="21">
        <f t="shared" si="81"/>
        <v>157.5</v>
      </c>
      <c r="V318" s="21">
        <f t="shared" si="81"/>
        <v>166.25000000000028</v>
      </c>
      <c r="W318" s="22">
        <f t="shared" si="81"/>
        <v>134.75000000000003</v>
      </c>
      <c r="X318" s="22">
        <f t="shared" si="81"/>
        <v>148.74999999999972</v>
      </c>
      <c r="Y318" s="22">
        <f t="shared" si="81"/>
        <v>157.5</v>
      </c>
      <c r="Z318" s="23">
        <f t="shared" si="81"/>
        <v>125.99999999999974</v>
      </c>
      <c r="AA318" s="23">
        <f t="shared" si="81"/>
        <v>139.99999999999943</v>
      </c>
      <c r="AB318" s="23">
        <f t="shared" si="81"/>
        <v>148.74999999999972</v>
      </c>
      <c r="AC318" s="24">
        <f t="shared" si="81"/>
        <v>117.24999999999987</v>
      </c>
      <c r="AD318" s="24">
        <f t="shared" si="81"/>
        <v>131.25000000000043</v>
      </c>
      <c r="AE318" s="24">
        <f t="shared" si="81"/>
        <v>139.99999999999943</v>
      </c>
      <c r="AF318" s="25">
        <f t="shared" si="81"/>
        <v>108.49999999999982</v>
      </c>
      <c r="AG318" s="25">
        <f t="shared" si="81"/>
        <v>122.50000000000014</v>
      </c>
      <c r="AH318" s="25">
        <f t="shared" si="81"/>
        <v>131.25000000000043</v>
      </c>
      <c r="AI318" s="26">
        <f t="shared" si="81"/>
        <v>99.750000000000171</v>
      </c>
      <c r="AJ318" s="26">
        <f t="shared" si="84"/>
        <v>113.74999999999986</v>
      </c>
      <c r="AK318" s="26">
        <f t="shared" si="85"/>
        <v>122.50000000000014</v>
      </c>
    </row>
    <row r="319" spans="4:37" ht="20.100000000000001" customHeight="1">
      <c r="D319" s="27">
        <f t="shared" si="72"/>
        <v>0.87777777777777521</v>
      </c>
      <c r="E319" s="16">
        <f t="shared" si="83"/>
        <v>245.77777777777806</v>
      </c>
      <c r="F319" s="16">
        <f t="shared" si="83"/>
        <v>259.82222222222344</v>
      </c>
      <c r="G319" s="16">
        <f t="shared" si="83"/>
        <v>268.599999999999</v>
      </c>
      <c r="H319" s="17">
        <f t="shared" si="83"/>
        <v>228.22222222222194</v>
      </c>
      <c r="I319" s="17">
        <f t="shared" si="83"/>
        <v>242.26666666666682</v>
      </c>
      <c r="J319" s="17">
        <f t="shared" si="83"/>
        <v>251.04444444444519</v>
      </c>
      <c r="K319" s="18">
        <f t="shared" si="83"/>
        <v>210.66666666666708</v>
      </c>
      <c r="L319" s="18">
        <f t="shared" si="83"/>
        <v>224.71111111111122</v>
      </c>
      <c r="M319" s="18">
        <f t="shared" si="83"/>
        <v>233.48888888888928</v>
      </c>
      <c r="N319" s="19">
        <f t="shared" si="83"/>
        <v>161.51111111111072</v>
      </c>
      <c r="O319" s="19">
        <f t="shared" si="83"/>
        <v>175.55555555555611</v>
      </c>
      <c r="P319" s="19">
        <f t="shared" si="83"/>
        <v>184.33333333333292</v>
      </c>
      <c r="Q319" s="20">
        <f t="shared" si="83"/>
        <v>152.73333333333392</v>
      </c>
      <c r="R319" s="20">
        <f t="shared" si="83"/>
        <v>166.77777777777806</v>
      </c>
      <c r="S319" s="20">
        <f t="shared" si="83"/>
        <v>175.55555555555611</v>
      </c>
      <c r="T319" s="21">
        <f t="shared" si="83"/>
        <v>143.95555555555586</v>
      </c>
      <c r="U319" s="21">
        <f t="shared" si="81"/>
        <v>158</v>
      </c>
      <c r="V319" s="21">
        <f t="shared" si="81"/>
        <v>166.77777777777806</v>
      </c>
      <c r="W319" s="22">
        <f t="shared" si="81"/>
        <v>135.17777777777781</v>
      </c>
      <c r="X319" s="22">
        <f t="shared" si="81"/>
        <v>149.22222222222194</v>
      </c>
      <c r="Y319" s="22">
        <f t="shared" si="81"/>
        <v>158</v>
      </c>
      <c r="Z319" s="23">
        <f t="shared" si="81"/>
        <v>126.39999999999975</v>
      </c>
      <c r="AA319" s="23">
        <f t="shared" si="81"/>
        <v>140.44444444444389</v>
      </c>
      <c r="AB319" s="23">
        <f t="shared" si="81"/>
        <v>149.22222222222194</v>
      </c>
      <c r="AC319" s="24">
        <f t="shared" si="81"/>
        <v>117.62222222222209</v>
      </c>
      <c r="AD319" s="24">
        <f t="shared" si="81"/>
        <v>131.66666666666708</v>
      </c>
      <c r="AE319" s="24">
        <f t="shared" si="81"/>
        <v>140.44444444444389</v>
      </c>
      <c r="AF319" s="25">
        <f t="shared" si="81"/>
        <v>108.84444444444426</v>
      </c>
      <c r="AG319" s="25">
        <f t="shared" si="81"/>
        <v>122.88888888888903</v>
      </c>
      <c r="AH319" s="25">
        <f t="shared" si="81"/>
        <v>131.66666666666708</v>
      </c>
      <c r="AI319" s="26">
        <f t="shared" si="81"/>
        <v>100.06666666666683</v>
      </c>
      <c r="AJ319" s="26">
        <f t="shared" si="84"/>
        <v>114.11111111111097</v>
      </c>
      <c r="AK319" s="26">
        <f t="shared" si="85"/>
        <v>122.88888888888903</v>
      </c>
    </row>
    <row r="320" spans="4:37" ht="20.100000000000001" customHeight="1">
      <c r="D320" s="27">
        <f t="shared" si="72"/>
        <v>0.88055555555555298</v>
      </c>
      <c r="E320" s="16">
        <f t="shared" si="83"/>
        <v>246.55555555555583</v>
      </c>
      <c r="F320" s="16">
        <f t="shared" si="83"/>
        <v>260.64444444444564</v>
      </c>
      <c r="G320" s="16">
        <f t="shared" si="83"/>
        <v>269.44999999999902</v>
      </c>
      <c r="H320" s="17">
        <f t="shared" si="83"/>
        <v>228.94444444444417</v>
      </c>
      <c r="I320" s="17">
        <f t="shared" si="83"/>
        <v>243.0333333333335</v>
      </c>
      <c r="J320" s="17">
        <f t="shared" si="83"/>
        <v>251.83888888888964</v>
      </c>
      <c r="K320" s="18">
        <f t="shared" si="83"/>
        <v>211.33333333333374</v>
      </c>
      <c r="L320" s="18">
        <f t="shared" si="83"/>
        <v>225.42222222222233</v>
      </c>
      <c r="M320" s="18">
        <f t="shared" si="83"/>
        <v>234.22777777777816</v>
      </c>
      <c r="N320" s="19">
        <f t="shared" si="83"/>
        <v>162.02222222222184</v>
      </c>
      <c r="O320" s="19">
        <f t="shared" si="83"/>
        <v>176.11111111111165</v>
      </c>
      <c r="P320" s="19">
        <f t="shared" si="83"/>
        <v>184.91666666666626</v>
      </c>
      <c r="Q320" s="20">
        <f t="shared" si="83"/>
        <v>153.21666666666724</v>
      </c>
      <c r="R320" s="20">
        <f t="shared" si="83"/>
        <v>167.30555555555583</v>
      </c>
      <c r="S320" s="20">
        <f t="shared" si="83"/>
        <v>176.11111111111165</v>
      </c>
      <c r="T320" s="21">
        <f t="shared" si="83"/>
        <v>144.41111111111141</v>
      </c>
      <c r="U320" s="21">
        <f t="shared" si="81"/>
        <v>158.5</v>
      </c>
      <c r="V320" s="21">
        <f t="shared" si="81"/>
        <v>167.30555555555583</v>
      </c>
      <c r="W320" s="22">
        <f t="shared" si="81"/>
        <v>135.60555555555558</v>
      </c>
      <c r="X320" s="22">
        <f t="shared" si="81"/>
        <v>149.69444444444417</v>
      </c>
      <c r="Y320" s="22">
        <f t="shared" si="81"/>
        <v>158.5</v>
      </c>
      <c r="Z320" s="23">
        <f t="shared" si="81"/>
        <v>126.79999999999976</v>
      </c>
      <c r="AA320" s="23">
        <f t="shared" si="81"/>
        <v>140.88888888888835</v>
      </c>
      <c r="AB320" s="23">
        <f t="shared" si="81"/>
        <v>149.69444444444417</v>
      </c>
      <c r="AC320" s="24">
        <f t="shared" si="81"/>
        <v>117.99444444444431</v>
      </c>
      <c r="AD320" s="24">
        <f t="shared" si="81"/>
        <v>132.08333333333374</v>
      </c>
      <c r="AE320" s="24">
        <f t="shared" si="81"/>
        <v>140.88888888888835</v>
      </c>
      <c r="AF320" s="25">
        <f t="shared" si="81"/>
        <v>109.18888888888871</v>
      </c>
      <c r="AG320" s="25">
        <f t="shared" si="81"/>
        <v>123.27777777777791</v>
      </c>
      <c r="AH320" s="25">
        <f t="shared" si="81"/>
        <v>132.08333333333374</v>
      </c>
      <c r="AI320" s="26">
        <f t="shared" si="81"/>
        <v>100.3833333333335</v>
      </c>
      <c r="AJ320" s="26">
        <f t="shared" si="84"/>
        <v>114.47222222222209</v>
      </c>
      <c r="AK320" s="26">
        <f t="shared" si="85"/>
        <v>123.27777777777791</v>
      </c>
    </row>
    <row r="321" spans="4:37" ht="20.100000000000001" customHeight="1">
      <c r="D321" s="27">
        <f t="shared" si="72"/>
        <v>0.88333333333333075</v>
      </c>
      <c r="E321" s="16">
        <f t="shared" si="83"/>
        <v>247.3333333333336</v>
      </c>
      <c r="F321" s="16">
        <f t="shared" si="83"/>
        <v>261.46666666666783</v>
      </c>
      <c r="G321" s="16">
        <f t="shared" si="83"/>
        <v>270.29999999999905</v>
      </c>
      <c r="H321" s="17">
        <f t="shared" si="83"/>
        <v>229.6666666666664</v>
      </c>
      <c r="I321" s="17">
        <f t="shared" si="83"/>
        <v>243.80000000000018</v>
      </c>
      <c r="J321" s="17">
        <f t="shared" si="83"/>
        <v>252.63333333333409</v>
      </c>
      <c r="K321" s="18">
        <f t="shared" si="83"/>
        <v>212.0000000000004</v>
      </c>
      <c r="L321" s="18">
        <f t="shared" si="83"/>
        <v>226.13333333333344</v>
      </c>
      <c r="M321" s="18">
        <f t="shared" si="83"/>
        <v>234.96666666666704</v>
      </c>
      <c r="N321" s="19">
        <f t="shared" si="83"/>
        <v>162.53333333333296</v>
      </c>
      <c r="O321" s="19">
        <f t="shared" si="83"/>
        <v>176.6666666666672</v>
      </c>
      <c r="P321" s="19">
        <f t="shared" si="83"/>
        <v>185.4999999999996</v>
      </c>
      <c r="Q321" s="20">
        <f t="shared" si="83"/>
        <v>153.70000000000056</v>
      </c>
      <c r="R321" s="20">
        <f t="shared" si="83"/>
        <v>167.8333333333336</v>
      </c>
      <c r="S321" s="20">
        <f t="shared" si="83"/>
        <v>176.6666666666672</v>
      </c>
      <c r="T321" s="21">
        <f t="shared" si="83"/>
        <v>144.86666666666696</v>
      </c>
      <c r="U321" s="21">
        <f t="shared" si="81"/>
        <v>159</v>
      </c>
      <c r="V321" s="21">
        <f t="shared" si="81"/>
        <v>167.8333333333336</v>
      </c>
      <c r="W321" s="22">
        <f t="shared" si="81"/>
        <v>136.03333333333336</v>
      </c>
      <c r="X321" s="22">
        <f t="shared" si="81"/>
        <v>150.1666666666664</v>
      </c>
      <c r="Y321" s="22">
        <f t="shared" si="81"/>
        <v>159</v>
      </c>
      <c r="Z321" s="23">
        <f t="shared" si="81"/>
        <v>127.19999999999976</v>
      </c>
      <c r="AA321" s="23">
        <f t="shared" si="81"/>
        <v>141.3333333333328</v>
      </c>
      <c r="AB321" s="23">
        <f t="shared" si="81"/>
        <v>150.1666666666664</v>
      </c>
      <c r="AC321" s="24">
        <f t="shared" si="81"/>
        <v>118.36666666666653</v>
      </c>
      <c r="AD321" s="24">
        <f t="shared" si="81"/>
        <v>132.5000000000004</v>
      </c>
      <c r="AE321" s="24">
        <f t="shared" si="81"/>
        <v>141.3333333333328</v>
      </c>
      <c r="AF321" s="25">
        <f t="shared" si="81"/>
        <v>109.53333333333316</v>
      </c>
      <c r="AG321" s="25">
        <f t="shared" si="81"/>
        <v>123.6666666666668</v>
      </c>
      <c r="AH321" s="25">
        <f t="shared" si="81"/>
        <v>132.5000000000004</v>
      </c>
      <c r="AI321" s="26">
        <f t="shared" si="81"/>
        <v>100.70000000000016</v>
      </c>
      <c r="AJ321" s="26">
        <f t="shared" si="84"/>
        <v>114.8333333333332</v>
      </c>
      <c r="AK321" s="26">
        <f t="shared" si="85"/>
        <v>123.6666666666668</v>
      </c>
    </row>
    <row r="322" spans="4:37" ht="20.100000000000001" customHeight="1">
      <c r="D322" s="27">
        <f t="shared" si="72"/>
        <v>0.88611111111110852</v>
      </c>
      <c r="E322" s="16">
        <f t="shared" si="83"/>
        <v>248.11111111111137</v>
      </c>
      <c r="F322" s="16">
        <f t="shared" si="83"/>
        <v>262.28888888889003</v>
      </c>
      <c r="G322" s="16">
        <f t="shared" si="83"/>
        <v>271.14999999999907</v>
      </c>
      <c r="H322" s="17">
        <f t="shared" si="83"/>
        <v>230.38888888888863</v>
      </c>
      <c r="I322" s="17">
        <f t="shared" si="83"/>
        <v>244.56666666666686</v>
      </c>
      <c r="J322" s="17">
        <f t="shared" si="83"/>
        <v>253.42777777777854</v>
      </c>
      <c r="K322" s="18">
        <f t="shared" si="83"/>
        <v>212.66666666666706</v>
      </c>
      <c r="L322" s="18">
        <f t="shared" si="83"/>
        <v>226.84444444444455</v>
      </c>
      <c r="M322" s="18">
        <f t="shared" si="83"/>
        <v>235.70555555555592</v>
      </c>
      <c r="N322" s="19">
        <f t="shared" si="83"/>
        <v>163.04444444444408</v>
      </c>
      <c r="O322" s="19">
        <f t="shared" si="83"/>
        <v>177.22222222222274</v>
      </c>
      <c r="P322" s="19">
        <f t="shared" si="83"/>
        <v>186.08333333333294</v>
      </c>
      <c r="Q322" s="20">
        <f t="shared" si="83"/>
        <v>154.18333333333388</v>
      </c>
      <c r="R322" s="20">
        <f t="shared" si="83"/>
        <v>168.36111111111137</v>
      </c>
      <c r="S322" s="20">
        <f t="shared" si="83"/>
        <v>177.22222222222274</v>
      </c>
      <c r="T322" s="21">
        <f t="shared" si="83"/>
        <v>145.32222222222251</v>
      </c>
      <c r="U322" s="21">
        <f t="shared" si="81"/>
        <v>159.5</v>
      </c>
      <c r="V322" s="21">
        <f t="shared" si="81"/>
        <v>168.36111111111137</v>
      </c>
      <c r="W322" s="22">
        <f t="shared" si="81"/>
        <v>136.46111111111114</v>
      </c>
      <c r="X322" s="22">
        <f t="shared" si="81"/>
        <v>150.63888888888863</v>
      </c>
      <c r="Y322" s="22">
        <f t="shared" si="81"/>
        <v>159.5</v>
      </c>
      <c r="Z322" s="23">
        <f t="shared" si="81"/>
        <v>127.59999999999977</v>
      </c>
      <c r="AA322" s="23">
        <f t="shared" si="81"/>
        <v>141.77777777777726</v>
      </c>
      <c r="AB322" s="23">
        <f t="shared" si="81"/>
        <v>150.63888888888863</v>
      </c>
      <c r="AC322" s="24">
        <f t="shared" si="81"/>
        <v>118.73888888888875</v>
      </c>
      <c r="AD322" s="24">
        <f t="shared" si="81"/>
        <v>132.91666666666706</v>
      </c>
      <c r="AE322" s="24">
        <f t="shared" si="81"/>
        <v>141.77777777777726</v>
      </c>
      <c r="AF322" s="25">
        <f t="shared" si="81"/>
        <v>109.87777777777761</v>
      </c>
      <c r="AG322" s="25">
        <f t="shared" si="81"/>
        <v>124.05555555555569</v>
      </c>
      <c r="AH322" s="25">
        <f t="shared" si="81"/>
        <v>132.91666666666706</v>
      </c>
      <c r="AI322" s="26">
        <f t="shared" si="81"/>
        <v>101.01666666666682</v>
      </c>
      <c r="AJ322" s="26">
        <f t="shared" si="84"/>
        <v>115.19444444444431</v>
      </c>
      <c r="AK322" s="26">
        <f t="shared" si="85"/>
        <v>124.05555555555569</v>
      </c>
    </row>
    <row r="323" spans="4:37" ht="20.100000000000001" customHeight="1">
      <c r="D323" s="27">
        <f t="shared" si="72"/>
        <v>0.88888888888888629</v>
      </c>
      <c r="E323" s="16">
        <f t="shared" si="83"/>
        <v>248.88888888888914</v>
      </c>
      <c r="F323" s="16">
        <f t="shared" si="83"/>
        <v>263.11111111111222</v>
      </c>
      <c r="G323" s="16">
        <f t="shared" si="83"/>
        <v>271.99999999999909</v>
      </c>
      <c r="H323" s="17">
        <f t="shared" si="83"/>
        <v>231.11111111111086</v>
      </c>
      <c r="I323" s="17">
        <f t="shared" si="83"/>
        <v>245.33333333333354</v>
      </c>
      <c r="J323" s="17">
        <f t="shared" si="83"/>
        <v>254.222222222223</v>
      </c>
      <c r="K323" s="18">
        <f t="shared" si="83"/>
        <v>213.33333333333371</v>
      </c>
      <c r="L323" s="18">
        <f t="shared" si="83"/>
        <v>227.55555555555566</v>
      </c>
      <c r="M323" s="18">
        <f t="shared" si="83"/>
        <v>236.4444444444448</v>
      </c>
      <c r="N323" s="19">
        <f t="shared" si="83"/>
        <v>163.5555555555552</v>
      </c>
      <c r="O323" s="19">
        <f t="shared" si="83"/>
        <v>177.77777777777828</v>
      </c>
      <c r="P323" s="19">
        <f t="shared" si="83"/>
        <v>186.66666666666629</v>
      </c>
      <c r="Q323" s="20">
        <f t="shared" si="83"/>
        <v>154.6666666666672</v>
      </c>
      <c r="R323" s="20">
        <f t="shared" si="83"/>
        <v>168.88888888888914</v>
      </c>
      <c r="S323" s="20">
        <f t="shared" si="83"/>
        <v>177.77777777777828</v>
      </c>
      <c r="T323" s="21">
        <f>T324-(T$363/360)</f>
        <v>145.77777777777806</v>
      </c>
      <c r="U323" s="21">
        <f t="shared" si="81"/>
        <v>160</v>
      </c>
      <c r="V323" s="21">
        <f t="shared" si="81"/>
        <v>168.88888888888914</v>
      </c>
      <c r="W323" s="22">
        <f t="shared" si="81"/>
        <v>136.88888888888891</v>
      </c>
      <c r="X323" s="22">
        <f t="shared" si="81"/>
        <v>151.11111111111086</v>
      </c>
      <c r="Y323" s="22">
        <f t="shared" si="81"/>
        <v>160</v>
      </c>
      <c r="Z323" s="23">
        <f t="shared" si="81"/>
        <v>127.99999999999977</v>
      </c>
      <c r="AA323" s="23">
        <f t="shared" si="81"/>
        <v>142.22222222222172</v>
      </c>
      <c r="AB323" s="23">
        <f t="shared" si="81"/>
        <v>151.11111111111086</v>
      </c>
      <c r="AC323" s="24">
        <f t="shared" si="81"/>
        <v>119.11111111111097</v>
      </c>
      <c r="AD323" s="24">
        <f t="shared" si="81"/>
        <v>133.33333333333371</v>
      </c>
      <c r="AE323" s="24">
        <f t="shared" si="81"/>
        <v>142.22222222222172</v>
      </c>
      <c r="AF323" s="25">
        <f t="shared" si="81"/>
        <v>110.22222222222206</v>
      </c>
      <c r="AG323" s="25">
        <f t="shared" si="81"/>
        <v>124.44444444444457</v>
      </c>
      <c r="AH323" s="25">
        <f t="shared" si="81"/>
        <v>133.33333333333371</v>
      </c>
      <c r="AI323" s="26">
        <f t="shared" si="81"/>
        <v>101.33333333333348</v>
      </c>
      <c r="AJ323" s="26">
        <f t="shared" si="84"/>
        <v>115.55555555555543</v>
      </c>
      <c r="AK323" s="26">
        <f t="shared" si="85"/>
        <v>124.44444444444457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249.66666666666691</v>
      </c>
      <c r="F324" s="16">
        <f t="shared" si="86"/>
        <v>263.93333333333442</v>
      </c>
      <c r="G324" s="16">
        <f t="shared" si="86"/>
        <v>272.84999999999911</v>
      </c>
      <c r="H324" s="17">
        <f t="shared" si="86"/>
        <v>231.83333333333309</v>
      </c>
      <c r="I324" s="17">
        <f t="shared" si="86"/>
        <v>246.10000000000022</v>
      </c>
      <c r="J324" s="17">
        <f t="shared" si="86"/>
        <v>255.01666666666745</v>
      </c>
      <c r="K324" s="18">
        <f t="shared" si="86"/>
        <v>214.00000000000037</v>
      </c>
      <c r="L324" s="18">
        <f t="shared" si="86"/>
        <v>228.26666666666677</v>
      </c>
      <c r="M324" s="18">
        <f t="shared" si="86"/>
        <v>237.18333333333368</v>
      </c>
      <c r="N324" s="19">
        <f t="shared" si="86"/>
        <v>164.06666666666632</v>
      </c>
      <c r="O324" s="19">
        <f t="shared" si="86"/>
        <v>178.33333333333383</v>
      </c>
      <c r="P324" s="19">
        <f t="shared" si="86"/>
        <v>187.24999999999963</v>
      </c>
      <c r="Q324" s="20">
        <f t="shared" si="86"/>
        <v>155.15000000000052</v>
      </c>
      <c r="R324" s="20">
        <f t="shared" si="86"/>
        <v>169.41666666666691</v>
      </c>
      <c r="S324" s="20">
        <f t="shared" si="86"/>
        <v>178.33333333333383</v>
      </c>
      <c r="T324" s="21">
        <f t="shared" si="86"/>
        <v>146.2333333333336</v>
      </c>
      <c r="U324" s="21">
        <f t="shared" ref="U324:AJ339" si="87">U325-(U$363/360)</f>
        <v>160.5</v>
      </c>
      <c r="V324" s="21">
        <f t="shared" si="87"/>
        <v>169.41666666666691</v>
      </c>
      <c r="W324" s="22">
        <f t="shared" si="87"/>
        <v>137.31666666666669</v>
      </c>
      <c r="X324" s="22">
        <f t="shared" si="87"/>
        <v>151.58333333333309</v>
      </c>
      <c r="Y324" s="22">
        <f t="shared" si="87"/>
        <v>160.5</v>
      </c>
      <c r="Z324" s="23">
        <f t="shared" si="87"/>
        <v>128.39999999999978</v>
      </c>
      <c r="AA324" s="23">
        <f t="shared" si="87"/>
        <v>142.66666666666617</v>
      </c>
      <c r="AB324" s="23">
        <f t="shared" si="87"/>
        <v>151.58333333333309</v>
      </c>
      <c r="AC324" s="24">
        <f t="shared" si="87"/>
        <v>119.48333333333319</v>
      </c>
      <c r="AD324" s="24">
        <f t="shared" si="87"/>
        <v>133.75000000000037</v>
      </c>
      <c r="AE324" s="24">
        <f t="shared" si="87"/>
        <v>142.66666666666617</v>
      </c>
      <c r="AF324" s="25">
        <f t="shared" si="87"/>
        <v>110.56666666666651</v>
      </c>
      <c r="AG324" s="25">
        <f t="shared" si="87"/>
        <v>124.83333333333346</v>
      </c>
      <c r="AH324" s="25">
        <f t="shared" si="87"/>
        <v>133.75000000000037</v>
      </c>
      <c r="AI324" s="26">
        <f t="shared" si="87"/>
        <v>101.65000000000015</v>
      </c>
      <c r="AJ324" s="26">
        <f t="shared" si="87"/>
        <v>115.91666666666654</v>
      </c>
      <c r="AK324" s="26">
        <f>AK325-(AK$363/360)</f>
        <v>124.83333333333346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250.44444444444468</v>
      </c>
      <c r="F325" s="16">
        <f t="shared" si="86"/>
        <v>264.75555555555661</v>
      </c>
      <c r="G325" s="16">
        <f t="shared" si="86"/>
        <v>273.69999999999914</v>
      </c>
      <c r="H325" s="17">
        <f t="shared" si="86"/>
        <v>232.55555555555532</v>
      </c>
      <c r="I325" s="17">
        <f t="shared" si="86"/>
        <v>246.8666666666669</v>
      </c>
      <c r="J325" s="17">
        <f t="shared" si="86"/>
        <v>255.8111111111119</v>
      </c>
      <c r="K325" s="18">
        <f t="shared" si="86"/>
        <v>214.66666666666703</v>
      </c>
      <c r="L325" s="18">
        <f t="shared" si="86"/>
        <v>228.97777777777787</v>
      </c>
      <c r="M325" s="18">
        <f t="shared" si="86"/>
        <v>237.92222222222256</v>
      </c>
      <c r="N325" s="19">
        <f t="shared" si="86"/>
        <v>164.57777777777744</v>
      </c>
      <c r="O325" s="19">
        <f t="shared" si="86"/>
        <v>178.88888888888937</v>
      </c>
      <c r="P325" s="19">
        <f t="shared" si="86"/>
        <v>187.83333333333297</v>
      </c>
      <c r="Q325" s="20">
        <f t="shared" si="86"/>
        <v>155.63333333333384</v>
      </c>
      <c r="R325" s="20">
        <f t="shared" si="86"/>
        <v>169.94444444444468</v>
      </c>
      <c r="S325" s="20">
        <f t="shared" si="86"/>
        <v>178.88888888888937</v>
      </c>
      <c r="T325" s="21">
        <f t="shared" si="86"/>
        <v>146.68888888888915</v>
      </c>
      <c r="U325" s="21">
        <f t="shared" si="87"/>
        <v>161</v>
      </c>
      <c r="V325" s="21">
        <f t="shared" si="87"/>
        <v>169.94444444444468</v>
      </c>
      <c r="W325" s="22">
        <f t="shared" si="87"/>
        <v>137.74444444444447</v>
      </c>
      <c r="X325" s="22">
        <f t="shared" si="87"/>
        <v>152.05555555555532</v>
      </c>
      <c r="Y325" s="22">
        <f t="shared" si="87"/>
        <v>161</v>
      </c>
      <c r="Z325" s="23">
        <f t="shared" si="87"/>
        <v>128.79999999999978</v>
      </c>
      <c r="AA325" s="23">
        <f t="shared" si="87"/>
        <v>143.11111111111063</v>
      </c>
      <c r="AB325" s="23">
        <f t="shared" si="87"/>
        <v>152.05555555555532</v>
      </c>
      <c r="AC325" s="24">
        <f t="shared" si="87"/>
        <v>119.85555555555541</v>
      </c>
      <c r="AD325" s="24">
        <f t="shared" si="87"/>
        <v>134.16666666666703</v>
      </c>
      <c r="AE325" s="24">
        <f t="shared" si="87"/>
        <v>143.11111111111063</v>
      </c>
      <c r="AF325" s="25">
        <f t="shared" si="87"/>
        <v>110.91111111111096</v>
      </c>
      <c r="AG325" s="25">
        <f t="shared" si="87"/>
        <v>125.22222222222234</v>
      </c>
      <c r="AH325" s="25">
        <f t="shared" si="87"/>
        <v>134.16666666666703</v>
      </c>
      <c r="AI325" s="26">
        <f t="shared" si="87"/>
        <v>101.96666666666681</v>
      </c>
      <c r="AJ325" s="26">
        <f t="shared" si="87"/>
        <v>116.27777777777766</v>
      </c>
      <c r="AK325" s="26">
        <f t="shared" ref="AK325:AK362" si="89">AK326-(AK$363/360)</f>
        <v>125.22222222222234</v>
      </c>
    </row>
    <row r="326" spans="4:37" ht="20.100000000000001" customHeight="1">
      <c r="D326" s="27">
        <f t="shared" si="88"/>
        <v>0.89722222222221959</v>
      </c>
      <c r="E326" s="16">
        <f t="shared" si="86"/>
        <v>251.22222222222246</v>
      </c>
      <c r="F326" s="16">
        <f t="shared" si="86"/>
        <v>265.57777777777881</v>
      </c>
      <c r="G326" s="16">
        <f t="shared" si="86"/>
        <v>274.54999999999916</v>
      </c>
      <c r="H326" s="17">
        <f t="shared" si="86"/>
        <v>233.27777777777754</v>
      </c>
      <c r="I326" s="17">
        <f t="shared" si="86"/>
        <v>247.63333333333358</v>
      </c>
      <c r="J326" s="17">
        <f t="shared" si="86"/>
        <v>256.60555555555635</v>
      </c>
      <c r="K326" s="18">
        <f t="shared" si="86"/>
        <v>215.33333333333368</v>
      </c>
      <c r="L326" s="18">
        <f t="shared" si="86"/>
        <v>229.68888888888898</v>
      </c>
      <c r="M326" s="18">
        <f t="shared" si="86"/>
        <v>238.66111111111144</v>
      </c>
      <c r="N326" s="19">
        <f t="shared" si="86"/>
        <v>165.08888888888856</v>
      </c>
      <c r="O326" s="19">
        <f t="shared" si="86"/>
        <v>179.44444444444491</v>
      </c>
      <c r="P326" s="19">
        <f t="shared" si="86"/>
        <v>188.41666666666632</v>
      </c>
      <c r="Q326" s="20">
        <f t="shared" si="86"/>
        <v>156.11666666666716</v>
      </c>
      <c r="R326" s="20">
        <f t="shared" si="86"/>
        <v>170.47222222222246</v>
      </c>
      <c r="S326" s="20">
        <f t="shared" si="86"/>
        <v>179.44444444444491</v>
      </c>
      <c r="T326" s="21">
        <f t="shared" si="86"/>
        <v>147.1444444444447</v>
      </c>
      <c r="U326" s="21">
        <f t="shared" si="87"/>
        <v>161.5</v>
      </c>
      <c r="V326" s="21">
        <f t="shared" si="87"/>
        <v>170.47222222222246</v>
      </c>
      <c r="W326" s="22">
        <f t="shared" si="87"/>
        <v>138.17222222222225</v>
      </c>
      <c r="X326" s="22">
        <f t="shared" si="87"/>
        <v>152.52777777777754</v>
      </c>
      <c r="Y326" s="22">
        <f t="shared" si="87"/>
        <v>161.5</v>
      </c>
      <c r="Z326" s="23">
        <f t="shared" si="87"/>
        <v>129.19999999999979</v>
      </c>
      <c r="AA326" s="23">
        <f t="shared" si="87"/>
        <v>143.55555555555509</v>
      </c>
      <c r="AB326" s="23">
        <f t="shared" si="87"/>
        <v>152.52777777777754</v>
      </c>
      <c r="AC326" s="24">
        <f t="shared" si="87"/>
        <v>120.22777777777763</v>
      </c>
      <c r="AD326" s="24">
        <f t="shared" si="87"/>
        <v>134.58333333333368</v>
      </c>
      <c r="AE326" s="24">
        <f t="shared" si="87"/>
        <v>143.55555555555509</v>
      </c>
      <c r="AF326" s="25">
        <f t="shared" si="87"/>
        <v>111.2555555555554</v>
      </c>
      <c r="AG326" s="25">
        <f t="shared" si="87"/>
        <v>125.61111111111123</v>
      </c>
      <c r="AH326" s="25">
        <f t="shared" si="87"/>
        <v>134.58333333333368</v>
      </c>
      <c r="AI326" s="26">
        <f t="shared" si="87"/>
        <v>102.28333333333347</v>
      </c>
      <c r="AJ326" s="26">
        <f t="shared" si="87"/>
        <v>116.63888888888877</v>
      </c>
      <c r="AK326" s="26">
        <f t="shared" si="89"/>
        <v>125.61111111111123</v>
      </c>
    </row>
    <row r="327" spans="4:37" ht="20.100000000000001" customHeight="1">
      <c r="D327" s="27">
        <f t="shared" si="88"/>
        <v>0.89999999999999736</v>
      </c>
      <c r="E327" s="16">
        <f t="shared" si="86"/>
        <v>252.00000000000023</v>
      </c>
      <c r="F327" s="16">
        <f t="shared" si="86"/>
        <v>266.400000000001</v>
      </c>
      <c r="G327" s="16">
        <f t="shared" si="86"/>
        <v>275.39999999999918</v>
      </c>
      <c r="H327" s="17">
        <f t="shared" si="86"/>
        <v>233.99999999999977</v>
      </c>
      <c r="I327" s="17">
        <f t="shared" si="86"/>
        <v>248.40000000000026</v>
      </c>
      <c r="J327" s="17">
        <f t="shared" si="86"/>
        <v>257.40000000000077</v>
      </c>
      <c r="K327" s="18">
        <f t="shared" si="86"/>
        <v>216.00000000000034</v>
      </c>
      <c r="L327" s="18">
        <f t="shared" si="86"/>
        <v>230.40000000000009</v>
      </c>
      <c r="M327" s="18">
        <f t="shared" si="86"/>
        <v>239.40000000000032</v>
      </c>
      <c r="N327" s="19">
        <f t="shared" si="86"/>
        <v>165.59999999999968</v>
      </c>
      <c r="O327" s="19">
        <f t="shared" si="86"/>
        <v>180.00000000000045</v>
      </c>
      <c r="P327" s="19">
        <f t="shared" si="86"/>
        <v>188.99999999999966</v>
      </c>
      <c r="Q327" s="20">
        <f t="shared" si="86"/>
        <v>156.60000000000048</v>
      </c>
      <c r="R327" s="20">
        <f t="shared" si="86"/>
        <v>171.00000000000023</v>
      </c>
      <c r="S327" s="20">
        <f t="shared" si="86"/>
        <v>180.00000000000045</v>
      </c>
      <c r="T327" s="21">
        <f t="shared" si="86"/>
        <v>147.60000000000025</v>
      </c>
      <c r="U327" s="21">
        <f t="shared" si="87"/>
        <v>162</v>
      </c>
      <c r="V327" s="21">
        <f t="shared" si="87"/>
        <v>171.00000000000023</v>
      </c>
      <c r="W327" s="22">
        <f t="shared" si="87"/>
        <v>138.60000000000002</v>
      </c>
      <c r="X327" s="22">
        <f t="shared" si="87"/>
        <v>152.99999999999977</v>
      </c>
      <c r="Y327" s="22">
        <f t="shared" si="87"/>
        <v>162</v>
      </c>
      <c r="Z327" s="23">
        <f t="shared" si="87"/>
        <v>129.5999999999998</v>
      </c>
      <c r="AA327" s="23">
        <f t="shared" si="87"/>
        <v>143.99999999999955</v>
      </c>
      <c r="AB327" s="23">
        <f t="shared" si="87"/>
        <v>152.99999999999977</v>
      </c>
      <c r="AC327" s="24">
        <f t="shared" si="87"/>
        <v>120.59999999999985</v>
      </c>
      <c r="AD327" s="24">
        <f t="shared" si="87"/>
        <v>135.00000000000034</v>
      </c>
      <c r="AE327" s="24">
        <f t="shared" si="87"/>
        <v>143.99999999999955</v>
      </c>
      <c r="AF327" s="25">
        <f t="shared" si="87"/>
        <v>111.59999999999985</v>
      </c>
      <c r="AG327" s="25">
        <f t="shared" si="87"/>
        <v>126.00000000000011</v>
      </c>
      <c r="AH327" s="25">
        <f t="shared" si="87"/>
        <v>135.00000000000034</v>
      </c>
      <c r="AI327" s="26">
        <f t="shared" si="87"/>
        <v>102.60000000000014</v>
      </c>
      <c r="AJ327" s="26">
        <f t="shared" si="87"/>
        <v>116.99999999999989</v>
      </c>
      <c r="AK327" s="26">
        <f t="shared" si="89"/>
        <v>126.00000000000011</v>
      </c>
    </row>
    <row r="328" spans="4:37" ht="20.100000000000001" customHeight="1">
      <c r="D328" s="27">
        <f t="shared" si="88"/>
        <v>0.90277777777777513</v>
      </c>
      <c r="E328" s="16">
        <f t="shared" si="86"/>
        <v>252.777777777778</v>
      </c>
      <c r="F328" s="16">
        <f t="shared" si="86"/>
        <v>267.22222222222319</v>
      </c>
      <c r="G328" s="16">
        <f t="shared" si="86"/>
        <v>276.2499999999992</v>
      </c>
      <c r="H328" s="17">
        <f t="shared" si="86"/>
        <v>234.722222222222</v>
      </c>
      <c r="I328" s="17">
        <f t="shared" si="86"/>
        <v>249.16666666666694</v>
      </c>
      <c r="J328" s="17">
        <f t="shared" si="86"/>
        <v>258.1944444444452</v>
      </c>
      <c r="K328" s="18">
        <f t="shared" si="86"/>
        <v>216.666666666667</v>
      </c>
      <c r="L328" s="18">
        <f t="shared" si="86"/>
        <v>231.1111111111112</v>
      </c>
      <c r="M328" s="18">
        <f t="shared" si="86"/>
        <v>240.1388888888892</v>
      </c>
      <c r="N328" s="19">
        <f t="shared" si="86"/>
        <v>166.1111111111108</v>
      </c>
      <c r="O328" s="19">
        <f t="shared" si="86"/>
        <v>180.555555555556</v>
      </c>
      <c r="P328" s="19">
        <f t="shared" si="86"/>
        <v>189.583333333333</v>
      </c>
      <c r="Q328" s="20">
        <f t="shared" si="86"/>
        <v>157.0833333333338</v>
      </c>
      <c r="R328" s="20">
        <f t="shared" si="86"/>
        <v>171.527777777778</v>
      </c>
      <c r="S328" s="20">
        <f t="shared" si="86"/>
        <v>180.555555555556</v>
      </c>
      <c r="T328" s="21">
        <f t="shared" si="86"/>
        <v>148.0555555555558</v>
      </c>
      <c r="U328" s="21">
        <f t="shared" si="87"/>
        <v>162.5</v>
      </c>
      <c r="V328" s="21">
        <f t="shared" si="87"/>
        <v>171.527777777778</v>
      </c>
      <c r="W328" s="22">
        <f t="shared" si="87"/>
        <v>139.0277777777778</v>
      </c>
      <c r="X328" s="22">
        <f t="shared" si="87"/>
        <v>153.472222222222</v>
      </c>
      <c r="Y328" s="22">
        <f t="shared" si="87"/>
        <v>162.5</v>
      </c>
      <c r="Z328" s="23">
        <f t="shared" si="87"/>
        <v>129.9999999999998</v>
      </c>
      <c r="AA328" s="23">
        <f t="shared" si="87"/>
        <v>144.444444444444</v>
      </c>
      <c r="AB328" s="23">
        <f t="shared" si="87"/>
        <v>153.472222222222</v>
      </c>
      <c r="AC328" s="24">
        <f t="shared" si="87"/>
        <v>120.97222222222207</v>
      </c>
      <c r="AD328" s="24">
        <f t="shared" si="87"/>
        <v>135.416666666667</v>
      </c>
      <c r="AE328" s="24">
        <f t="shared" si="87"/>
        <v>144.444444444444</v>
      </c>
      <c r="AF328" s="25">
        <f t="shared" si="87"/>
        <v>111.9444444444443</v>
      </c>
      <c r="AG328" s="25">
        <f t="shared" si="87"/>
        <v>126.388888888889</v>
      </c>
      <c r="AH328" s="25">
        <f t="shared" si="87"/>
        <v>135.416666666667</v>
      </c>
      <c r="AI328" s="26">
        <f t="shared" si="87"/>
        <v>102.9166666666668</v>
      </c>
      <c r="AJ328" s="26">
        <f t="shared" si="87"/>
        <v>117.361111111111</v>
      </c>
      <c r="AK328" s="26">
        <f t="shared" si="89"/>
        <v>126.388888888889</v>
      </c>
    </row>
    <row r="329" spans="4:37" ht="20.100000000000001" customHeight="1">
      <c r="D329" s="27">
        <f t="shared" si="88"/>
        <v>0.90555555555555289</v>
      </c>
      <c r="E329" s="16">
        <f t="shared" si="86"/>
        <v>253.55555555555577</v>
      </c>
      <c r="F329" s="16">
        <f t="shared" si="86"/>
        <v>268.04444444444539</v>
      </c>
      <c r="G329" s="16">
        <f t="shared" si="86"/>
        <v>277.09999999999923</v>
      </c>
      <c r="H329" s="17">
        <f t="shared" si="86"/>
        <v>235.44444444444423</v>
      </c>
      <c r="I329" s="17">
        <f t="shared" si="86"/>
        <v>249.93333333333362</v>
      </c>
      <c r="J329" s="17">
        <f t="shared" si="86"/>
        <v>258.98888888888962</v>
      </c>
      <c r="K329" s="18">
        <f t="shared" si="86"/>
        <v>217.33333333333366</v>
      </c>
      <c r="L329" s="18">
        <f t="shared" si="86"/>
        <v>231.82222222222231</v>
      </c>
      <c r="M329" s="18">
        <f t="shared" si="86"/>
        <v>240.87777777777808</v>
      </c>
      <c r="N329" s="19">
        <f t="shared" si="86"/>
        <v>166.62222222222192</v>
      </c>
      <c r="O329" s="19">
        <f t="shared" si="86"/>
        <v>181.11111111111154</v>
      </c>
      <c r="P329" s="19">
        <f t="shared" si="86"/>
        <v>190.16666666666634</v>
      </c>
      <c r="Q329" s="20">
        <f t="shared" si="86"/>
        <v>157.56666666666712</v>
      </c>
      <c r="R329" s="20">
        <f t="shared" si="86"/>
        <v>172.05555555555577</v>
      </c>
      <c r="S329" s="20">
        <f t="shared" si="86"/>
        <v>181.11111111111154</v>
      </c>
      <c r="T329" s="21">
        <f t="shared" si="86"/>
        <v>148.51111111111135</v>
      </c>
      <c r="U329" s="21">
        <f t="shared" si="87"/>
        <v>163</v>
      </c>
      <c r="V329" s="21">
        <f t="shared" si="87"/>
        <v>172.05555555555577</v>
      </c>
      <c r="W329" s="22">
        <f t="shared" si="87"/>
        <v>139.45555555555558</v>
      </c>
      <c r="X329" s="22">
        <f t="shared" si="87"/>
        <v>153.94444444444423</v>
      </c>
      <c r="Y329" s="22">
        <f t="shared" si="87"/>
        <v>163</v>
      </c>
      <c r="Z329" s="23">
        <f t="shared" si="87"/>
        <v>130.39999999999981</v>
      </c>
      <c r="AA329" s="23">
        <f t="shared" si="87"/>
        <v>144.88888888888846</v>
      </c>
      <c r="AB329" s="23">
        <f t="shared" si="87"/>
        <v>153.94444444444423</v>
      </c>
      <c r="AC329" s="24">
        <f t="shared" si="87"/>
        <v>121.34444444444429</v>
      </c>
      <c r="AD329" s="24">
        <f t="shared" si="87"/>
        <v>135.83333333333366</v>
      </c>
      <c r="AE329" s="24">
        <f t="shared" si="87"/>
        <v>144.88888888888846</v>
      </c>
      <c r="AF329" s="25">
        <f t="shared" si="87"/>
        <v>112.28888888888875</v>
      </c>
      <c r="AG329" s="25">
        <f t="shared" si="87"/>
        <v>126.77777777777789</v>
      </c>
      <c r="AH329" s="25">
        <f t="shared" si="87"/>
        <v>135.83333333333366</v>
      </c>
      <c r="AI329" s="26">
        <f t="shared" si="87"/>
        <v>103.23333333333346</v>
      </c>
      <c r="AJ329" s="26">
        <f t="shared" si="87"/>
        <v>117.72222222222211</v>
      </c>
      <c r="AK329" s="26">
        <f t="shared" si="89"/>
        <v>126.77777777777789</v>
      </c>
    </row>
    <row r="330" spans="4:37" ht="20.100000000000001" customHeight="1">
      <c r="D330" s="27">
        <f t="shared" si="88"/>
        <v>0.90833333333333066</v>
      </c>
      <c r="E330" s="16">
        <f t="shared" si="86"/>
        <v>254.33333333333354</v>
      </c>
      <c r="F330" s="16">
        <f t="shared" si="86"/>
        <v>268.86666666666758</v>
      </c>
      <c r="G330" s="16">
        <f t="shared" si="86"/>
        <v>277.94999999999925</v>
      </c>
      <c r="H330" s="17">
        <f t="shared" si="86"/>
        <v>236.16666666666646</v>
      </c>
      <c r="I330" s="17">
        <f t="shared" si="86"/>
        <v>250.7000000000003</v>
      </c>
      <c r="J330" s="17">
        <f t="shared" si="86"/>
        <v>259.78333333333404</v>
      </c>
      <c r="K330" s="18">
        <f t="shared" si="86"/>
        <v>218.00000000000031</v>
      </c>
      <c r="L330" s="18">
        <f t="shared" si="86"/>
        <v>232.53333333333342</v>
      </c>
      <c r="M330" s="18">
        <f t="shared" si="86"/>
        <v>241.61666666666696</v>
      </c>
      <c r="N330" s="19">
        <f t="shared" si="86"/>
        <v>167.13333333333304</v>
      </c>
      <c r="O330" s="19">
        <f t="shared" si="86"/>
        <v>181.66666666666708</v>
      </c>
      <c r="P330" s="19">
        <f t="shared" si="86"/>
        <v>190.74999999999969</v>
      </c>
      <c r="Q330" s="20">
        <f t="shared" si="86"/>
        <v>158.05000000000044</v>
      </c>
      <c r="R330" s="20">
        <f t="shared" si="86"/>
        <v>172.58333333333354</v>
      </c>
      <c r="S330" s="20">
        <f t="shared" si="86"/>
        <v>181.66666666666708</v>
      </c>
      <c r="T330" s="21">
        <f t="shared" si="86"/>
        <v>148.9666666666669</v>
      </c>
      <c r="U330" s="21">
        <f t="shared" si="87"/>
        <v>163.5</v>
      </c>
      <c r="V330" s="21">
        <f t="shared" si="87"/>
        <v>172.58333333333354</v>
      </c>
      <c r="W330" s="22">
        <f t="shared" si="87"/>
        <v>139.88333333333335</v>
      </c>
      <c r="X330" s="22">
        <f t="shared" si="87"/>
        <v>154.41666666666646</v>
      </c>
      <c r="Y330" s="22">
        <f t="shared" si="87"/>
        <v>163.5</v>
      </c>
      <c r="Z330" s="23">
        <f t="shared" si="87"/>
        <v>130.79999999999981</v>
      </c>
      <c r="AA330" s="23">
        <f t="shared" si="87"/>
        <v>145.33333333333292</v>
      </c>
      <c r="AB330" s="23">
        <f t="shared" si="87"/>
        <v>154.41666666666646</v>
      </c>
      <c r="AC330" s="24">
        <f t="shared" si="87"/>
        <v>121.71666666666651</v>
      </c>
      <c r="AD330" s="24">
        <f t="shared" si="87"/>
        <v>136.25000000000031</v>
      </c>
      <c r="AE330" s="24">
        <f t="shared" si="87"/>
        <v>145.33333333333292</v>
      </c>
      <c r="AF330" s="25">
        <f t="shared" si="87"/>
        <v>112.6333333333332</v>
      </c>
      <c r="AG330" s="25">
        <f t="shared" si="87"/>
        <v>127.16666666666677</v>
      </c>
      <c r="AH330" s="25">
        <f t="shared" si="87"/>
        <v>136.25000000000031</v>
      </c>
      <c r="AI330" s="26">
        <f t="shared" si="87"/>
        <v>103.55000000000013</v>
      </c>
      <c r="AJ330" s="26">
        <f t="shared" si="87"/>
        <v>118.08333333333323</v>
      </c>
      <c r="AK330" s="26">
        <f t="shared" si="89"/>
        <v>127.16666666666677</v>
      </c>
    </row>
    <row r="331" spans="4:37" ht="20.100000000000001" customHeight="1">
      <c r="D331" s="27">
        <f t="shared" si="88"/>
        <v>0.91111111111110843</v>
      </c>
      <c r="E331" s="16">
        <f t="shared" si="86"/>
        <v>255.11111111111131</v>
      </c>
      <c r="F331" s="16">
        <f t="shared" si="86"/>
        <v>269.68888888888978</v>
      </c>
      <c r="G331" s="16">
        <f t="shared" si="86"/>
        <v>278.79999999999927</v>
      </c>
      <c r="H331" s="17">
        <f t="shared" si="86"/>
        <v>236.88888888888869</v>
      </c>
      <c r="I331" s="17">
        <f t="shared" si="86"/>
        <v>251.46666666666698</v>
      </c>
      <c r="J331" s="17">
        <f t="shared" si="86"/>
        <v>260.57777777777846</v>
      </c>
      <c r="K331" s="18">
        <f t="shared" si="86"/>
        <v>218.66666666666697</v>
      </c>
      <c r="L331" s="18">
        <f t="shared" si="86"/>
        <v>233.24444444444453</v>
      </c>
      <c r="M331" s="18">
        <f t="shared" si="86"/>
        <v>242.35555555555584</v>
      </c>
      <c r="N331" s="19">
        <f t="shared" si="86"/>
        <v>167.64444444444416</v>
      </c>
      <c r="O331" s="19">
        <f t="shared" si="86"/>
        <v>182.22222222222263</v>
      </c>
      <c r="P331" s="19">
        <f t="shared" si="86"/>
        <v>191.33333333333303</v>
      </c>
      <c r="Q331" s="20">
        <f t="shared" si="86"/>
        <v>158.53333333333376</v>
      </c>
      <c r="R331" s="20">
        <f t="shared" si="86"/>
        <v>173.11111111111131</v>
      </c>
      <c r="S331" s="20">
        <f t="shared" si="86"/>
        <v>182.22222222222263</v>
      </c>
      <c r="T331" s="21">
        <f t="shared" si="86"/>
        <v>149.42222222222244</v>
      </c>
      <c r="U331" s="21">
        <f t="shared" si="87"/>
        <v>164</v>
      </c>
      <c r="V331" s="21">
        <f t="shared" si="87"/>
        <v>173.11111111111131</v>
      </c>
      <c r="W331" s="22">
        <f t="shared" si="87"/>
        <v>140.31111111111113</v>
      </c>
      <c r="X331" s="22">
        <f t="shared" si="87"/>
        <v>154.88888888888869</v>
      </c>
      <c r="Y331" s="22">
        <f t="shared" si="87"/>
        <v>164</v>
      </c>
      <c r="Z331" s="23">
        <f t="shared" si="87"/>
        <v>131.19999999999982</v>
      </c>
      <c r="AA331" s="23">
        <f t="shared" si="87"/>
        <v>145.77777777777737</v>
      </c>
      <c r="AB331" s="23">
        <f t="shared" si="87"/>
        <v>154.88888888888869</v>
      </c>
      <c r="AC331" s="24">
        <f t="shared" si="87"/>
        <v>122.08888888888873</v>
      </c>
      <c r="AD331" s="24">
        <f t="shared" si="87"/>
        <v>136.66666666666697</v>
      </c>
      <c r="AE331" s="24">
        <f t="shared" si="87"/>
        <v>145.77777777777737</v>
      </c>
      <c r="AF331" s="25">
        <f t="shared" si="87"/>
        <v>112.97777777777765</v>
      </c>
      <c r="AG331" s="25">
        <f t="shared" si="87"/>
        <v>127.55555555555566</v>
      </c>
      <c r="AH331" s="25">
        <f t="shared" si="87"/>
        <v>136.66666666666697</v>
      </c>
      <c r="AI331" s="26">
        <f t="shared" si="87"/>
        <v>103.86666666666679</v>
      </c>
      <c r="AJ331" s="26">
        <f t="shared" si="87"/>
        <v>118.44444444444434</v>
      </c>
      <c r="AK331" s="26">
        <f t="shared" si="89"/>
        <v>127.55555555555566</v>
      </c>
    </row>
    <row r="332" spans="4:37" ht="20.100000000000001" customHeight="1">
      <c r="D332" s="27">
        <f t="shared" si="88"/>
        <v>0.9138888888888862</v>
      </c>
      <c r="E332" s="16">
        <f t="shared" si="86"/>
        <v>255.88888888888908</v>
      </c>
      <c r="F332" s="16">
        <f t="shared" si="86"/>
        <v>270.51111111111197</v>
      </c>
      <c r="G332" s="16">
        <f t="shared" si="86"/>
        <v>279.6499999999993</v>
      </c>
      <c r="H332" s="17">
        <f t="shared" si="86"/>
        <v>237.61111111111092</v>
      </c>
      <c r="I332" s="17">
        <f t="shared" si="86"/>
        <v>252.23333333333366</v>
      </c>
      <c r="J332" s="17">
        <f t="shared" si="86"/>
        <v>261.37222222222289</v>
      </c>
      <c r="K332" s="18">
        <f t="shared" si="86"/>
        <v>219.33333333333363</v>
      </c>
      <c r="L332" s="18">
        <f t="shared" si="86"/>
        <v>233.95555555555563</v>
      </c>
      <c r="M332" s="18">
        <f t="shared" si="86"/>
        <v>243.09444444444472</v>
      </c>
      <c r="N332" s="19">
        <f t="shared" si="86"/>
        <v>168.15555555555528</v>
      </c>
      <c r="O332" s="19">
        <f t="shared" si="86"/>
        <v>182.77777777777817</v>
      </c>
      <c r="P332" s="19">
        <f t="shared" si="86"/>
        <v>191.91666666666637</v>
      </c>
      <c r="Q332" s="20">
        <f t="shared" si="86"/>
        <v>159.01666666666708</v>
      </c>
      <c r="R332" s="20">
        <f t="shared" si="86"/>
        <v>173.63888888888908</v>
      </c>
      <c r="S332" s="20">
        <f t="shared" si="86"/>
        <v>182.77777777777817</v>
      </c>
      <c r="T332" s="21">
        <f t="shared" si="86"/>
        <v>149.87777777777799</v>
      </c>
      <c r="U332" s="21">
        <f t="shared" si="87"/>
        <v>164.5</v>
      </c>
      <c r="V332" s="21">
        <f t="shared" si="87"/>
        <v>173.63888888888908</v>
      </c>
      <c r="W332" s="22">
        <f t="shared" si="87"/>
        <v>140.73888888888891</v>
      </c>
      <c r="X332" s="22">
        <f t="shared" si="87"/>
        <v>155.36111111111092</v>
      </c>
      <c r="Y332" s="22">
        <f t="shared" si="87"/>
        <v>164.5</v>
      </c>
      <c r="Z332" s="23">
        <f t="shared" si="87"/>
        <v>131.59999999999982</v>
      </c>
      <c r="AA332" s="23">
        <f t="shared" si="87"/>
        <v>146.22222222222183</v>
      </c>
      <c r="AB332" s="23">
        <f t="shared" si="87"/>
        <v>155.36111111111092</v>
      </c>
      <c r="AC332" s="24">
        <f t="shared" si="87"/>
        <v>122.46111111111095</v>
      </c>
      <c r="AD332" s="24">
        <f t="shared" si="87"/>
        <v>137.08333333333363</v>
      </c>
      <c r="AE332" s="24">
        <f t="shared" si="87"/>
        <v>146.22222222222183</v>
      </c>
      <c r="AF332" s="25">
        <f t="shared" si="87"/>
        <v>113.32222222222209</v>
      </c>
      <c r="AG332" s="25">
        <f t="shared" si="87"/>
        <v>127.94444444444454</v>
      </c>
      <c r="AH332" s="25">
        <f t="shared" si="87"/>
        <v>137.08333333333363</v>
      </c>
      <c r="AI332" s="26">
        <f t="shared" si="87"/>
        <v>104.18333333333345</v>
      </c>
      <c r="AJ332" s="26">
        <f t="shared" si="87"/>
        <v>118.80555555555546</v>
      </c>
      <c r="AK332" s="26">
        <f t="shared" si="89"/>
        <v>127.94444444444454</v>
      </c>
    </row>
    <row r="333" spans="4:37" ht="20.100000000000001" customHeight="1">
      <c r="D333" s="27">
        <f t="shared" si="88"/>
        <v>0.91666666666666397</v>
      </c>
      <c r="E333" s="16">
        <f t="shared" si="86"/>
        <v>256.66666666666686</v>
      </c>
      <c r="F333" s="16">
        <f t="shared" si="86"/>
        <v>271.33333333333417</v>
      </c>
      <c r="G333" s="16">
        <f t="shared" si="86"/>
        <v>280.49999999999932</v>
      </c>
      <c r="H333" s="17">
        <f t="shared" si="86"/>
        <v>238.33333333333314</v>
      </c>
      <c r="I333" s="17">
        <f t="shared" si="86"/>
        <v>253.00000000000034</v>
      </c>
      <c r="J333" s="17">
        <f t="shared" si="86"/>
        <v>262.16666666666731</v>
      </c>
      <c r="K333" s="18">
        <f t="shared" si="86"/>
        <v>220.00000000000028</v>
      </c>
      <c r="L333" s="18">
        <f t="shared" si="86"/>
        <v>234.66666666666674</v>
      </c>
      <c r="M333" s="18">
        <f t="shared" si="86"/>
        <v>243.8333333333336</v>
      </c>
      <c r="N333" s="19">
        <f t="shared" si="86"/>
        <v>168.6666666666664</v>
      </c>
      <c r="O333" s="19">
        <f t="shared" si="86"/>
        <v>183.33333333333371</v>
      </c>
      <c r="P333" s="19">
        <f t="shared" si="86"/>
        <v>192.49999999999972</v>
      </c>
      <c r="Q333" s="20">
        <f t="shared" si="86"/>
        <v>159.5000000000004</v>
      </c>
      <c r="R333" s="20">
        <f t="shared" si="86"/>
        <v>174.16666666666686</v>
      </c>
      <c r="S333" s="20">
        <f t="shared" si="86"/>
        <v>183.33333333333371</v>
      </c>
      <c r="T333" s="21">
        <f t="shared" si="86"/>
        <v>150.33333333333354</v>
      </c>
      <c r="U333" s="21">
        <f t="shared" si="87"/>
        <v>165</v>
      </c>
      <c r="V333" s="21">
        <f t="shared" si="87"/>
        <v>174.16666666666686</v>
      </c>
      <c r="W333" s="22">
        <f t="shared" si="87"/>
        <v>141.16666666666669</v>
      </c>
      <c r="X333" s="22">
        <f t="shared" si="87"/>
        <v>155.83333333333314</v>
      </c>
      <c r="Y333" s="22">
        <f t="shared" si="87"/>
        <v>165</v>
      </c>
      <c r="Z333" s="23">
        <f t="shared" si="87"/>
        <v>131.99999999999983</v>
      </c>
      <c r="AA333" s="23">
        <f t="shared" si="87"/>
        <v>146.66666666666629</v>
      </c>
      <c r="AB333" s="23">
        <f t="shared" si="87"/>
        <v>155.83333333333314</v>
      </c>
      <c r="AC333" s="24">
        <f t="shared" si="87"/>
        <v>122.83333333333317</v>
      </c>
      <c r="AD333" s="24">
        <f t="shared" si="87"/>
        <v>137.50000000000028</v>
      </c>
      <c r="AE333" s="24">
        <f t="shared" si="87"/>
        <v>146.66666666666629</v>
      </c>
      <c r="AF333" s="25">
        <f t="shared" si="87"/>
        <v>113.66666666666654</v>
      </c>
      <c r="AG333" s="25">
        <f t="shared" si="87"/>
        <v>128.33333333333343</v>
      </c>
      <c r="AH333" s="25">
        <f t="shared" si="87"/>
        <v>137.50000000000028</v>
      </c>
      <c r="AI333" s="26">
        <f t="shared" si="87"/>
        <v>104.50000000000011</v>
      </c>
      <c r="AJ333" s="26">
        <f t="shared" si="87"/>
        <v>119.16666666666657</v>
      </c>
      <c r="AK333" s="26">
        <f t="shared" si="89"/>
        <v>128.33333333333343</v>
      </c>
    </row>
    <row r="334" spans="4:37" ht="20.100000000000001" customHeight="1">
      <c r="D334" s="27">
        <f t="shared" si="88"/>
        <v>0.91944444444444173</v>
      </c>
      <c r="E334" s="16">
        <f t="shared" si="86"/>
        <v>257.44444444444463</v>
      </c>
      <c r="F334" s="16">
        <f t="shared" si="86"/>
        <v>272.15555555555636</v>
      </c>
      <c r="G334" s="16">
        <f t="shared" si="86"/>
        <v>281.34999999999934</v>
      </c>
      <c r="H334" s="17">
        <f t="shared" si="86"/>
        <v>239.05555555555537</v>
      </c>
      <c r="I334" s="17">
        <f t="shared" si="86"/>
        <v>253.76666666666702</v>
      </c>
      <c r="J334" s="17">
        <f t="shared" si="86"/>
        <v>262.96111111111173</v>
      </c>
      <c r="K334" s="18">
        <f t="shared" si="86"/>
        <v>220.66666666666694</v>
      </c>
      <c r="L334" s="18">
        <f t="shared" si="86"/>
        <v>235.37777777777785</v>
      </c>
      <c r="M334" s="18">
        <f t="shared" si="86"/>
        <v>244.57222222222248</v>
      </c>
      <c r="N334" s="19">
        <f t="shared" si="86"/>
        <v>169.17777777777752</v>
      </c>
      <c r="O334" s="19">
        <f t="shared" si="86"/>
        <v>183.88888888888926</v>
      </c>
      <c r="P334" s="19">
        <f t="shared" si="86"/>
        <v>193.08333333333306</v>
      </c>
      <c r="Q334" s="20">
        <f t="shared" si="86"/>
        <v>159.98333333333372</v>
      </c>
      <c r="R334" s="20">
        <f t="shared" si="86"/>
        <v>174.69444444444463</v>
      </c>
      <c r="S334" s="20">
        <f t="shared" si="86"/>
        <v>183.88888888888926</v>
      </c>
      <c r="T334" s="21">
        <f t="shared" si="86"/>
        <v>150.78888888888909</v>
      </c>
      <c r="U334" s="21">
        <f t="shared" si="87"/>
        <v>165.5</v>
      </c>
      <c r="V334" s="21">
        <f t="shared" si="87"/>
        <v>174.69444444444463</v>
      </c>
      <c r="W334" s="22">
        <f t="shared" si="87"/>
        <v>141.59444444444446</v>
      </c>
      <c r="X334" s="22">
        <f t="shared" si="87"/>
        <v>156.30555555555537</v>
      </c>
      <c r="Y334" s="22">
        <f t="shared" si="87"/>
        <v>165.5</v>
      </c>
      <c r="Z334" s="23">
        <f t="shared" si="87"/>
        <v>132.39999999999984</v>
      </c>
      <c r="AA334" s="23">
        <f t="shared" si="87"/>
        <v>147.11111111111074</v>
      </c>
      <c r="AB334" s="23">
        <f t="shared" si="87"/>
        <v>156.30555555555537</v>
      </c>
      <c r="AC334" s="24">
        <f t="shared" si="87"/>
        <v>123.20555555555539</v>
      </c>
      <c r="AD334" s="24">
        <f t="shared" si="87"/>
        <v>137.91666666666694</v>
      </c>
      <c r="AE334" s="24">
        <f t="shared" si="87"/>
        <v>147.11111111111074</v>
      </c>
      <c r="AF334" s="25">
        <f t="shared" si="87"/>
        <v>114.01111111111099</v>
      </c>
      <c r="AG334" s="25">
        <f t="shared" si="87"/>
        <v>128.72222222222231</v>
      </c>
      <c r="AH334" s="25">
        <f t="shared" si="87"/>
        <v>137.91666666666694</v>
      </c>
      <c r="AI334" s="26">
        <f t="shared" si="87"/>
        <v>104.81666666666678</v>
      </c>
      <c r="AJ334" s="26">
        <f t="shared" si="87"/>
        <v>119.52777777777769</v>
      </c>
      <c r="AK334" s="26">
        <f t="shared" si="89"/>
        <v>128.72222222222231</v>
      </c>
    </row>
    <row r="335" spans="4:37" ht="20.100000000000001" customHeight="1">
      <c r="D335" s="27">
        <f t="shared" si="88"/>
        <v>0.9222222222222195</v>
      </c>
      <c r="E335" s="16">
        <f t="shared" si="86"/>
        <v>258.2222222222224</v>
      </c>
      <c r="F335" s="16">
        <f t="shared" si="86"/>
        <v>272.97777777777856</v>
      </c>
      <c r="G335" s="16">
        <f t="shared" si="86"/>
        <v>282.19999999999936</v>
      </c>
      <c r="H335" s="17">
        <f t="shared" si="86"/>
        <v>239.7777777777776</v>
      </c>
      <c r="I335" s="17">
        <f t="shared" si="86"/>
        <v>254.5333333333337</v>
      </c>
      <c r="J335" s="17">
        <f t="shared" si="86"/>
        <v>263.75555555555616</v>
      </c>
      <c r="K335" s="18">
        <f t="shared" si="86"/>
        <v>221.3333333333336</v>
      </c>
      <c r="L335" s="18">
        <f t="shared" si="86"/>
        <v>236.08888888888896</v>
      </c>
      <c r="M335" s="18">
        <f t="shared" si="86"/>
        <v>245.31111111111136</v>
      </c>
      <c r="N335" s="19">
        <f t="shared" si="86"/>
        <v>169.68888888888864</v>
      </c>
      <c r="O335" s="19">
        <f t="shared" si="86"/>
        <v>184.4444444444448</v>
      </c>
      <c r="P335" s="19">
        <f t="shared" si="86"/>
        <v>193.6666666666664</v>
      </c>
      <c r="Q335" s="20">
        <f t="shared" si="86"/>
        <v>160.46666666666704</v>
      </c>
      <c r="R335" s="20">
        <f t="shared" si="86"/>
        <v>175.2222222222224</v>
      </c>
      <c r="S335" s="20">
        <f t="shared" si="86"/>
        <v>184.4444444444448</v>
      </c>
      <c r="T335" s="21">
        <f t="shared" si="86"/>
        <v>151.24444444444464</v>
      </c>
      <c r="U335" s="21">
        <f t="shared" si="87"/>
        <v>166</v>
      </c>
      <c r="V335" s="21">
        <f t="shared" si="87"/>
        <v>175.2222222222224</v>
      </c>
      <c r="W335" s="22">
        <f t="shared" si="87"/>
        <v>142.02222222222224</v>
      </c>
      <c r="X335" s="22">
        <f t="shared" si="87"/>
        <v>156.7777777777776</v>
      </c>
      <c r="Y335" s="22">
        <f t="shared" si="87"/>
        <v>166</v>
      </c>
      <c r="Z335" s="23">
        <f t="shared" si="87"/>
        <v>132.79999999999984</v>
      </c>
      <c r="AA335" s="23">
        <f t="shared" si="87"/>
        <v>147.5555555555552</v>
      </c>
      <c r="AB335" s="23">
        <f t="shared" si="87"/>
        <v>156.7777777777776</v>
      </c>
      <c r="AC335" s="24">
        <f t="shared" si="87"/>
        <v>123.57777777777761</v>
      </c>
      <c r="AD335" s="24">
        <f t="shared" si="87"/>
        <v>138.3333333333336</v>
      </c>
      <c r="AE335" s="24">
        <f t="shared" si="87"/>
        <v>147.5555555555552</v>
      </c>
      <c r="AF335" s="25">
        <f t="shared" si="87"/>
        <v>114.35555555555544</v>
      </c>
      <c r="AG335" s="25">
        <f t="shared" si="87"/>
        <v>129.1111111111112</v>
      </c>
      <c r="AH335" s="25">
        <f t="shared" si="87"/>
        <v>138.3333333333336</v>
      </c>
      <c r="AI335" s="26">
        <f t="shared" si="87"/>
        <v>105.13333333333344</v>
      </c>
      <c r="AJ335" s="26">
        <f t="shared" si="87"/>
        <v>119.8888888888888</v>
      </c>
      <c r="AK335" s="26">
        <f t="shared" si="89"/>
        <v>129.1111111111112</v>
      </c>
    </row>
    <row r="336" spans="4:37" ht="20.100000000000001" customHeight="1">
      <c r="D336" s="27">
        <f t="shared" si="88"/>
        <v>0.92499999999999727</v>
      </c>
      <c r="E336" s="16">
        <f t="shared" si="86"/>
        <v>259.00000000000017</v>
      </c>
      <c r="F336" s="16">
        <f t="shared" si="86"/>
        <v>273.80000000000075</v>
      </c>
      <c r="G336" s="16">
        <f t="shared" si="86"/>
        <v>283.04999999999939</v>
      </c>
      <c r="H336" s="17">
        <f t="shared" si="86"/>
        <v>240.49999999999983</v>
      </c>
      <c r="I336" s="17">
        <f t="shared" si="86"/>
        <v>255.30000000000038</v>
      </c>
      <c r="J336" s="17">
        <f t="shared" si="86"/>
        <v>264.55000000000058</v>
      </c>
      <c r="K336" s="18">
        <f t="shared" si="86"/>
        <v>222.00000000000026</v>
      </c>
      <c r="L336" s="18">
        <f t="shared" si="86"/>
        <v>236.80000000000007</v>
      </c>
      <c r="M336" s="18">
        <f t="shared" si="86"/>
        <v>246.05000000000024</v>
      </c>
      <c r="N336" s="19">
        <f t="shared" si="86"/>
        <v>170.19999999999976</v>
      </c>
      <c r="O336" s="19">
        <f t="shared" si="86"/>
        <v>185.00000000000034</v>
      </c>
      <c r="P336" s="19">
        <f t="shared" si="86"/>
        <v>194.24999999999974</v>
      </c>
      <c r="Q336" s="20">
        <f t="shared" si="86"/>
        <v>160.95000000000036</v>
      </c>
      <c r="R336" s="20">
        <f t="shared" si="86"/>
        <v>175.75000000000017</v>
      </c>
      <c r="S336" s="20">
        <f t="shared" si="86"/>
        <v>185.00000000000034</v>
      </c>
      <c r="T336" s="21">
        <f t="shared" si="86"/>
        <v>151.70000000000019</v>
      </c>
      <c r="U336" s="21">
        <f t="shared" si="87"/>
        <v>166.5</v>
      </c>
      <c r="V336" s="21">
        <f t="shared" si="87"/>
        <v>175.75000000000017</v>
      </c>
      <c r="W336" s="22">
        <f t="shared" si="87"/>
        <v>142.45000000000002</v>
      </c>
      <c r="X336" s="22">
        <f t="shared" si="87"/>
        <v>157.24999999999983</v>
      </c>
      <c r="Y336" s="22">
        <f t="shared" si="87"/>
        <v>166.5</v>
      </c>
      <c r="Z336" s="23">
        <f t="shared" si="87"/>
        <v>133.19999999999985</v>
      </c>
      <c r="AA336" s="23">
        <f t="shared" si="87"/>
        <v>147.99999999999966</v>
      </c>
      <c r="AB336" s="23">
        <f t="shared" si="87"/>
        <v>157.24999999999983</v>
      </c>
      <c r="AC336" s="24">
        <f t="shared" si="87"/>
        <v>123.94999999999983</v>
      </c>
      <c r="AD336" s="24">
        <f t="shared" si="87"/>
        <v>138.75000000000026</v>
      </c>
      <c r="AE336" s="24">
        <f t="shared" si="87"/>
        <v>147.99999999999966</v>
      </c>
      <c r="AF336" s="25">
        <f t="shared" si="87"/>
        <v>114.69999999999989</v>
      </c>
      <c r="AG336" s="25">
        <f t="shared" si="87"/>
        <v>129.50000000000009</v>
      </c>
      <c r="AH336" s="25">
        <f t="shared" si="87"/>
        <v>138.75000000000026</v>
      </c>
      <c r="AI336" s="26">
        <f t="shared" si="87"/>
        <v>105.4500000000001</v>
      </c>
      <c r="AJ336" s="26">
        <f t="shared" si="87"/>
        <v>120.24999999999991</v>
      </c>
      <c r="AK336" s="26">
        <f t="shared" si="89"/>
        <v>129.50000000000009</v>
      </c>
    </row>
    <row r="337" spans="4:37" ht="20.100000000000001" customHeight="1">
      <c r="D337" s="27">
        <f t="shared" si="88"/>
        <v>0.92777777777777504</v>
      </c>
      <c r="E337" s="16">
        <f t="shared" si="86"/>
        <v>259.77777777777794</v>
      </c>
      <c r="F337" s="16">
        <f t="shared" si="86"/>
        <v>274.62222222222294</v>
      </c>
      <c r="G337" s="16">
        <f t="shared" si="86"/>
        <v>283.89999999999941</v>
      </c>
      <c r="H337" s="17">
        <f t="shared" si="86"/>
        <v>241.22222222222206</v>
      </c>
      <c r="I337" s="17">
        <f t="shared" si="86"/>
        <v>256.06666666666706</v>
      </c>
      <c r="J337" s="17">
        <f t="shared" si="86"/>
        <v>265.344444444445</v>
      </c>
      <c r="K337" s="18">
        <f t="shared" si="86"/>
        <v>222.66666666666691</v>
      </c>
      <c r="L337" s="18">
        <f t="shared" si="86"/>
        <v>237.51111111111118</v>
      </c>
      <c r="M337" s="18">
        <f t="shared" si="86"/>
        <v>246.78888888888912</v>
      </c>
      <c r="N337" s="19">
        <f t="shared" si="86"/>
        <v>170.71111111111088</v>
      </c>
      <c r="O337" s="19">
        <f t="shared" si="86"/>
        <v>185.55555555555588</v>
      </c>
      <c r="P337" s="19">
        <f t="shared" si="86"/>
        <v>194.83333333333309</v>
      </c>
      <c r="Q337" s="20">
        <f t="shared" si="86"/>
        <v>161.43333333333368</v>
      </c>
      <c r="R337" s="20">
        <f t="shared" si="86"/>
        <v>176.27777777777794</v>
      </c>
      <c r="S337" s="20">
        <f t="shared" si="86"/>
        <v>185.55555555555588</v>
      </c>
      <c r="T337" s="21">
        <f t="shared" si="86"/>
        <v>152.15555555555574</v>
      </c>
      <c r="U337" s="21">
        <f t="shared" si="87"/>
        <v>167</v>
      </c>
      <c r="V337" s="21">
        <f t="shared" si="87"/>
        <v>176.27777777777794</v>
      </c>
      <c r="W337" s="22">
        <f t="shared" si="87"/>
        <v>142.87777777777779</v>
      </c>
      <c r="X337" s="22">
        <f t="shared" si="87"/>
        <v>157.72222222222206</v>
      </c>
      <c r="Y337" s="22">
        <f t="shared" si="87"/>
        <v>167</v>
      </c>
      <c r="Z337" s="23">
        <f t="shared" si="87"/>
        <v>133.59999999999985</v>
      </c>
      <c r="AA337" s="23">
        <f t="shared" si="87"/>
        <v>148.44444444444412</v>
      </c>
      <c r="AB337" s="23">
        <f t="shared" si="87"/>
        <v>157.72222222222206</v>
      </c>
      <c r="AC337" s="24">
        <f t="shared" si="87"/>
        <v>124.32222222222205</v>
      </c>
      <c r="AD337" s="24">
        <f t="shared" si="87"/>
        <v>139.16666666666691</v>
      </c>
      <c r="AE337" s="24">
        <f t="shared" si="87"/>
        <v>148.44444444444412</v>
      </c>
      <c r="AF337" s="25">
        <f t="shared" si="87"/>
        <v>115.04444444444434</v>
      </c>
      <c r="AG337" s="25">
        <f t="shared" si="87"/>
        <v>129.88888888888897</v>
      </c>
      <c r="AH337" s="25">
        <f t="shared" si="87"/>
        <v>139.16666666666691</v>
      </c>
      <c r="AI337" s="26">
        <f t="shared" si="87"/>
        <v>105.76666666666677</v>
      </c>
      <c r="AJ337" s="26">
        <f t="shared" si="87"/>
        <v>120.61111111111103</v>
      </c>
      <c r="AK337" s="26">
        <f t="shared" si="89"/>
        <v>129.88888888888897</v>
      </c>
    </row>
    <row r="338" spans="4:37" ht="20.100000000000001" customHeight="1">
      <c r="D338" s="27">
        <f t="shared" si="88"/>
        <v>0.9305555555555528</v>
      </c>
      <c r="E338" s="16">
        <f t="shared" si="86"/>
        <v>260.55555555555571</v>
      </c>
      <c r="F338" s="16">
        <f t="shared" si="86"/>
        <v>275.44444444444514</v>
      </c>
      <c r="G338" s="16">
        <f t="shared" si="86"/>
        <v>284.74999999999943</v>
      </c>
      <c r="H338" s="17">
        <f t="shared" si="86"/>
        <v>241.94444444444429</v>
      </c>
      <c r="I338" s="17">
        <f t="shared" si="86"/>
        <v>256.83333333333371</v>
      </c>
      <c r="J338" s="17">
        <f t="shared" si="86"/>
        <v>266.13888888888943</v>
      </c>
      <c r="K338" s="18">
        <f t="shared" si="86"/>
        <v>223.33333333333357</v>
      </c>
      <c r="L338" s="18">
        <f t="shared" si="86"/>
        <v>238.22222222222229</v>
      </c>
      <c r="M338" s="18">
        <f t="shared" si="86"/>
        <v>247.527777777778</v>
      </c>
      <c r="N338" s="19">
        <f t="shared" si="86"/>
        <v>171.222222222222</v>
      </c>
      <c r="O338" s="19">
        <f t="shared" si="86"/>
        <v>186.11111111111143</v>
      </c>
      <c r="P338" s="19">
        <f t="shared" si="86"/>
        <v>195.41666666666643</v>
      </c>
      <c r="Q338" s="20">
        <f t="shared" si="86"/>
        <v>161.916666666667</v>
      </c>
      <c r="R338" s="20">
        <f t="shared" si="86"/>
        <v>176.80555555555571</v>
      </c>
      <c r="S338" s="20">
        <f t="shared" si="86"/>
        <v>186.11111111111143</v>
      </c>
      <c r="T338" s="21">
        <f t="shared" si="86"/>
        <v>152.61111111111128</v>
      </c>
      <c r="U338" s="21">
        <f t="shared" si="87"/>
        <v>167.5</v>
      </c>
      <c r="V338" s="21">
        <f t="shared" si="87"/>
        <v>176.80555555555571</v>
      </c>
      <c r="W338" s="22">
        <f t="shared" si="87"/>
        <v>143.30555555555557</v>
      </c>
      <c r="X338" s="22">
        <f t="shared" si="87"/>
        <v>158.19444444444429</v>
      </c>
      <c r="Y338" s="22">
        <f t="shared" si="87"/>
        <v>167.5</v>
      </c>
      <c r="Z338" s="23">
        <f t="shared" si="87"/>
        <v>133.99999999999986</v>
      </c>
      <c r="AA338" s="23">
        <f t="shared" si="87"/>
        <v>148.88888888888857</v>
      </c>
      <c r="AB338" s="23">
        <f t="shared" si="87"/>
        <v>158.19444444444429</v>
      </c>
      <c r="AC338" s="24">
        <f t="shared" si="87"/>
        <v>124.69444444444427</v>
      </c>
      <c r="AD338" s="24">
        <f t="shared" si="87"/>
        <v>139.58333333333357</v>
      </c>
      <c r="AE338" s="24">
        <f t="shared" si="87"/>
        <v>148.88888888888857</v>
      </c>
      <c r="AF338" s="25">
        <f t="shared" si="87"/>
        <v>115.38888888888879</v>
      </c>
      <c r="AG338" s="25">
        <f t="shared" si="87"/>
        <v>130.27777777777786</v>
      </c>
      <c r="AH338" s="25">
        <f t="shared" si="87"/>
        <v>139.58333333333357</v>
      </c>
      <c r="AI338" s="26">
        <f t="shared" si="87"/>
        <v>106.08333333333343</v>
      </c>
      <c r="AJ338" s="26">
        <f t="shared" si="87"/>
        <v>120.97222222222214</v>
      </c>
      <c r="AK338" s="26">
        <f t="shared" si="89"/>
        <v>130.27777777777786</v>
      </c>
    </row>
    <row r="339" spans="4:37" ht="20.100000000000001" customHeight="1">
      <c r="D339" s="27">
        <f t="shared" si="88"/>
        <v>0.93333333333333057</v>
      </c>
      <c r="E339" s="16">
        <f t="shared" si="86"/>
        <v>261.33333333333348</v>
      </c>
      <c r="F339" s="16">
        <f t="shared" si="86"/>
        <v>276.26666666666733</v>
      </c>
      <c r="G339" s="16">
        <f t="shared" si="86"/>
        <v>285.59999999999945</v>
      </c>
      <c r="H339" s="17">
        <f t="shared" si="86"/>
        <v>242.66666666666652</v>
      </c>
      <c r="I339" s="17">
        <f t="shared" si="86"/>
        <v>257.60000000000036</v>
      </c>
      <c r="J339" s="17">
        <f t="shared" si="86"/>
        <v>266.93333333333385</v>
      </c>
      <c r="K339" s="18">
        <f t="shared" si="86"/>
        <v>224.00000000000023</v>
      </c>
      <c r="L339" s="18">
        <f t="shared" si="86"/>
        <v>238.93333333333339</v>
      </c>
      <c r="M339" s="18">
        <f t="shared" si="86"/>
        <v>248.26666666666688</v>
      </c>
      <c r="N339" s="19">
        <f t="shared" si="86"/>
        <v>171.73333333333312</v>
      </c>
      <c r="O339" s="19">
        <f t="shared" si="86"/>
        <v>186.66666666666697</v>
      </c>
      <c r="P339" s="19">
        <f t="shared" si="86"/>
        <v>195.99999999999977</v>
      </c>
      <c r="Q339" s="20">
        <f t="shared" si="86"/>
        <v>162.40000000000032</v>
      </c>
      <c r="R339" s="20">
        <f t="shared" si="86"/>
        <v>177.33333333333348</v>
      </c>
      <c r="S339" s="20">
        <f t="shared" si="86"/>
        <v>186.66666666666697</v>
      </c>
      <c r="T339" s="21">
        <f>T340-(T$363/360)</f>
        <v>153.06666666666683</v>
      </c>
      <c r="U339" s="21">
        <f t="shared" si="87"/>
        <v>168</v>
      </c>
      <c r="V339" s="21">
        <f t="shared" si="87"/>
        <v>177.33333333333348</v>
      </c>
      <c r="W339" s="22">
        <f t="shared" si="87"/>
        <v>143.73333333333335</v>
      </c>
      <c r="X339" s="22">
        <f t="shared" si="87"/>
        <v>158.66666666666652</v>
      </c>
      <c r="Y339" s="22">
        <f t="shared" si="87"/>
        <v>168</v>
      </c>
      <c r="Z339" s="23">
        <f t="shared" si="87"/>
        <v>134.39999999999986</v>
      </c>
      <c r="AA339" s="23">
        <f t="shared" si="87"/>
        <v>149.33333333333303</v>
      </c>
      <c r="AB339" s="23">
        <f t="shared" si="87"/>
        <v>158.66666666666652</v>
      </c>
      <c r="AC339" s="24">
        <f t="shared" si="87"/>
        <v>125.06666666666649</v>
      </c>
      <c r="AD339" s="24">
        <f t="shared" si="87"/>
        <v>140.00000000000023</v>
      </c>
      <c r="AE339" s="24">
        <f t="shared" si="87"/>
        <v>149.33333333333303</v>
      </c>
      <c r="AF339" s="25">
        <f t="shared" si="87"/>
        <v>115.73333333333323</v>
      </c>
      <c r="AG339" s="25">
        <f t="shared" si="87"/>
        <v>130.66666666666674</v>
      </c>
      <c r="AH339" s="25">
        <f t="shared" si="87"/>
        <v>140.00000000000023</v>
      </c>
      <c r="AI339" s="26">
        <f t="shared" si="87"/>
        <v>106.40000000000009</v>
      </c>
      <c r="AJ339" s="26">
        <f>AJ340-(AJ$363/360)</f>
        <v>121.33333333333326</v>
      </c>
      <c r="AK339" s="26">
        <f t="shared" si="89"/>
        <v>130.66666666666674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262.11111111111126</v>
      </c>
      <c r="F340" s="16">
        <f t="shared" si="90"/>
        <v>277.08888888888953</v>
      </c>
      <c r="G340" s="16">
        <f t="shared" si="90"/>
        <v>286.44999999999948</v>
      </c>
      <c r="H340" s="17">
        <f t="shared" si="90"/>
        <v>243.38888888888874</v>
      </c>
      <c r="I340" s="17">
        <f t="shared" si="90"/>
        <v>258.36666666666702</v>
      </c>
      <c r="J340" s="17">
        <f t="shared" si="90"/>
        <v>267.72777777777827</v>
      </c>
      <c r="K340" s="18">
        <f t="shared" si="90"/>
        <v>224.66666666666688</v>
      </c>
      <c r="L340" s="18">
        <f t="shared" si="90"/>
        <v>239.6444444444445</v>
      </c>
      <c r="M340" s="18">
        <f t="shared" si="90"/>
        <v>249.00555555555576</v>
      </c>
      <c r="N340" s="19">
        <f t="shared" si="90"/>
        <v>172.24444444444424</v>
      </c>
      <c r="O340" s="19">
        <f t="shared" si="90"/>
        <v>187.22222222222251</v>
      </c>
      <c r="P340" s="19">
        <f t="shared" si="90"/>
        <v>196.58333333333312</v>
      </c>
      <c r="Q340" s="20">
        <f t="shared" si="90"/>
        <v>162.88333333333364</v>
      </c>
      <c r="R340" s="20">
        <f t="shared" si="90"/>
        <v>177.86111111111126</v>
      </c>
      <c r="S340" s="20">
        <f t="shared" si="90"/>
        <v>187.22222222222251</v>
      </c>
      <c r="T340" s="21">
        <f t="shared" si="90"/>
        <v>153.52222222222238</v>
      </c>
      <c r="U340" s="21">
        <f t="shared" ref="U340:AJ355" si="91">U341-(U$363/360)</f>
        <v>168.5</v>
      </c>
      <c r="V340" s="21">
        <f t="shared" si="91"/>
        <v>177.86111111111126</v>
      </c>
      <c r="W340" s="22">
        <f t="shared" si="91"/>
        <v>144.16111111111113</v>
      </c>
      <c r="X340" s="22">
        <f t="shared" si="91"/>
        <v>159.13888888888874</v>
      </c>
      <c r="Y340" s="22">
        <f t="shared" si="91"/>
        <v>168.5</v>
      </c>
      <c r="Z340" s="23">
        <f t="shared" si="91"/>
        <v>134.79999999999987</v>
      </c>
      <c r="AA340" s="23">
        <f t="shared" si="91"/>
        <v>149.77777777777749</v>
      </c>
      <c r="AB340" s="23">
        <f t="shared" si="91"/>
        <v>159.13888888888874</v>
      </c>
      <c r="AC340" s="24">
        <f t="shared" si="91"/>
        <v>125.43888888888871</v>
      </c>
      <c r="AD340" s="24">
        <f t="shared" si="91"/>
        <v>140.41666666666688</v>
      </c>
      <c r="AE340" s="24">
        <f t="shared" si="91"/>
        <v>149.77777777777749</v>
      </c>
      <c r="AF340" s="25">
        <f t="shared" si="91"/>
        <v>116.07777777777768</v>
      </c>
      <c r="AG340" s="25">
        <f t="shared" si="91"/>
        <v>131.05555555555563</v>
      </c>
      <c r="AH340" s="25">
        <f t="shared" si="91"/>
        <v>140.41666666666688</v>
      </c>
      <c r="AI340" s="26">
        <f t="shared" si="91"/>
        <v>106.71666666666675</v>
      </c>
      <c r="AJ340" s="26">
        <f t="shared" si="91"/>
        <v>121.69444444444437</v>
      </c>
      <c r="AK340" s="26">
        <f t="shared" si="89"/>
        <v>131.05555555555563</v>
      </c>
    </row>
    <row r="341" spans="4:37" ht="20.100000000000001" customHeight="1">
      <c r="D341" s="27">
        <f t="shared" si="88"/>
        <v>0.93888888888888611</v>
      </c>
      <c r="E341" s="16">
        <f t="shared" si="90"/>
        <v>262.88888888888903</v>
      </c>
      <c r="F341" s="16">
        <f t="shared" si="90"/>
        <v>277.91111111111172</v>
      </c>
      <c r="G341" s="16">
        <f t="shared" si="90"/>
        <v>287.2999999999995</v>
      </c>
      <c r="H341" s="17">
        <f t="shared" si="90"/>
        <v>244.11111111111097</v>
      </c>
      <c r="I341" s="17">
        <f t="shared" si="90"/>
        <v>259.13333333333367</v>
      </c>
      <c r="J341" s="17">
        <f t="shared" si="90"/>
        <v>268.52222222222269</v>
      </c>
      <c r="K341" s="18">
        <f t="shared" si="90"/>
        <v>225.33333333333354</v>
      </c>
      <c r="L341" s="18">
        <f t="shared" si="90"/>
        <v>240.35555555555561</v>
      </c>
      <c r="M341" s="18">
        <f t="shared" si="90"/>
        <v>249.74444444444464</v>
      </c>
      <c r="N341" s="19">
        <f t="shared" si="90"/>
        <v>172.75555555555536</v>
      </c>
      <c r="O341" s="19">
        <f t="shared" si="90"/>
        <v>187.77777777777806</v>
      </c>
      <c r="P341" s="19">
        <f t="shared" si="90"/>
        <v>197.16666666666646</v>
      </c>
      <c r="Q341" s="20">
        <f t="shared" si="90"/>
        <v>163.36666666666696</v>
      </c>
      <c r="R341" s="20">
        <f t="shared" si="90"/>
        <v>178.38888888888903</v>
      </c>
      <c r="S341" s="20">
        <f t="shared" si="90"/>
        <v>187.77777777777806</v>
      </c>
      <c r="T341" s="21">
        <f t="shared" si="90"/>
        <v>153.97777777777793</v>
      </c>
      <c r="U341" s="21">
        <f t="shared" si="91"/>
        <v>169</v>
      </c>
      <c r="V341" s="21">
        <f t="shared" si="91"/>
        <v>178.38888888888903</v>
      </c>
      <c r="W341" s="22">
        <f t="shared" si="91"/>
        <v>144.5888888888889</v>
      </c>
      <c r="X341" s="22">
        <f t="shared" si="91"/>
        <v>159.61111111111097</v>
      </c>
      <c r="Y341" s="22">
        <f t="shared" si="91"/>
        <v>169</v>
      </c>
      <c r="Z341" s="23">
        <f t="shared" si="91"/>
        <v>135.19999999999987</v>
      </c>
      <c r="AA341" s="23">
        <f t="shared" si="91"/>
        <v>150.22222222222194</v>
      </c>
      <c r="AB341" s="23">
        <f t="shared" si="91"/>
        <v>159.61111111111097</v>
      </c>
      <c r="AC341" s="24">
        <f t="shared" si="91"/>
        <v>125.81111111111093</v>
      </c>
      <c r="AD341" s="24">
        <f t="shared" si="91"/>
        <v>140.83333333333354</v>
      </c>
      <c r="AE341" s="24">
        <f t="shared" si="91"/>
        <v>150.22222222222194</v>
      </c>
      <c r="AF341" s="25">
        <f t="shared" si="91"/>
        <v>116.42222222222213</v>
      </c>
      <c r="AG341" s="25">
        <f t="shared" si="91"/>
        <v>131.44444444444451</v>
      </c>
      <c r="AH341" s="25">
        <f t="shared" si="91"/>
        <v>140.83333333333354</v>
      </c>
      <c r="AI341" s="26">
        <f t="shared" si="91"/>
        <v>107.03333333333342</v>
      </c>
      <c r="AJ341" s="26">
        <f t="shared" si="91"/>
        <v>122.05555555555549</v>
      </c>
      <c r="AK341" s="26">
        <f t="shared" si="89"/>
        <v>131.44444444444451</v>
      </c>
    </row>
    <row r="342" spans="4:37" ht="20.100000000000001" customHeight="1">
      <c r="D342" s="27">
        <f t="shared" si="88"/>
        <v>0.94166666666666388</v>
      </c>
      <c r="E342" s="16">
        <f t="shared" si="90"/>
        <v>263.6666666666668</v>
      </c>
      <c r="F342" s="16">
        <f t="shared" si="90"/>
        <v>278.73333333333392</v>
      </c>
      <c r="G342" s="16">
        <f t="shared" si="90"/>
        <v>288.14999999999952</v>
      </c>
      <c r="H342" s="17">
        <f t="shared" si="90"/>
        <v>244.8333333333332</v>
      </c>
      <c r="I342" s="17">
        <f t="shared" si="90"/>
        <v>259.90000000000032</v>
      </c>
      <c r="J342" s="17">
        <f t="shared" si="90"/>
        <v>269.31666666666712</v>
      </c>
      <c r="K342" s="18">
        <f t="shared" si="90"/>
        <v>226.0000000000002</v>
      </c>
      <c r="L342" s="18">
        <f t="shared" si="90"/>
        <v>241.06666666666672</v>
      </c>
      <c r="M342" s="18">
        <f t="shared" si="90"/>
        <v>250.48333333333352</v>
      </c>
      <c r="N342" s="19">
        <f t="shared" si="90"/>
        <v>173.26666666666648</v>
      </c>
      <c r="O342" s="19">
        <f t="shared" si="90"/>
        <v>188.3333333333336</v>
      </c>
      <c r="P342" s="19">
        <f t="shared" si="90"/>
        <v>197.7499999999998</v>
      </c>
      <c r="Q342" s="20">
        <f t="shared" si="90"/>
        <v>163.85000000000028</v>
      </c>
      <c r="R342" s="20">
        <f t="shared" si="90"/>
        <v>178.9166666666668</v>
      </c>
      <c r="S342" s="20">
        <f t="shared" si="90"/>
        <v>188.3333333333336</v>
      </c>
      <c r="T342" s="21">
        <f t="shared" si="90"/>
        <v>154.43333333333348</v>
      </c>
      <c r="U342" s="21">
        <f t="shared" si="91"/>
        <v>169.5</v>
      </c>
      <c r="V342" s="21">
        <f t="shared" si="91"/>
        <v>178.9166666666668</v>
      </c>
      <c r="W342" s="22">
        <f t="shared" si="91"/>
        <v>145.01666666666668</v>
      </c>
      <c r="X342" s="22">
        <f t="shared" si="91"/>
        <v>160.0833333333332</v>
      </c>
      <c r="Y342" s="22">
        <f t="shared" si="91"/>
        <v>169.5</v>
      </c>
      <c r="Z342" s="23">
        <f t="shared" si="91"/>
        <v>135.59999999999988</v>
      </c>
      <c r="AA342" s="23">
        <f t="shared" si="91"/>
        <v>150.6666666666664</v>
      </c>
      <c r="AB342" s="23">
        <f t="shared" si="91"/>
        <v>160.0833333333332</v>
      </c>
      <c r="AC342" s="24">
        <f t="shared" si="91"/>
        <v>126.18333333333315</v>
      </c>
      <c r="AD342" s="24">
        <f t="shared" si="91"/>
        <v>141.2500000000002</v>
      </c>
      <c r="AE342" s="24">
        <f t="shared" si="91"/>
        <v>150.6666666666664</v>
      </c>
      <c r="AF342" s="25">
        <f t="shared" si="91"/>
        <v>116.76666666666658</v>
      </c>
      <c r="AG342" s="25">
        <f t="shared" si="91"/>
        <v>131.8333333333334</v>
      </c>
      <c r="AH342" s="25">
        <f t="shared" si="91"/>
        <v>141.2500000000002</v>
      </c>
      <c r="AI342" s="26">
        <f t="shared" si="91"/>
        <v>107.35000000000008</v>
      </c>
      <c r="AJ342" s="26">
        <f t="shared" si="91"/>
        <v>122.4166666666666</v>
      </c>
      <c r="AK342" s="26">
        <f t="shared" si="89"/>
        <v>131.8333333333334</v>
      </c>
    </row>
    <row r="343" spans="4:37" ht="20.100000000000001" customHeight="1">
      <c r="D343" s="27">
        <f t="shared" si="88"/>
        <v>0.94444444444444164</v>
      </c>
      <c r="E343" s="16">
        <f t="shared" si="90"/>
        <v>264.44444444444457</v>
      </c>
      <c r="F343" s="16">
        <f t="shared" si="90"/>
        <v>279.55555555555611</v>
      </c>
      <c r="G343" s="16">
        <f t="shared" si="90"/>
        <v>288.99999999999955</v>
      </c>
      <c r="H343" s="17">
        <f t="shared" si="90"/>
        <v>245.55555555555543</v>
      </c>
      <c r="I343" s="17">
        <f t="shared" si="90"/>
        <v>260.66666666666697</v>
      </c>
      <c r="J343" s="17">
        <f t="shared" si="90"/>
        <v>270.11111111111154</v>
      </c>
      <c r="K343" s="18">
        <f t="shared" si="90"/>
        <v>226.66666666666686</v>
      </c>
      <c r="L343" s="18">
        <f t="shared" si="90"/>
        <v>241.77777777777783</v>
      </c>
      <c r="M343" s="18">
        <f t="shared" si="90"/>
        <v>251.2222222222224</v>
      </c>
      <c r="N343" s="19">
        <f t="shared" si="90"/>
        <v>173.7777777777776</v>
      </c>
      <c r="O343" s="19">
        <f t="shared" si="90"/>
        <v>188.88888888888914</v>
      </c>
      <c r="P343" s="19">
        <f t="shared" si="90"/>
        <v>198.33333333333314</v>
      </c>
      <c r="Q343" s="20">
        <f t="shared" si="90"/>
        <v>164.3333333333336</v>
      </c>
      <c r="R343" s="20">
        <f t="shared" si="90"/>
        <v>179.44444444444457</v>
      </c>
      <c r="S343" s="20">
        <f t="shared" si="90"/>
        <v>188.88888888888914</v>
      </c>
      <c r="T343" s="21">
        <f t="shared" si="90"/>
        <v>154.88888888888903</v>
      </c>
      <c r="U343" s="21">
        <f t="shared" si="91"/>
        <v>170</v>
      </c>
      <c r="V343" s="21">
        <f t="shared" si="91"/>
        <v>179.44444444444457</v>
      </c>
      <c r="W343" s="22">
        <f t="shared" si="91"/>
        <v>145.44444444444446</v>
      </c>
      <c r="X343" s="22">
        <f t="shared" si="91"/>
        <v>160.55555555555543</v>
      </c>
      <c r="Y343" s="22">
        <f t="shared" si="91"/>
        <v>170</v>
      </c>
      <c r="Z343" s="23">
        <f t="shared" si="91"/>
        <v>135.99999999999989</v>
      </c>
      <c r="AA343" s="23">
        <f t="shared" si="91"/>
        <v>151.11111111111086</v>
      </c>
      <c r="AB343" s="23">
        <f t="shared" si="91"/>
        <v>160.55555555555543</v>
      </c>
      <c r="AC343" s="24">
        <f t="shared" si="91"/>
        <v>126.55555555555537</v>
      </c>
      <c r="AD343" s="24">
        <f t="shared" si="91"/>
        <v>141.66666666666686</v>
      </c>
      <c r="AE343" s="24">
        <f t="shared" si="91"/>
        <v>151.11111111111086</v>
      </c>
      <c r="AF343" s="25">
        <f t="shared" si="91"/>
        <v>117.11111111111103</v>
      </c>
      <c r="AG343" s="25">
        <f t="shared" si="91"/>
        <v>132.22222222222229</v>
      </c>
      <c r="AH343" s="25">
        <f t="shared" si="91"/>
        <v>141.66666666666686</v>
      </c>
      <c r="AI343" s="26">
        <f t="shared" si="91"/>
        <v>107.66666666666674</v>
      </c>
      <c r="AJ343" s="26">
        <f t="shared" si="91"/>
        <v>122.77777777777771</v>
      </c>
      <c r="AK343" s="26">
        <f t="shared" si="89"/>
        <v>132.22222222222229</v>
      </c>
    </row>
    <row r="344" spans="4:37" ht="20.100000000000001" customHeight="1">
      <c r="D344" s="27">
        <f t="shared" si="88"/>
        <v>0.94722222222221941</v>
      </c>
      <c r="E344" s="16">
        <f t="shared" si="90"/>
        <v>265.22222222222234</v>
      </c>
      <c r="F344" s="16">
        <f t="shared" si="90"/>
        <v>280.37777777777831</v>
      </c>
      <c r="G344" s="16">
        <f t="shared" si="90"/>
        <v>289.84999999999957</v>
      </c>
      <c r="H344" s="17">
        <f t="shared" si="90"/>
        <v>246.27777777777766</v>
      </c>
      <c r="I344" s="17">
        <f t="shared" si="90"/>
        <v>261.43333333333362</v>
      </c>
      <c r="J344" s="17">
        <f t="shared" si="90"/>
        <v>270.90555555555596</v>
      </c>
      <c r="K344" s="18">
        <f t="shared" si="90"/>
        <v>227.33333333333351</v>
      </c>
      <c r="L344" s="18">
        <f t="shared" si="90"/>
        <v>242.48888888888894</v>
      </c>
      <c r="M344" s="18">
        <f t="shared" si="90"/>
        <v>251.96111111111128</v>
      </c>
      <c r="N344" s="19">
        <f t="shared" si="90"/>
        <v>174.28888888888872</v>
      </c>
      <c r="O344" s="19">
        <f t="shared" si="90"/>
        <v>189.44444444444468</v>
      </c>
      <c r="P344" s="19">
        <f t="shared" si="90"/>
        <v>198.91666666666649</v>
      </c>
      <c r="Q344" s="20">
        <f t="shared" si="90"/>
        <v>164.81666666666692</v>
      </c>
      <c r="R344" s="20">
        <f t="shared" si="90"/>
        <v>179.97222222222234</v>
      </c>
      <c r="S344" s="20">
        <f t="shared" si="90"/>
        <v>189.44444444444468</v>
      </c>
      <c r="T344" s="21">
        <f t="shared" si="90"/>
        <v>155.34444444444458</v>
      </c>
      <c r="U344" s="21">
        <f t="shared" si="91"/>
        <v>170.5</v>
      </c>
      <c r="V344" s="21">
        <f t="shared" si="91"/>
        <v>179.97222222222234</v>
      </c>
      <c r="W344" s="22">
        <f t="shared" si="91"/>
        <v>145.87222222222223</v>
      </c>
      <c r="X344" s="22">
        <f t="shared" si="91"/>
        <v>161.02777777777766</v>
      </c>
      <c r="Y344" s="22">
        <f t="shared" si="91"/>
        <v>170.5</v>
      </c>
      <c r="Z344" s="23">
        <f t="shared" si="91"/>
        <v>136.39999999999989</v>
      </c>
      <c r="AA344" s="23">
        <f t="shared" si="91"/>
        <v>151.55555555555532</v>
      </c>
      <c r="AB344" s="23">
        <f t="shared" si="91"/>
        <v>161.02777777777766</v>
      </c>
      <c r="AC344" s="24">
        <f t="shared" si="91"/>
        <v>126.92777777777759</v>
      </c>
      <c r="AD344" s="24">
        <f t="shared" si="91"/>
        <v>142.08333333333351</v>
      </c>
      <c r="AE344" s="24">
        <f t="shared" si="91"/>
        <v>151.55555555555532</v>
      </c>
      <c r="AF344" s="25">
        <f t="shared" si="91"/>
        <v>117.45555555555548</v>
      </c>
      <c r="AG344" s="25">
        <f t="shared" si="91"/>
        <v>132.61111111111117</v>
      </c>
      <c r="AH344" s="25">
        <f t="shared" si="91"/>
        <v>142.08333333333351</v>
      </c>
      <c r="AI344" s="26">
        <f t="shared" si="91"/>
        <v>107.98333333333341</v>
      </c>
      <c r="AJ344" s="26">
        <f t="shared" si="91"/>
        <v>123.13888888888883</v>
      </c>
      <c r="AK344" s="26">
        <f t="shared" si="89"/>
        <v>132.61111111111117</v>
      </c>
    </row>
    <row r="345" spans="4:37" ht="20.100000000000001" customHeight="1">
      <c r="D345" s="27">
        <f t="shared" si="88"/>
        <v>0.94999999999999718</v>
      </c>
      <c r="E345" s="16">
        <f t="shared" si="90"/>
        <v>266.00000000000011</v>
      </c>
      <c r="F345" s="16">
        <f t="shared" si="90"/>
        <v>281.2000000000005</v>
      </c>
      <c r="G345" s="16">
        <f t="shared" si="90"/>
        <v>290.69999999999959</v>
      </c>
      <c r="H345" s="17">
        <f t="shared" si="90"/>
        <v>246.99999999999989</v>
      </c>
      <c r="I345" s="17">
        <f t="shared" si="90"/>
        <v>262.20000000000027</v>
      </c>
      <c r="J345" s="17">
        <f t="shared" si="90"/>
        <v>271.70000000000039</v>
      </c>
      <c r="K345" s="18">
        <f t="shared" si="90"/>
        <v>228.00000000000017</v>
      </c>
      <c r="L345" s="18">
        <f t="shared" si="90"/>
        <v>243.20000000000005</v>
      </c>
      <c r="M345" s="18">
        <f t="shared" si="90"/>
        <v>252.70000000000016</v>
      </c>
      <c r="N345" s="19">
        <f t="shared" si="90"/>
        <v>174.79999999999984</v>
      </c>
      <c r="O345" s="19">
        <f t="shared" si="90"/>
        <v>190.00000000000023</v>
      </c>
      <c r="P345" s="19">
        <f t="shared" si="90"/>
        <v>199.49999999999983</v>
      </c>
      <c r="Q345" s="20">
        <f t="shared" si="90"/>
        <v>165.30000000000024</v>
      </c>
      <c r="R345" s="20">
        <f t="shared" si="90"/>
        <v>180.50000000000011</v>
      </c>
      <c r="S345" s="20">
        <f t="shared" si="90"/>
        <v>190.00000000000023</v>
      </c>
      <c r="T345" s="21">
        <f t="shared" si="90"/>
        <v>155.80000000000013</v>
      </c>
      <c r="U345" s="21">
        <f t="shared" si="91"/>
        <v>171</v>
      </c>
      <c r="V345" s="21">
        <f t="shared" si="91"/>
        <v>180.50000000000011</v>
      </c>
      <c r="W345" s="22">
        <f t="shared" si="91"/>
        <v>146.30000000000001</v>
      </c>
      <c r="X345" s="22">
        <f t="shared" si="91"/>
        <v>161.49999999999989</v>
      </c>
      <c r="Y345" s="22">
        <f t="shared" si="91"/>
        <v>171</v>
      </c>
      <c r="Z345" s="23">
        <f t="shared" si="91"/>
        <v>136.7999999999999</v>
      </c>
      <c r="AA345" s="23">
        <f t="shared" si="91"/>
        <v>151.99999999999977</v>
      </c>
      <c r="AB345" s="23">
        <f t="shared" si="91"/>
        <v>161.49999999999989</v>
      </c>
      <c r="AC345" s="24">
        <f t="shared" si="91"/>
        <v>127.29999999999981</v>
      </c>
      <c r="AD345" s="24">
        <f t="shared" si="91"/>
        <v>142.50000000000017</v>
      </c>
      <c r="AE345" s="24">
        <f t="shared" si="91"/>
        <v>151.99999999999977</v>
      </c>
      <c r="AF345" s="25">
        <f t="shared" si="91"/>
        <v>117.79999999999993</v>
      </c>
      <c r="AG345" s="25">
        <f t="shared" si="91"/>
        <v>133.00000000000006</v>
      </c>
      <c r="AH345" s="25">
        <f t="shared" si="91"/>
        <v>142.50000000000017</v>
      </c>
      <c r="AI345" s="26">
        <f t="shared" si="91"/>
        <v>108.30000000000007</v>
      </c>
      <c r="AJ345" s="26">
        <f t="shared" si="91"/>
        <v>123.49999999999994</v>
      </c>
      <c r="AK345" s="26">
        <f t="shared" si="89"/>
        <v>133.00000000000006</v>
      </c>
    </row>
    <row r="346" spans="4:37" ht="20.100000000000001" customHeight="1">
      <c r="D346" s="27">
        <f t="shared" si="88"/>
        <v>0.95277777777777495</v>
      </c>
      <c r="E346" s="16">
        <f t="shared" si="90"/>
        <v>266.77777777777789</v>
      </c>
      <c r="F346" s="16">
        <f t="shared" si="90"/>
        <v>282.02222222222269</v>
      </c>
      <c r="G346" s="16">
        <f t="shared" si="90"/>
        <v>291.54999999999961</v>
      </c>
      <c r="H346" s="17">
        <f t="shared" si="90"/>
        <v>247.72222222222211</v>
      </c>
      <c r="I346" s="17">
        <f t="shared" si="90"/>
        <v>262.96666666666692</v>
      </c>
      <c r="J346" s="17">
        <f t="shared" si="90"/>
        <v>272.49444444444481</v>
      </c>
      <c r="K346" s="18">
        <f t="shared" si="90"/>
        <v>228.66666666666683</v>
      </c>
      <c r="L346" s="18">
        <f t="shared" si="90"/>
        <v>243.91111111111115</v>
      </c>
      <c r="M346" s="18">
        <f t="shared" si="90"/>
        <v>253.43888888888904</v>
      </c>
      <c r="N346" s="19">
        <f t="shared" si="90"/>
        <v>175.31111111111096</v>
      </c>
      <c r="O346" s="19">
        <f t="shared" si="90"/>
        <v>190.55555555555577</v>
      </c>
      <c r="P346" s="19">
        <f t="shared" si="90"/>
        <v>200.08333333333317</v>
      </c>
      <c r="Q346" s="20">
        <f t="shared" si="90"/>
        <v>165.78333333333356</v>
      </c>
      <c r="R346" s="20">
        <f t="shared" si="90"/>
        <v>181.02777777777789</v>
      </c>
      <c r="S346" s="20">
        <f t="shared" si="90"/>
        <v>190.55555555555577</v>
      </c>
      <c r="T346" s="21">
        <f t="shared" si="90"/>
        <v>156.25555555555567</v>
      </c>
      <c r="U346" s="21">
        <f t="shared" si="91"/>
        <v>171.5</v>
      </c>
      <c r="V346" s="21">
        <f t="shared" si="91"/>
        <v>181.02777777777789</v>
      </c>
      <c r="W346" s="22">
        <f t="shared" si="91"/>
        <v>146.72777777777779</v>
      </c>
      <c r="X346" s="22">
        <f t="shared" si="91"/>
        <v>161.97222222222211</v>
      </c>
      <c r="Y346" s="22">
        <f t="shared" si="91"/>
        <v>171.5</v>
      </c>
      <c r="Z346" s="23">
        <f t="shared" si="91"/>
        <v>137.1999999999999</v>
      </c>
      <c r="AA346" s="23">
        <f t="shared" si="91"/>
        <v>152.44444444444423</v>
      </c>
      <c r="AB346" s="23">
        <f t="shared" si="91"/>
        <v>161.97222222222211</v>
      </c>
      <c r="AC346" s="24">
        <f t="shared" si="91"/>
        <v>127.67222222222203</v>
      </c>
      <c r="AD346" s="24">
        <f t="shared" si="91"/>
        <v>142.91666666666683</v>
      </c>
      <c r="AE346" s="24">
        <f t="shared" si="91"/>
        <v>152.44444444444423</v>
      </c>
      <c r="AF346" s="25">
        <f t="shared" si="91"/>
        <v>118.14444444444437</v>
      </c>
      <c r="AG346" s="25">
        <f t="shared" si="91"/>
        <v>133.38888888888894</v>
      </c>
      <c r="AH346" s="25">
        <f t="shared" si="91"/>
        <v>142.91666666666683</v>
      </c>
      <c r="AI346" s="26">
        <f t="shared" si="91"/>
        <v>108.61666666666673</v>
      </c>
      <c r="AJ346" s="26">
        <f t="shared" si="91"/>
        <v>123.86111111111106</v>
      </c>
      <c r="AK346" s="26">
        <f t="shared" si="89"/>
        <v>133.38888888888894</v>
      </c>
    </row>
    <row r="347" spans="4:37" ht="20.100000000000001" customHeight="1">
      <c r="D347" s="27">
        <f t="shared" si="88"/>
        <v>0.95555555555555272</v>
      </c>
      <c r="E347" s="16">
        <f t="shared" si="90"/>
        <v>267.55555555555566</v>
      </c>
      <c r="F347" s="16">
        <f t="shared" si="90"/>
        <v>282.84444444444489</v>
      </c>
      <c r="G347" s="16">
        <f t="shared" si="90"/>
        <v>292.39999999999964</v>
      </c>
      <c r="H347" s="17">
        <f t="shared" si="90"/>
        <v>248.44444444444434</v>
      </c>
      <c r="I347" s="17">
        <f t="shared" si="90"/>
        <v>263.73333333333358</v>
      </c>
      <c r="J347" s="17">
        <f t="shared" si="90"/>
        <v>273.28888888888923</v>
      </c>
      <c r="K347" s="18">
        <f t="shared" si="90"/>
        <v>229.33333333333348</v>
      </c>
      <c r="L347" s="18">
        <f t="shared" si="90"/>
        <v>244.62222222222226</v>
      </c>
      <c r="M347" s="18">
        <f t="shared" si="90"/>
        <v>254.17777777777792</v>
      </c>
      <c r="N347" s="19">
        <f t="shared" si="90"/>
        <v>175.82222222222208</v>
      </c>
      <c r="O347" s="19">
        <f t="shared" si="90"/>
        <v>191.11111111111131</v>
      </c>
      <c r="P347" s="19">
        <f t="shared" si="90"/>
        <v>200.66666666666652</v>
      </c>
      <c r="Q347" s="20">
        <f t="shared" si="90"/>
        <v>166.26666666666688</v>
      </c>
      <c r="R347" s="20">
        <f t="shared" si="90"/>
        <v>181.55555555555566</v>
      </c>
      <c r="S347" s="20">
        <f t="shared" si="90"/>
        <v>191.11111111111131</v>
      </c>
      <c r="T347" s="21">
        <f t="shared" si="90"/>
        <v>156.71111111111122</v>
      </c>
      <c r="U347" s="21">
        <f t="shared" si="91"/>
        <v>172</v>
      </c>
      <c r="V347" s="21">
        <f t="shared" si="91"/>
        <v>181.55555555555566</v>
      </c>
      <c r="W347" s="22">
        <f t="shared" si="91"/>
        <v>147.15555555555557</v>
      </c>
      <c r="X347" s="22">
        <f t="shared" si="91"/>
        <v>162.44444444444434</v>
      </c>
      <c r="Y347" s="22">
        <f t="shared" si="91"/>
        <v>172</v>
      </c>
      <c r="Z347" s="23">
        <f t="shared" si="91"/>
        <v>137.59999999999991</v>
      </c>
      <c r="AA347" s="23">
        <f t="shared" si="91"/>
        <v>152.88888888888869</v>
      </c>
      <c r="AB347" s="23">
        <f t="shared" si="91"/>
        <v>162.44444444444434</v>
      </c>
      <c r="AC347" s="24">
        <f t="shared" si="91"/>
        <v>128.04444444444425</v>
      </c>
      <c r="AD347" s="24">
        <f t="shared" si="91"/>
        <v>143.33333333333348</v>
      </c>
      <c r="AE347" s="24">
        <f t="shared" si="91"/>
        <v>152.88888888888869</v>
      </c>
      <c r="AF347" s="25">
        <f t="shared" si="91"/>
        <v>118.48888888888882</v>
      </c>
      <c r="AG347" s="25">
        <f t="shared" si="91"/>
        <v>133.77777777777783</v>
      </c>
      <c r="AH347" s="25">
        <f t="shared" si="91"/>
        <v>143.33333333333348</v>
      </c>
      <c r="AI347" s="26">
        <f t="shared" si="91"/>
        <v>108.93333333333339</v>
      </c>
      <c r="AJ347" s="26">
        <f t="shared" si="91"/>
        <v>124.22222222222217</v>
      </c>
      <c r="AK347" s="26">
        <f t="shared" si="89"/>
        <v>133.77777777777783</v>
      </c>
    </row>
    <row r="348" spans="4:37" ht="20.100000000000001" customHeight="1">
      <c r="D348" s="27">
        <f t="shared" si="88"/>
        <v>0.95833333333333048</v>
      </c>
      <c r="E348" s="16">
        <f t="shared" si="90"/>
        <v>268.33333333333343</v>
      </c>
      <c r="F348" s="16">
        <f t="shared" si="90"/>
        <v>283.66666666666708</v>
      </c>
      <c r="G348" s="16">
        <f t="shared" si="90"/>
        <v>293.24999999999966</v>
      </c>
      <c r="H348" s="17">
        <f t="shared" si="90"/>
        <v>249.16666666666657</v>
      </c>
      <c r="I348" s="17">
        <f t="shared" si="90"/>
        <v>264.50000000000023</v>
      </c>
      <c r="J348" s="17">
        <f t="shared" si="90"/>
        <v>274.08333333333366</v>
      </c>
      <c r="K348" s="18">
        <f t="shared" si="90"/>
        <v>230.00000000000014</v>
      </c>
      <c r="L348" s="18">
        <f t="shared" si="90"/>
        <v>245.33333333333337</v>
      </c>
      <c r="M348" s="18">
        <f t="shared" si="90"/>
        <v>254.9166666666668</v>
      </c>
      <c r="N348" s="19">
        <f t="shared" si="90"/>
        <v>176.3333333333332</v>
      </c>
      <c r="O348" s="19">
        <f t="shared" si="90"/>
        <v>191.66666666666686</v>
      </c>
      <c r="P348" s="19">
        <f t="shared" si="90"/>
        <v>201.24999999999986</v>
      </c>
      <c r="Q348" s="20">
        <f t="shared" si="90"/>
        <v>166.7500000000002</v>
      </c>
      <c r="R348" s="20">
        <f t="shared" si="90"/>
        <v>182.08333333333343</v>
      </c>
      <c r="S348" s="20">
        <f t="shared" si="90"/>
        <v>191.66666666666686</v>
      </c>
      <c r="T348" s="21">
        <f t="shared" si="90"/>
        <v>157.16666666666677</v>
      </c>
      <c r="U348" s="21">
        <f t="shared" si="91"/>
        <v>172.5</v>
      </c>
      <c r="V348" s="21">
        <f t="shared" si="91"/>
        <v>182.08333333333343</v>
      </c>
      <c r="W348" s="22">
        <f t="shared" si="91"/>
        <v>147.58333333333334</v>
      </c>
      <c r="X348" s="22">
        <f t="shared" si="91"/>
        <v>162.91666666666657</v>
      </c>
      <c r="Y348" s="22">
        <f t="shared" si="91"/>
        <v>172.5</v>
      </c>
      <c r="Z348" s="23">
        <f t="shared" si="91"/>
        <v>137.99999999999991</v>
      </c>
      <c r="AA348" s="23">
        <f t="shared" si="91"/>
        <v>153.33333333333314</v>
      </c>
      <c r="AB348" s="23">
        <f t="shared" si="91"/>
        <v>162.91666666666657</v>
      </c>
      <c r="AC348" s="24">
        <f t="shared" si="91"/>
        <v>128.41666666666649</v>
      </c>
      <c r="AD348" s="24">
        <f t="shared" si="91"/>
        <v>143.75000000000014</v>
      </c>
      <c r="AE348" s="24">
        <f t="shared" si="91"/>
        <v>153.33333333333314</v>
      </c>
      <c r="AF348" s="25">
        <f t="shared" si="91"/>
        <v>118.83333333333327</v>
      </c>
      <c r="AG348" s="25">
        <f t="shared" si="91"/>
        <v>134.16666666666671</v>
      </c>
      <c r="AH348" s="25">
        <f t="shared" si="91"/>
        <v>143.75000000000014</v>
      </c>
      <c r="AI348" s="26">
        <f t="shared" si="91"/>
        <v>109.25000000000006</v>
      </c>
      <c r="AJ348" s="26">
        <f t="shared" si="91"/>
        <v>124.58333333333329</v>
      </c>
      <c r="AK348" s="26">
        <f t="shared" si="89"/>
        <v>134.16666666666671</v>
      </c>
    </row>
    <row r="349" spans="4:37" ht="20.100000000000001" customHeight="1">
      <c r="D349" s="27">
        <f t="shared" si="88"/>
        <v>0.96111111111110825</v>
      </c>
      <c r="E349" s="16">
        <f t="shared" si="90"/>
        <v>269.1111111111112</v>
      </c>
      <c r="F349" s="16">
        <f t="shared" si="90"/>
        <v>284.48888888888928</v>
      </c>
      <c r="G349" s="16">
        <f t="shared" si="90"/>
        <v>294.09999999999968</v>
      </c>
      <c r="H349" s="17">
        <f t="shared" si="90"/>
        <v>249.8888888888888</v>
      </c>
      <c r="I349" s="17">
        <f t="shared" si="90"/>
        <v>265.26666666666688</v>
      </c>
      <c r="J349" s="17">
        <f t="shared" si="90"/>
        <v>274.87777777777808</v>
      </c>
      <c r="K349" s="18">
        <f t="shared" si="90"/>
        <v>230.6666666666668</v>
      </c>
      <c r="L349" s="18">
        <f t="shared" si="90"/>
        <v>246.04444444444448</v>
      </c>
      <c r="M349" s="18">
        <f t="shared" si="90"/>
        <v>255.65555555555568</v>
      </c>
      <c r="N349" s="19">
        <f t="shared" si="90"/>
        <v>176.84444444444432</v>
      </c>
      <c r="O349" s="19">
        <f t="shared" si="90"/>
        <v>192.2222222222224</v>
      </c>
      <c r="P349" s="19">
        <f t="shared" si="90"/>
        <v>201.8333333333332</v>
      </c>
      <c r="Q349" s="20">
        <f t="shared" si="90"/>
        <v>167.23333333333352</v>
      </c>
      <c r="R349" s="20">
        <f t="shared" si="90"/>
        <v>182.6111111111112</v>
      </c>
      <c r="S349" s="20">
        <f t="shared" si="90"/>
        <v>192.2222222222224</v>
      </c>
      <c r="T349" s="21">
        <f t="shared" si="90"/>
        <v>157.62222222222232</v>
      </c>
      <c r="U349" s="21">
        <f t="shared" si="91"/>
        <v>173</v>
      </c>
      <c r="V349" s="21">
        <f t="shared" si="91"/>
        <v>182.6111111111112</v>
      </c>
      <c r="W349" s="22">
        <f t="shared" si="91"/>
        <v>148.01111111111112</v>
      </c>
      <c r="X349" s="22">
        <f t="shared" si="91"/>
        <v>163.3888888888888</v>
      </c>
      <c r="Y349" s="22">
        <f t="shared" si="91"/>
        <v>173</v>
      </c>
      <c r="Z349" s="23">
        <f t="shared" si="91"/>
        <v>138.39999999999992</v>
      </c>
      <c r="AA349" s="23">
        <f t="shared" si="91"/>
        <v>153.7777777777776</v>
      </c>
      <c r="AB349" s="23">
        <f t="shared" si="91"/>
        <v>163.3888888888888</v>
      </c>
      <c r="AC349" s="24">
        <f t="shared" si="91"/>
        <v>128.78888888888872</v>
      </c>
      <c r="AD349" s="24">
        <f t="shared" si="91"/>
        <v>144.1666666666668</v>
      </c>
      <c r="AE349" s="24">
        <f t="shared" si="91"/>
        <v>153.7777777777776</v>
      </c>
      <c r="AF349" s="25">
        <f t="shared" si="91"/>
        <v>119.17777777777772</v>
      </c>
      <c r="AG349" s="25">
        <f t="shared" si="91"/>
        <v>134.5555555555556</v>
      </c>
      <c r="AH349" s="25">
        <f t="shared" si="91"/>
        <v>144.1666666666668</v>
      </c>
      <c r="AI349" s="26">
        <f t="shared" si="91"/>
        <v>109.56666666666672</v>
      </c>
      <c r="AJ349" s="26">
        <f t="shared" si="91"/>
        <v>124.9444444444444</v>
      </c>
      <c r="AK349" s="26">
        <f t="shared" si="89"/>
        <v>134.5555555555556</v>
      </c>
    </row>
    <row r="350" spans="4:37" ht="20.100000000000001" customHeight="1">
      <c r="D350" s="27">
        <f t="shared" si="88"/>
        <v>0.96388888888888602</v>
      </c>
      <c r="E350" s="16">
        <f t="shared" si="90"/>
        <v>269.88888888888897</v>
      </c>
      <c r="F350" s="16">
        <f t="shared" si="90"/>
        <v>285.31111111111147</v>
      </c>
      <c r="G350" s="16">
        <f t="shared" si="90"/>
        <v>294.9499999999997</v>
      </c>
      <c r="H350" s="17">
        <f t="shared" si="90"/>
        <v>250.61111111111103</v>
      </c>
      <c r="I350" s="17">
        <f t="shared" si="90"/>
        <v>266.03333333333353</v>
      </c>
      <c r="J350" s="17">
        <f t="shared" si="90"/>
        <v>275.6722222222225</v>
      </c>
      <c r="K350" s="18">
        <f t="shared" si="90"/>
        <v>231.33333333333346</v>
      </c>
      <c r="L350" s="18">
        <f t="shared" si="90"/>
        <v>246.75555555555559</v>
      </c>
      <c r="M350" s="18">
        <f t="shared" si="90"/>
        <v>256.39444444444456</v>
      </c>
      <c r="N350" s="19">
        <f t="shared" si="90"/>
        <v>177.35555555555544</v>
      </c>
      <c r="O350" s="19">
        <f t="shared" si="90"/>
        <v>192.77777777777794</v>
      </c>
      <c r="P350" s="19">
        <f t="shared" si="90"/>
        <v>202.41666666666654</v>
      </c>
      <c r="Q350" s="20">
        <f t="shared" si="90"/>
        <v>167.71666666666684</v>
      </c>
      <c r="R350" s="20">
        <f t="shared" si="90"/>
        <v>183.13888888888897</v>
      </c>
      <c r="S350" s="20">
        <f t="shared" si="90"/>
        <v>192.77777777777794</v>
      </c>
      <c r="T350" s="21">
        <f t="shared" si="90"/>
        <v>158.07777777777787</v>
      </c>
      <c r="U350" s="21">
        <f t="shared" si="91"/>
        <v>173.5</v>
      </c>
      <c r="V350" s="21">
        <f t="shared" si="91"/>
        <v>183.13888888888897</v>
      </c>
      <c r="W350" s="22">
        <f t="shared" si="91"/>
        <v>148.4388888888889</v>
      </c>
      <c r="X350" s="22">
        <f t="shared" si="91"/>
        <v>163.86111111111103</v>
      </c>
      <c r="Y350" s="22">
        <f t="shared" si="91"/>
        <v>173.5</v>
      </c>
      <c r="Z350" s="23">
        <f t="shared" si="91"/>
        <v>138.79999999999993</v>
      </c>
      <c r="AA350" s="23">
        <f t="shared" si="91"/>
        <v>154.22222222222206</v>
      </c>
      <c r="AB350" s="23">
        <f t="shared" si="91"/>
        <v>163.86111111111103</v>
      </c>
      <c r="AC350" s="24">
        <f t="shared" si="91"/>
        <v>129.16111111111096</v>
      </c>
      <c r="AD350" s="24">
        <f t="shared" si="91"/>
        <v>144.58333333333346</v>
      </c>
      <c r="AE350" s="24">
        <f t="shared" si="91"/>
        <v>154.22222222222206</v>
      </c>
      <c r="AF350" s="25">
        <f t="shared" si="91"/>
        <v>119.52222222222217</v>
      </c>
      <c r="AG350" s="25">
        <f t="shared" si="91"/>
        <v>134.94444444444449</v>
      </c>
      <c r="AH350" s="25">
        <f t="shared" si="91"/>
        <v>144.58333333333346</v>
      </c>
      <c r="AI350" s="26">
        <f t="shared" si="91"/>
        <v>109.88333333333338</v>
      </c>
      <c r="AJ350" s="26">
        <f t="shared" si="91"/>
        <v>125.30555555555551</v>
      </c>
      <c r="AK350" s="26">
        <f t="shared" si="89"/>
        <v>134.94444444444449</v>
      </c>
    </row>
    <row r="351" spans="4:37" ht="20.100000000000001" customHeight="1">
      <c r="D351" s="27">
        <f t="shared" si="88"/>
        <v>0.96666666666666379</v>
      </c>
      <c r="E351" s="16">
        <f t="shared" si="90"/>
        <v>270.66666666666674</v>
      </c>
      <c r="F351" s="16">
        <f t="shared" si="90"/>
        <v>286.13333333333367</v>
      </c>
      <c r="G351" s="16">
        <f t="shared" si="90"/>
        <v>295.79999999999973</v>
      </c>
      <c r="H351" s="17">
        <f t="shared" si="90"/>
        <v>251.33333333333326</v>
      </c>
      <c r="I351" s="17">
        <f t="shared" si="90"/>
        <v>266.80000000000018</v>
      </c>
      <c r="J351" s="17">
        <f t="shared" si="90"/>
        <v>276.46666666666692</v>
      </c>
      <c r="K351" s="18">
        <f t="shared" si="90"/>
        <v>232.00000000000011</v>
      </c>
      <c r="L351" s="18">
        <f t="shared" si="90"/>
        <v>247.4666666666667</v>
      </c>
      <c r="M351" s="18">
        <f t="shared" si="90"/>
        <v>257.13333333333344</v>
      </c>
      <c r="N351" s="19">
        <f t="shared" si="90"/>
        <v>177.86666666666656</v>
      </c>
      <c r="O351" s="19">
        <f t="shared" si="90"/>
        <v>193.33333333333348</v>
      </c>
      <c r="P351" s="19">
        <f t="shared" si="90"/>
        <v>202.99999999999989</v>
      </c>
      <c r="Q351" s="20">
        <f t="shared" si="90"/>
        <v>168.20000000000016</v>
      </c>
      <c r="R351" s="20">
        <f t="shared" si="90"/>
        <v>183.66666666666674</v>
      </c>
      <c r="S351" s="20">
        <f t="shared" si="90"/>
        <v>193.33333333333348</v>
      </c>
      <c r="T351" s="21">
        <f t="shared" si="90"/>
        <v>158.53333333333342</v>
      </c>
      <c r="U351" s="21">
        <f t="shared" si="91"/>
        <v>174</v>
      </c>
      <c r="V351" s="21">
        <f t="shared" si="91"/>
        <v>183.66666666666674</v>
      </c>
      <c r="W351" s="22">
        <f t="shared" si="91"/>
        <v>148.86666666666667</v>
      </c>
      <c r="X351" s="22">
        <f t="shared" si="91"/>
        <v>164.33333333333326</v>
      </c>
      <c r="Y351" s="22">
        <f t="shared" si="91"/>
        <v>174</v>
      </c>
      <c r="Z351" s="23">
        <f t="shared" si="91"/>
        <v>139.19999999999993</v>
      </c>
      <c r="AA351" s="23">
        <f t="shared" si="91"/>
        <v>154.66666666666652</v>
      </c>
      <c r="AB351" s="23">
        <f t="shared" si="91"/>
        <v>164.33333333333326</v>
      </c>
      <c r="AC351" s="24">
        <f t="shared" si="91"/>
        <v>129.53333333333319</v>
      </c>
      <c r="AD351" s="24">
        <f t="shared" si="91"/>
        <v>145.00000000000011</v>
      </c>
      <c r="AE351" s="24">
        <f t="shared" si="91"/>
        <v>154.66666666666652</v>
      </c>
      <c r="AF351" s="25">
        <f t="shared" si="91"/>
        <v>119.86666666666662</v>
      </c>
      <c r="AG351" s="25">
        <f t="shared" si="91"/>
        <v>135.33333333333337</v>
      </c>
      <c r="AH351" s="25">
        <f t="shared" si="91"/>
        <v>145.00000000000011</v>
      </c>
      <c r="AI351" s="26">
        <f t="shared" si="91"/>
        <v>110.20000000000005</v>
      </c>
      <c r="AJ351" s="26">
        <f t="shared" si="91"/>
        <v>125.66666666666663</v>
      </c>
      <c r="AK351" s="26">
        <f t="shared" si="89"/>
        <v>135.33333333333337</v>
      </c>
    </row>
    <row r="352" spans="4:37" ht="20.100000000000001" customHeight="1">
      <c r="D352" s="27">
        <f t="shared" si="88"/>
        <v>0.96944444444444156</v>
      </c>
      <c r="E352" s="16">
        <f t="shared" si="90"/>
        <v>271.44444444444451</v>
      </c>
      <c r="F352" s="16">
        <f t="shared" si="90"/>
        <v>286.95555555555586</v>
      </c>
      <c r="G352" s="16">
        <f t="shared" si="90"/>
        <v>296.64999999999975</v>
      </c>
      <c r="H352" s="17">
        <f t="shared" si="90"/>
        <v>252.05555555555549</v>
      </c>
      <c r="I352" s="17">
        <f t="shared" si="90"/>
        <v>267.56666666666683</v>
      </c>
      <c r="J352" s="17">
        <f t="shared" si="90"/>
        <v>277.26111111111135</v>
      </c>
      <c r="K352" s="18">
        <f t="shared" si="90"/>
        <v>232.66666666666677</v>
      </c>
      <c r="L352" s="18">
        <f t="shared" si="90"/>
        <v>248.17777777777781</v>
      </c>
      <c r="M352" s="18">
        <f t="shared" si="90"/>
        <v>257.87222222222232</v>
      </c>
      <c r="N352" s="19">
        <f t="shared" si="90"/>
        <v>178.37777777777768</v>
      </c>
      <c r="O352" s="19">
        <f t="shared" si="90"/>
        <v>193.88888888888903</v>
      </c>
      <c r="P352" s="19">
        <f t="shared" si="90"/>
        <v>203.58333333333323</v>
      </c>
      <c r="Q352" s="20">
        <f t="shared" si="90"/>
        <v>168.68333333333348</v>
      </c>
      <c r="R352" s="20">
        <f t="shared" si="90"/>
        <v>184.19444444444451</v>
      </c>
      <c r="S352" s="20">
        <f t="shared" si="90"/>
        <v>193.88888888888903</v>
      </c>
      <c r="T352" s="21">
        <f t="shared" si="90"/>
        <v>158.98888888888897</v>
      </c>
      <c r="U352" s="21">
        <f t="shared" si="91"/>
        <v>174.5</v>
      </c>
      <c r="V352" s="21">
        <f t="shared" si="91"/>
        <v>184.19444444444451</v>
      </c>
      <c r="W352" s="22">
        <f t="shared" si="91"/>
        <v>149.29444444444445</v>
      </c>
      <c r="X352" s="22">
        <f t="shared" si="91"/>
        <v>164.80555555555549</v>
      </c>
      <c r="Y352" s="22">
        <f t="shared" si="91"/>
        <v>174.5</v>
      </c>
      <c r="Z352" s="23">
        <f t="shared" si="91"/>
        <v>139.59999999999994</v>
      </c>
      <c r="AA352" s="23">
        <f t="shared" si="91"/>
        <v>155.11111111111097</v>
      </c>
      <c r="AB352" s="23">
        <f t="shared" si="91"/>
        <v>164.80555555555549</v>
      </c>
      <c r="AC352" s="24">
        <f t="shared" si="91"/>
        <v>129.90555555555542</v>
      </c>
      <c r="AD352" s="24">
        <f t="shared" si="91"/>
        <v>145.41666666666677</v>
      </c>
      <c r="AE352" s="24">
        <f t="shared" si="91"/>
        <v>155.11111111111097</v>
      </c>
      <c r="AF352" s="25">
        <f t="shared" si="91"/>
        <v>120.21111111111107</v>
      </c>
      <c r="AG352" s="25">
        <f t="shared" si="91"/>
        <v>135.72222222222226</v>
      </c>
      <c r="AH352" s="25">
        <f t="shared" si="91"/>
        <v>145.41666666666677</v>
      </c>
      <c r="AI352" s="26">
        <f t="shared" si="91"/>
        <v>110.51666666666671</v>
      </c>
      <c r="AJ352" s="26">
        <f t="shared" si="91"/>
        <v>126.02777777777774</v>
      </c>
      <c r="AK352" s="26">
        <f t="shared" si="89"/>
        <v>135.72222222222226</v>
      </c>
    </row>
    <row r="353" spans="4:37" ht="20.100000000000001" customHeight="1">
      <c r="D353" s="27">
        <f t="shared" si="88"/>
        <v>0.97222222222221932</v>
      </c>
      <c r="E353" s="16">
        <f t="shared" si="90"/>
        <v>272.22222222222229</v>
      </c>
      <c r="F353" s="16">
        <f t="shared" si="90"/>
        <v>287.77777777777806</v>
      </c>
      <c r="G353" s="16">
        <f t="shared" si="90"/>
        <v>297.49999999999977</v>
      </c>
      <c r="H353" s="17">
        <f t="shared" si="90"/>
        <v>252.77777777777771</v>
      </c>
      <c r="I353" s="17">
        <f t="shared" si="90"/>
        <v>268.33333333333348</v>
      </c>
      <c r="J353" s="17">
        <f t="shared" si="90"/>
        <v>278.05555555555577</v>
      </c>
      <c r="K353" s="18">
        <f t="shared" si="90"/>
        <v>233.33333333333343</v>
      </c>
      <c r="L353" s="18">
        <f t="shared" si="90"/>
        <v>248.88888888888891</v>
      </c>
      <c r="M353" s="18">
        <f t="shared" si="90"/>
        <v>258.6111111111112</v>
      </c>
      <c r="N353" s="19">
        <f t="shared" si="90"/>
        <v>178.8888888888888</v>
      </c>
      <c r="O353" s="19">
        <f t="shared" si="90"/>
        <v>194.44444444444457</v>
      </c>
      <c r="P353" s="19">
        <f t="shared" si="90"/>
        <v>204.16666666666657</v>
      </c>
      <c r="Q353" s="20">
        <f t="shared" si="90"/>
        <v>169.1666666666668</v>
      </c>
      <c r="R353" s="20">
        <f t="shared" si="90"/>
        <v>184.72222222222229</v>
      </c>
      <c r="S353" s="20">
        <f t="shared" si="90"/>
        <v>194.44444444444457</v>
      </c>
      <c r="T353" s="21">
        <f t="shared" si="90"/>
        <v>159.44444444444451</v>
      </c>
      <c r="U353" s="21">
        <f t="shared" si="91"/>
        <v>175</v>
      </c>
      <c r="V353" s="21">
        <f t="shared" si="91"/>
        <v>184.72222222222229</v>
      </c>
      <c r="W353" s="22">
        <f t="shared" si="91"/>
        <v>149.72222222222223</v>
      </c>
      <c r="X353" s="22">
        <f t="shared" si="91"/>
        <v>165.27777777777771</v>
      </c>
      <c r="Y353" s="22">
        <f t="shared" si="91"/>
        <v>175</v>
      </c>
      <c r="Z353" s="23">
        <f t="shared" si="91"/>
        <v>139.99999999999994</v>
      </c>
      <c r="AA353" s="23">
        <f t="shared" si="91"/>
        <v>155.55555555555543</v>
      </c>
      <c r="AB353" s="23">
        <f t="shared" si="91"/>
        <v>165.27777777777771</v>
      </c>
      <c r="AC353" s="24">
        <f t="shared" si="91"/>
        <v>130.27777777777766</v>
      </c>
      <c r="AD353" s="24">
        <f t="shared" si="91"/>
        <v>145.83333333333343</v>
      </c>
      <c r="AE353" s="24">
        <f t="shared" si="91"/>
        <v>155.55555555555543</v>
      </c>
      <c r="AF353" s="25">
        <f t="shared" si="91"/>
        <v>120.55555555555551</v>
      </c>
      <c r="AG353" s="25">
        <f t="shared" si="91"/>
        <v>136.11111111111114</v>
      </c>
      <c r="AH353" s="25">
        <f t="shared" si="91"/>
        <v>145.83333333333343</v>
      </c>
      <c r="AI353" s="26">
        <f t="shared" si="91"/>
        <v>110.83333333333337</v>
      </c>
      <c r="AJ353" s="26">
        <f t="shared" si="91"/>
        <v>126.38888888888886</v>
      </c>
      <c r="AK353" s="26">
        <f t="shared" si="89"/>
        <v>136.11111111111114</v>
      </c>
    </row>
    <row r="354" spans="4:37" ht="20.100000000000001" customHeight="1">
      <c r="D354" s="27">
        <f t="shared" si="88"/>
        <v>0.97499999999999709</v>
      </c>
      <c r="E354" s="16">
        <f t="shared" si="90"/>
        <v>273.00000000000006</v>
      </c>
      <c r="F354" s="16">
        <f t="shared" si="90"/>
        <v>288.60000000000025</v>
      </c>
      <c r="G354" s="16">
        <f t="shared" si="90"/>
        <v>298.3499999999998</v>
      </c>
      <c r="H354" s="17">
        <f t="shared" si="90"/>
        <v>253.49999999999994</v>
      </c>
      <c r="I354" s="17">
        <f t="shared" si="90"/>
        <v>269.10000000000014</v>
      </c>
      <c r="J354" s="17">
        <f t="shared" si="90"/>
        <v>278.85000000000019</v>
      </c>
      <c r="K354" s="18">
        <f t="shared" si="90"/>
        <v>234.00000000000009</v>
      </c>
      <c r="L354" s="18">
        <f t="shared" si="90"/>
        <v>249.60000000000002</v>
      </c>
      <c r="M354" s="18">
        <f t="shared" si="90"/>
        <v>259.35000000000008</v>
      </c>
      <c r="N354" s="19">
        <f t="shared" si="90"/>
        <v>179.39999999999992</v>
      </c>
      <c r="O354" s="19">
        <f t="shared" si="90"/>
        <v>195.00000000000011</v>
      </c>
      <c r="P354" s="19">
        <f t="shared" si="90"/>
        <v>204.74999999999991</v>
      </c>
      <c r="Q354" s="20">
        <f t="shared" si="90"/>
        <v>169.65000000000012</v>
      </c>
      <c r="R354" s="20">
        <f t="shared" si="90"/>
        <v>185.25000000000006</v>
      </c>
      <c r="S354" s="20">
        <f t="shared" si="90"/>
        <v>195.00000000000011</v>
      </c>
      <c r="T354" s="21">
        <f t="shared" si="90"/>
        <v>159.90000000000006</v>
      </c>
      <c r="U354" s="21">
        <f t="shared" si="91"/>
        <v>175.5</v>
      </c>
      <c r="V354" s="21">
        <f t="shared" si="91"/>
        <v>185.25000000000006</v>
      </c>
      <c r="W354" s="22">
        <f t="shared" si="91"/>
        <v>150.15</v>
      </c>
      <c r="X354" s="22">
        <f t="shared" si="91"/>
        <v>165.74999999999994</v>
      </c>
      <c r="Y354" s="22">
        <f t="shared" si="91"/>
        <v>175.5</v>
      </c>
      <c r="Z354" s="23">
        <f t="shared" si="91"/>
        <v>140.39999999999995</v>
      </c>
      <c r="AA354" s="23">
        <f t="shared" si="91"/>
        <v>155.99999999999989</v>
      </c>
      <c r="AB354" s="23">
        <f t="shared" si="91"/>
        <v>165.74999999999994</v>
      </c>
      <c r="AC354" s="24">
        <f t="shared" si="91"/>
        <v>130.64999999999989</v>
      </c>
      <c r="AD354" s="24">
        <f t="shared" si="91"/>
        <v>146.25000000000009</v>
      </c>
      <c r="AE354" s="24">
        <f t="shared" si="91"/>
        <v>155.99999999999989</v>
      </c>
      <c r="AF354" s="25">
        <f t="shared" si="91"/>
        <v>120.89999999999996</v>
      </c>
      <c r="AG354" s="25">
        <f t="shared" si="91"/>
        <v>136.50000000000003</v>
      </c>
      <c r="AH354" s="25">
        <f t="shared" si="91"/>
        <v>146.25000000000009</v>
      </c>
      <c r="AI354" s="26">
        <f t="shared" si="91"/>
        <v>111.15000000000003</v>
      </c>
      <c r="AJ354" s="26">
        <f t="shared" si="91"/>
        <v>126.74999999999997</v>
      </c>
      <c r="AK354" s="26">
        <f t="shared" si="89"/>
        <v>136.50000000000003</v>
      </c>
    </row>
    <row r="355" spans="4:37" ht="20.100000000000001" customHeight="1">
      <c r="D355" s="27">
        <f t="shared" si="88"/>
        <v>0.97777777777777486</v>
      </c>
      <c r="E355" s="16">
        <f t="shared" si="90"/>
        <v>273.77777777777783</v>
      </c>
      <c r="F355" s="16">
        <f t="shared" si="90"/>
        <v>289.42222222222244</v>
      </c>
      <c r="G355" s="16">
        <f t="shared" si="90"/>
        <v>299.19999999999982</v>
      </c>
      <c r="H355" s="17">
        <f t="shared" si="90"/>
        <v>254.22222222222217</v>
      </c>
      <c r="I355" s="17">
        <f t="shared" si="90"/>
        <v>269.86666666666679</v>
      </c>
      <c r="J355" s="17">
        <f t="shared" si="90"/>
        <v>279.64444444444462</v>
      </c>
      <c r="K355" s="18">
        <f t="shared" si="90"/>
        <v>234.66666666666674</v>
      </c>
      <c r="L355" s="18">
        <f t="shared" si="90"/>
        <v>250.31111111111113</v>
      </c>
      <c r="M355" s="18">
        <f t="shared" si="90"/>
        <v>260.08888888888896</v>
      </c>
      <c r="N355" s="19">
        <f t="shared" si="90"/>
        <v>179.91111111111104</v>
      </c>
      <c r="O355" s="19">
        <f t="shared" si="90"/>
        <v>195.55555555555566</v>
      </c>
      <c r="P355" s="19">
        <f t="shared" si="90"/>
        <v>205.33333333333326</v>
      </c>
      <c r="Q355" s="20">
        <f t="shared" si="90"/>
        <v>170.13333333333344</v>
      </c>
      <c r="R355" s="20">
        <f t="shared" si="90"/>
        <v>185.77777777777783</v>
      </c>
      <c r="S355" s="20">
        <f t="shared" si="90"/>
        <v>195.55555555555566</v>
      </c>
      <c r="T355" s="21">
        <f>T356-(T$363/360)</f>
        <v>160.35555555555561</v>
      </c>
      <c r="U355" s="21">
        <f t="shared" si="91"/>
        <v>176</v>
      </c>
      <c r="V355" s="21">
        <f t="shared" si="91"/>
        <v>185.77777777777783</v>
      </c>
      <c r="W355" s="22">
        <f t="shared" si="91"/>
        <v>150.57777777777778</v>
      </c>
      <c r="X355" s="22">
        <f t="shared" si="91"/>
        <v>166.22222222222217</v>
      </c>
      <c r="Y355" s="22">
        <f t="shared" si="91"/>
        <v>176</v>
      </c>
      <c r="Z355" s="23">
        <f t="shared" si="91"/>
        <v>140.79999999999995</v>
      </c>
      <c r="AA355" s="23">
        <f t="shared" si="91"/>
        <v>156.44444444444434</v>
      </c>
      <c r="AB355" s="23">
        <f t="shared" si="91"/>
        <v>166.22222222222217</v>
      </c>
      <c r="AC355" s="24">
        <f t="shared" si="91"/>
        <v>131.02222222222213</v>
      </c>
      <c r="AD355" s="24">
        <f t="shared" si="91"/>
        <v>146.66666666666674</v>
      </c>
      <c r="AE355" s="24">
        <f t="shared" si="91"/>
        <v>156.44444444444434</v>
      </c>
      <c r="AF355" s="25">
        <f t="shared" si="91"/>
        <v>121.24444444444441</v>
      </c>
      <c r="AG355" s="25">
        <f t="shared" si="91"/>
        <v>136.88888888888891</v>
      </c>
      <c r="AH355" s="25">
        <f t="shared" si="91"/>
        <v>146.66666666666674</v>
      </c>
      <c r="AI355" s="26">
        <f t="shared" si="91"/>
        <v>111.4666666666667</v>
      </c>
      <c r="AJ355" s="26">
        <f>AJ356-(AJ$363/360)</f>
        <v>127.11111111111109</v>
      </c>
      <c r="AK355" s="26">
        <f t="shared" si="89"/>
        <v>136.88888888888891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274.5555555555556</v>
      </c>
      <c r="F356" s="16">
        <f t="shared" si="92"/>
        <v>290.24444444444464</v>
      </c>
      <c r="G356" s="16">
        <f t="shared" si="92"/>
        <v>300.04999999999984</v>
      </c>
      <c r="H356" s="17">
        <f t="shared" si="92"/>
        <v>254.9444444444444</v>
      </c>
      <c r="I356" s="17">
        <f t="shared" si="92"/>
        <v>270.63333333333344</v>
      </c>
      <c r="J356" s="17">
        <f t="shared" si="92"/>
        <v>280.43888888888904</v>
      </c>
      <c r="K356" s="18">
        <f t="shared" si="92"/>
        <v>235.3333333333334</v>
      </c>
      <c r="L356" s="18">
        <f t="shared" si="92"/>
        <v>251.02222222222224</v>
      </c>
      <c r="M356" s="18">
        <f t="shared" si="92"/>
        <v>260.82777777777784</v>
      </c>
      <c r="N356" s="19">
        <f t="shared" si="92"/>
        <v>180.42222222222216</v>
      </c>
      <c r="O356" s="19">
        <f t="shared" si="92"/>
        <v>196.1111111111112</v>
      </c>
      <c r="P356" s="19">
        <f t="shared" si="92"/>
        <v>205.9166666666666</v>
      </c>
      <c r="Q356" s="20">
        <f t="shared" si="92"/>
        <v>170.61666666666676</v>
      </c>
      <c r="R356" s="20">
        <f t="shared" si="92"/>
        <v>186.3055555555556</v>
      </c>
      <c r="S356" s="20">
        <f t="shared" si="92"/>
        <v>196.1111111111112</v>
      </c>
      <c r="T356" s="21">
        <f t="shared" si="92"/>
        <v>160.81111111111116</v>
      </c>
      <c r="U356" s="21">
        <f t="shared" ref="U356:AJ362" si="93">U357-(U$363/360)</f>
        <v>176.5</v>
      </c>
      <c r="V356" s="21">
        <f t="shared" si="93"/>
        <v>186.3055555555556</v>
      </c>
      <c r="W356" s="22">
        <f t="shared" si="93"/>
        <v>151.00555555555556</v>
      </c>
      <c r="X356" s="22">
        <f t="shared" si="93"/>
        <v>166.6944444444444</v>
      </c>
      <c r="Y356" s="22">
        <f t="shared" si="93"/>
        <v>176.5</v>
      </c>
      <c r="Z356" s="23">
        <f t="shared" si="93"/>
        <v>141.19999999999996</v>
      </c>
      <c r="AA356" s="23">
        <f t="shared" si="93"/>
        <v>156.8888888888888</v>
      </c>
      <c r="AB356" s="23">
        <f t="shared" si="93"/>
        <v>166.6944444444444</v>
      </c>
      <c r="AC356" s="24">
        <f t="shared" si="93"/>
        <v>131.39444444444436</v>
      </c>
      <c r="AD356" s="24">
        <f t="shared" si="93"/>
        <v>147.0833333333334</v>
      </c>
      <c r="AE356" s="24">
        <f t="shared" si="93"/>
        <v>156.8888888888888</v>
      </c>
      <c r="AF356" s="25">
        <f t="shared" si="93"/>
        <v>121.58888888888886</v>
      </c>
      <c r="AG356" s="25">
        <f t="shared" si="93"/>
        <v>137.2777777777778</v>
      </c>
      <c r="AH356" s="25">
        <f t="shared" si="93"/>
        <v>147.0833333333334</v>
      </c>
      <c r="AI356" s="26">
        <f t="shared" si="93"/>
        <v>111.78333333333336</v>
      </c>
      <c r="AJ356" s="26">
        <f t="shared" si="93"/>
        <v>127.4722222222222</v>
      </c>
      <c r="AK356" s="26">
        <f t="shared" si="89"/>
        <v>137.2777777777778</v>
      </c>
    </row>
    <row r="357" spans="4:37" ht="20.100000000000001" customHeight="1">
      <c r="D357" s="27">
        <f t="shared" si="88"/>
        <v>0.98333333333333039</v>
      </c>
      <c r="E357" s="16">
        <f t="shared" si="92"/>
        <v>275.33333333333337</v>
      </c>
      <c r="F357" s="16">
        <f t="shared" si="92"/>
        <v>291.06666666666683</v>
      </c>
      <c r="G357" s="16">
        <f t="shared" si="92"/>
        <v>300.89999999999986</v>
      </c>
      <c r="H357" s="17">
        <f t="shared" si="92"/>
        <v>255.66666666666663</v>
      </c>
      <c r="I357" s="17">
        <f t="shared" si="92"/>
        <v>271.40000000000009</v>
      </c>
      <c r="J357" s="17">
        <f t="shared" si="92"/>
        <v>281.23333333333346</v>
      </c>
      <c r="K357" s="18">
        <f t="shared" si="92"/>
        <v>236.00000000000006</v>
      </c>
      <c r="L357" s="18">
        <f t="shared" si="92"/>
        <v>251.73333333333335</v>
      </c>
      <c r="M357" s="18">
        <f t="shared" si="92"/>
        <v>261.56666666666672</v>
      </c>
      <c r="N357" s="19">
        <f t="shared" si="92"/>
        <v>180.93333333333328</v>
      </c>
      <c r="O357" s="19">
        <f t="shared" si="92"/>
        <v>196.66666666666674</v>
      </c>
      <c r="P357" s="19">
        <f t="shared" si="92"/>
        <v>206.49999999999994</v>
      </c>
      <c r="Q357" s="20">
        <f t="shared" si="92"/>
        <v>171.10000000000008</v>
      </c>
      <c r="R357" s="20">
        <f t="shared" si="92"/>
        <v>186.83333333333337</v>
      </c>
      <c r="S357" s="20">
        <f t="shared" si="92"/>
        <v>196.66666666666674</v>
      </c>
      <c r="T357" s="21">
        <f t="shared" si="92"/>
        <v>161.26666666666671</v>
      </c>
      <c r="U357" s="21">
        <f t="shared" si="93"/>
        <v>177</v>
      </c>
      <c r="V357" s="21">
        <f t="shared" si="93"/>
        <v>186.83333333333337</v>
      </c>
      <c r="W357" s="22">
        <f t="shared" si="93"/>
        <v>151.43333333333334</v>
      </c>
      <c r="X357" s="22">
        <f t="shared" si="93"/>
        <v>167.16666666666663</v>
      </c>
      <c r="Y357" s="22">
        <f t="shared" si="93"/>
        <v>177</v>
      </c>
      <c r="Z357" s="23">
        <f t="shared" si="93"/>
        <v>141.59999999999997</v>
      </c>
      <c r="AA357" s="23">
        <f t="shared" si="93"/>
        <v>157.33333333333326</v>
      </c>
      <c r="AB357" s="23">
        <f t="shared" si="93"/>
        <v>167.16666666666663</v>
      </c>
      <c r="AC357" s="24">
        <f t="shared" si="93"/>
        <v>131.76666666666659</v>
      </c>
      <c r="AD357" s="24">
        <f t="shared" si="93"/>
        <v>147.50000000000006</v>
      </c>
      <c r="AE357" s="24">
        <f t="shared" si="93"/>
        <v>157.33333333333326</v>
      </c>
      <c r="AF357" s="25">
        <f t="shared" si="93"/>
        <v>121.93333333333331</v>
      </c>
      <c r="AG357" s="25">
        <f t="shared" si="93"/>
        <v>137.66666666666669</v>
      </c>
      <c r="AH357" s="25">
        <f t="shared" si="93"/>
        <v>147.50000000000006</v>
      </c>
      <c r="AI357" s="26">
        <f t="shared" si="93"/>
        <v>112.10000000000002</v>
      </c>
      <c r="AJ357" s="26">
        <f t="shared" si="93"/>
        <v>127.83333333333331</v>
      </c>
      <c r="AK357" s="26">
        <f t="shared" si="89"/>
        <v>137.66666666666669</v>
      </c>
    </row>
    <row r="358" spans="4:37" ht="20.100000000000001" customHeight="1">
      <c r="D358" s="27">
        <f t="shared" si="88"/>
        <v>0.98611111111110816</v>
      </c>
      <c r="E358" s="16">
        <f t="shared" si="92"/>
        <v>276.11111111111114</v>
      </c>
      <c r="F358" s="16">
        <f t="shared" si="92"/>
        <v>291.88888888888903</v>
      </c>
      <c r="G358" s="16">
        <f t="shared" si="92"/>
        <v>301.74999999999989</v>
      </c>
      <c r="H358" s="17">
        <f t="shared" si="92"/>
        <v>256.38888888888886</v>
      </c>
      <c r="I358" s="17">
        <f t="shared" si="92"/>
        <v>272.16666666666674</v>
      </c>
      <c r="J358" s="17">
        <f t="shared" si="92"/>
        <v>282.02777777777789</v>
      </c>
      <c r="K358" s="18">
        <f t="shared" si="92"/>
        <v>236.66666666666671</v>
      </c>
      <c r="L358" s="18">
        <f t="shared" si="92"/>
        <v>252.44444444444446</v>
      </c>
      <c r="M358" s="18">
        <f t="shared" si="92"/>
        <v>262.3055555555556</v>
      </c>
      <c r="N358" s="19">
        <f t="shared" si="92"/>
        <v>181.4444444444444</v>
      </c>
      <c r="O358" s="19">
        <f t="shared" si="92"/>
        <v>197.22222222222229</v>
      </c>
      <c r="P358" s="19">
        <f t="shared" si="92"/>
        <v>207.08333333333329</v>
      </c>
      <c r="Q358" s="20">
        <f t="shared" si="92"/>
        <v>171.5833333333334</v>
      </c>
      <c r="R358" s="20">
        <f t="shared" si="92"/>
        <v>187.36111111111114</v>
      </c>
      <c r="S358" s="20">
        <f t="shared" si="92"/>
        <v>197.22222222222229</v>
      </c>
      <c r="T358" s="21">
        <f t="shared" si="92"/>
        <v>161.72222222222226</v>
      </c>
      <c r="U358" s="21">
        <f t="shared" si="93"/>
        <v>177.5</v>
      </c>
      <c r="V358" s="21">
        <f t="shared" si="93"/>
        <v>187.36111111111114</v>
      </c>
      <c r="W358" s="22">
        <f t="shared" si="93"/>
        <v>151.86111111111111</v>
      </c>
      <c r="X358" s="22">
        <f t="shared" si="93"/>
        <v>167.63888888888886</v>
      </c>
      <c r="Y358" s="22">
        <f t="shared" si="93"/>
        <v>177.5</v>
      </c>
      <c r="Z358" s="23">
        <f t="shared" si="93"/>
        <v>141.99999999999997</v>
      </c>
      <c r="AA358" s="23">
        <f t="shared" si="93"/>
        <v>157.77777777777771</v>
      </c>
      <c r="AB358" s="23">
        <f t="shared" si="93"/>
        <v>167.63888888888886</v>
      </c>
      <c r="AC358" s="24">
        <f t="shared" si="93"/>
        <v>132.13888888888883</v>
      </c>
      <c r="AD358" s="24">
        <f t="shared" si="93"/>
        <v>147.91666666666671</v>
      </c>
      <c r="AE358" s="24">
        <f t="shared" si="93"/>
        <v>157.77777777777771</v>
      </c>
      <c r="AF358" s="25">
        <f t="shared" si="93"/>
        <v>122.27777777777776</v>
      </c>
      <c r="AG358" s="25">
        <f t="shared" si="93"/>
        <v>138.05555555555557</v>
      </c>
      <c r="AH358" s="25">
        <f t="shared" si="93"/>
        <v>147.91666666666671</v>
      </c>
      <c r="AI358" s="26">
        <f t="shared" si="93"/>
        <v>112.41666666666669</v>
      </c>
      <c r="AJ358" s="26">
        <f t="shared" si="93"/>
        <v>128.19444444444443</v>
      </c>
      <c r="AK358" s="26">
        <f t="shared" si="89"/>
        <v>138.05555555555557</v>
      </c>
    </row>
    <row r="359" spans="4:37" ht="20.100000000000001" customHeight="1">
      <c r="D359" s="27">
        <f t="shared" si="88"/>
        <v>0.98888888888888593</v>
      </c>
      <c r="E359" s="16">
        <f t="shared" si="92"/>
        <v>276.88888888888891</v>
      </c>
      <c r="F359" s="16">
        <f t="shared" si="92"/>
        <v>292.71111111111122</v>
      </c>
      <c r="G359" s="16">
        <f t="shared" si="92"/>
        <v>302.59999999999991</v>
      </c>
      <c r="H359" s="17">
        <f t="shared" si="92"/>
        <v>257.11111111111109</v>
      </c>
      <c r="I359" s="17">
        <f t="shared" si="92"/>
        <v>272.93333333333339</v>
      </c>
      <c r="J359" s="17">
        <f t="shared" si="92"/>
        <v>282.82222222222231</v>
      </c>
      <c r="K359" s="18">
        <f t="shared" si="92"/>
        <v>237.33333333333337</v>
      </c>
      <c r="L359" s="18">
        <f t="shared" si="92"/>
        <v>253.15555555555557</v>
      </c>
      <c r="M359" s="18">
        <f t="shared" si="92"/>
        <v>263.04444444444448</v>
      </c>
      <c r="N359" s="19">
        <f t="shared" si="92"/>
        <v>181.95555555555552</v>
      </c>
      <c r="O359" s="19">
        <f t="shared" si="92"/>
        <v>197.77777777777783</v>
      </c>
      <c r="P359" s="19">
        <f t="shared" si="92"/>
        <v>207.66666666666663</v>
      </c>
      <c r="Q359" s="20">
        <f t="shared" si="92"/>
        <v>172.06666666666672</v>
      </c>
      <c r="R359" s="20">
        <f t="shared" si="92"/>
        <v>187.88888888888891</v>
      </c>
      <c r="S359" s="20">
        <f t="shared" si="92"/>
        <v>197.77777777777783</v>
      </c>
      <c r="T359" s="21">
        <f t="shared" si="92"/>
        <v>162.17777777777781</v>
      </c>
      <c r="U359" s="21">
        <f t="shared" si="93"/>
        <v>178</v>
      </c>
      <c r="V359" s="21">
        <f t="shared" si="93"/>
        <v>187.88888888888891</v>
      </c>
      <c r="W359" s="22">
        <f t="shared" si="93"/>
        <v>152.28888888888889</v>
      </c>
      <c r="X359" s="22">
        <f t="shared" si="93"/>
        <v>168.11111111111109</v>
      </c>
      <c r="Y359" s="22">
        <f t="shared" si="93"/>
        <v>178</v>
      </c>
      <c r="Z359" s="23">
        <f t="shared" si="93"/>
        <v>142.39999999999998</v>
      </c>
      <c r="AA359" s="23">
        <f t="shared" si="93"/>
        <v>158.22222222222217</v>
      </c>
      <c r="AB359" s="23">
        <f t="shared" si="93"/>
        <v>168.11111111111109</v>
      </c>
      <c r="AC359" s="24">
        <f t="shared" si="93"/>
        <v>132.51111111111106</v>
      </c>
      <c r="AD359" s="24">
        <f t="shared" si="93"/>
        <v>148.33333333333337</v>
      </c>
      <c r="AE359" s="24">
        <f t="shared" si="93"/>
        <v>158.22222222222217</v>
      </c>
      <c r="AF359" s="25">
        <f t="shared" si="93"/>
        <v>122.62222222222221</v>
      </c>
      <c r="AG359" s="25">
        <f t="shared" si="93"/>
        <v>138.44444444444446</v>
      </c>
      <c r="AH359" s="25">
        <f t="shared" si="93"/>
        <v>148.33333333333337</v>
      </c>
      <c r="AI359" s="26">
        <f t="shared" si="93"/>
        <v>112.73333333333335</v>
      </c>
      <c r="AJ359" s="26">
        <f t="shared" si="93"/>
        <v>128.55555555555554</v>
      </c>
      <c r="AK359" s="26">
        <f t="shared" si="89"/>
        <v>138.44444444444446</v>
      </c>
    </row>
    <row r="360" spans="4:37" ht="20.100000000000001" customHeight="1">
      <c r="D360" s="27">
        <f t="shared" si="88"/>
        <v>0.9916666666666637</v>
      </c>
      <c r="E360" s="16">
        <f t="shared" si="92"/>
        <v>277.66666666666669</v>
      </c>
      <c r="F360" s="16">
        <f t="shared" si="92"/>
        <v>293.53333333333342</v>
      </c>
      <c r="G360" s="16">
        <f t="shared" si="92"/>
        <v>303.44999999999993</v>
      </c>
      <c r="H360" s="17">
        <f t="shared" si="92"/>
        <v>257.83333333333331</v>
      </c>
      <c r="I360" s="17">
        <f t="shared" si="92"/>
        <v>273.70000000000005</v>
      </c>
      <c r="J360" s="17">
        <f t="shared" si="92"/>
        <v>283.61666666666673</v>
      </c>
      <c r="K360" s="18">
        <f t="shared" si="92"/>
        <v>238.00000000000003</v>
      </c>
      <c r="L360" s="18">
        <f t="shared" si="92"/>
        <v>253.86666666666667</v>
      </c>
      <c r="M360" s="18">
        <f t="shared" si="92"/>
        <v>263.78333333333336</v>
      </c>
      <c r="N360" s="19">
        <f t="shared" si="92"/>
        <v>182.46666666666664</v>
      </c>
      <c r="O360" s="19">
        <f t="shared" si="92"/>
        <v>198.33333333333337</v>
      </c>
      <c r="P360" s="19">
        <f t="shared" si="92"/>
        <v>208.24999999999997</v>
      </c>
      <c r="Q360" s="20">
        <f t="shared" si="92"/>
        <v>172.55000000000004</v>
      </c>
      <c r="R360" s="20">
        <f t="shared" si="92"/>
        <v>188.41666666666669</v>
      </c>
      <c r="S360" s="20">
        <f t="shared" si="92"/>
        <v>198.33333333333337</v>
      </c>
      <c r="T360" s="21">
        <f t="shared" si="92"/>
        <v>162.63333333333335</v>
      </c>
      <c r="U360" s="21">
        <f t="shared" si="93"/>
        <v>178.5</v>
      </c>
      <c r="V360" s="21">
        <f t="shared" si="93"/>
        <v>188.41666666666669</v>
      </c>
      <c r="W360" s="22">
        <f t="shared" si="93"/>
        <v>152.71666666666667</v>
      </c>
      <c r="X360" s="22">
        <f t="shared" si="93"/>
        <v>168.58333333333331</v>
      </c>
      <c r="Y360" s="22">
        <f t="shared" si="93"/>
        <v>178.5</v>
      </c>
      <c r="Z360" s="23">
        <f t="shared" si="93"/>
        <v>142.79999999999998</v>
      </c>
      <c r="AA360" s="23">
        <f t="shared" si="93"/>
        <v>158.66666666666663</v>
      </c>
      <c r="AB360" s="23">
        <f t="shared" si="93"/>
        <v>168.58333333333331</v>
      </c>
      <c r="AC360" s="24">
        <f t="shared" si="93"/>
        <v>132.8833333333333</v>
      </c>
      <c r="AD360" s="24">
        <f t="shared" si="93"/>
        <v>148.75000000000003</v>
      </c>
      <c r="AE360" s="24">
        <f t="shared" si="93"/>
        <v>158.66666666666663</v>
      </c>
      <c r="AF360" s="25">
        <f t="shared" si="93"/>
        <v>122.96666666666665</v>
      </c>
      <c r="AG360" s="25">
        <f t="shared" si="93"/>
        <v>138.83333333333334</v>
      </c>
      <c r="AH360" s="25">
        <f t="shared" si="93"/>
        <v>148.75000000000003</v>
      </c>
      <c r="AI360" s="26">
        <f t="shared" si="93"/>
        <v>113.05000000000001</v>
      </c>
      <c r="AJ360" s="26">
        <f t="shared" si="93"/>
        <v>128.91666666666666</v>
      </c>
      <c r="AK360" s="26">
        <f t="shared" si="89"/>
        <v>138.83333333333334</v>
      </c>
    </row>
    <row r="361" spans="4:37" ht="20.100000000000001" customHeight="1">
      <c r="D361" s="27">
        <f t="shared" si="88"/>
        <v>0.99444444444444147</v>
      </c>
      <c r="E361" s="16">
        <f>E362-(E$363/360)</f>
        <v>278.44444444444446</v>
      </c>
      <c r="F361" s="16">
        <f t="shared" si="92"/>
        <v>294.35555555555561</v>
      </c>
      <c r="G361" s="16">
        <f t="shared" si="92"/>
        <v>304.29999999999995</v>
      </c>
      <c r="H361" s="17">
        <f t="shared" si="92"/>
        <v>258.55555555555554</v>
      </c>
      <c r="I361" s="17">
        <f t="shared" si="92"/>
        <v>274.4666666666667</v>
      </c>
      <c r="J361" s="17">
        <f t="shared" si="92"/>
        <v>284.41111111111115</v>
      </c>
      <c r="K361" s="18">
        <f t="shared" si="92"/>
        <v>238.66666666666669</v>
      </c>
      <c r="L361" s="18">
        <f t="shared" si="92"/>
        <v>254.57777777777778</v>
      </c>
      <c r="M361" s="18">
        <f t="shared" si="92"/>
        <v>264.52222222222224</v>
      </c>
      <c r="N361" s="19">
        <f t="shared" si="92"/>
        <v>182.97777777777776</v>
      </c>
      <c r="O361" s="19">
        <f t="shared" si="92"/>
        <v>198.88888888888891</v>
      </c>
      <c r="P361" s="19">
        <f t="shared" si="92"/>
        <v>208.83333333333331</v>
      </c>
      <c r="Q361" s="20">
        <f t="shared" si="92"/>
        <v>173.03333333333336</v>
      </c>
      <c r="R361" s="20">
        <f t="shared" si="92"/>
        <v>188.94444444444446</v>
      </c>
      <c r="S361" s="20">
        <f t="shared" si="92"/>
        <v>198.88888888888891</v>
      </c>
      <c r="T361" s="21">
        <f t="shared" si="92"/>
        <v>163.0888888888889</v>
      </c>
      <c r="U361" s="21">
        <f t="shared" si="93"/>
        <v>179</v>
      </c>
      <c r="V361" s="21">
        <f t="shared" si="93"/>
        <v>188.94444444444446</v>
      </c>
      <c r="W361" s="22">
        <f t="shared" si="93"/>
        <v>153.14444444444445</v>
      </c>
      <c r="X361" s="22">
        <f t="shared" si="93"/>
        <v>169.05555555555554</v>
      </c>
      <c r="Y361" s="22">
        <f t="shared" si="93"/>
        <v>179</v>
      </c>
      <c r="Z361" s="23">
        <f t="shared" si="93"/>
        <v>143.19999999999999</v>
      </c>
      <c r="AA361" s="23">
        <f t="shared" si="93"/>
        <v>159.11111111111109</v>
      </c>
      <c r="AB361" s="23">
        <f t="shared" si="93"/>
        <v>169.05555555555554</v>
      </c>
      <c r="AC361" s="24">
        <f t="shared" si="93"/>
        <v>133.25555555555553</v>
      </c>
      <c r="AD361" s="24">
        <f t="shared" si="93"/>
        <v>149.16666666666669</v>
      </c>
      <c r="AE361" s="24">
        <f t="shared" si="93"/>
        <v>159.11111111111109</v>
      </c>
      <c r="AF361" s="25">
        <f t="shared" si="93"/>
        <v>123.3111111111111</v>
      </c>
      <c r="AG361" s="25">
        <f t="shared" si="93"/>
        <v>139.22222222222223</v>
      </c>
      <c r="AH361" s="25">
        <f t="shared" si="93"/>
        <v>149.16666666666669</v>
      </c>
      <c r="AI361" s="26">
        <f t="shared" si="93"/>
        <v>113.36666666666667</v>
      </c>
      <c r="AJ361" s="26">
        <f t="shared" si="93"/>
        <v>129.27777777777777</v>
      </c>
      <c r="AK361" s="26">
        <f t="shared" si="89"/>
        <v>139.22222222222223</v>
      </c>
    </row>
    <row r="362" spans="4:37" ht="20.100000000000001" customHeight="1">
      <c r="D362" s="27">
        <f t="shared" si="88"/>
        <v>0.99722222222221923</v>
      </c>
      <c r="E362" s="16">
        <f>E363-(E$363/360)</f>
        <v>279.22222222222223</v>
      </c>
      <c r="F362" s="16">
        <f t="shared" si="92"/>
        <v>295.17777777777781</v>
      </c>
      <c r="G362" s="16">
        <f t="shared" si="92"/>
        <v>305.14999999999998</v>
      </c>
      <c r="H362" s="17">
        <f t="shared" si="92"/>
        <v>259.27777777777777</v>
      </c>
      <c r="I362" s="17">
        <f t="shared" si="92"/>
        <v>275.23333333333335</v>
      </c>
      <c r="J362" s="17">
        <f t="shared" si="92"/>
        <v>285.20555555555558</v>
      </c>
      <c r="K362" s="18">
        <f t="shared" si="92"/>
        <v>239.33333333333334</v>
      </c>
      <c r="L362" s="18">
        <f t="shared" si="92"/>
        <v>255.28888888888889</v>
      </c>
      <c r="M362" s="18">
        <f t="shared" si="92"/>
        <v>265.26111111111112</v>
      </c>
      <c r="N362" s="19">
        <f t="shared" si="92"/>
        <v>183.48888888888888</v>
      </c>
      <c r="O362" s="19">
        <f t="shared" si="92"/>
        <v>199.44444444444446</v>
      </c>
      <c r="P362" s="19">
        <f t="shared" si="92"/>
        <v>209.41666666666666</v>
      </c>
      <c r="Q362" s="20">
        <f t="shared" si="92"/>
        <v>173.51666666666668</v>
      </c>
      <c r="R362" s="20">
        <f t="shared" si="92"/>
        <v>189.47222222222223</v>
      </c>
      <c r="S362" s="20">
        <f t="shared" si="92"/>
        <v>199.44444444444446</v>
      </c>
      <c r="T362" s="21">
        <f t="shared" si="92"/>
        <v>163.54444444444445</v>
      </c>
      <c r="U362" s="21">
        <f>U363-(U$363/360)</f>
        <v>179.5</v>
      </c>
      <c r="V362" s="21">
        <f>V363-(V$363/360)</f>
        <v>189.47222222222223</v>
      </c>
      <c r="W362" s="22">
        <f>W363-(W$363/360)</f>
        <v>153.57222222222222</v>
      </c>
      <c r="X362" s="22">
        <f t="shared" si="93"/>
        <v>169.52777777777777</v>
      </c>
      <c r="Y362" s="22">
        <f t="shared" si="93"/>
        <v>179.5</v>
      </c>
      <c r="Z362" s="23">
        <f t="shared" si="93"/>
        <v>143.6</v>
      </c>
      <c r="AA362" s="23">
        <f t="shared" si="93"/>
        <v>159.55555555555554</v>
      </c>
      <c r="AB362" s="23">
        <f t="shared" si="93"/>
        <v>169.52777777777777</v>
      </c>
      <c r="AC362" s="24">
        <f t="shared" si="93"/>
        <v>133.62777777777777</v>
      </c>
      <c r="AD362" s="24">
        <f t="shared" si="93"/>
        <v>149.58333333333334</v>
      </c>
      <c r="AE362" s="24">
        <f t="shared" si="93"/>
        <v>159.55555555555554</v>
      </c>
      <c r="AF362" s="25">
        <f t="shared" si="93"/>
        <v>123.65555555555555</v>
      </c>
      <c r="AG362" s="25">
        <f t="shared" si="93"/>
        <v>139.61111111111111</v>
      </c>
      <c r="AH362" s="25">
        <f t="shared" si="93"/>
        <v>149.58333333333334</v>
      </c>
      <c r="AI362" s="26">
        <f t="shared" si="93"/>
        <v>113.68333333333334</v>
      </c>
      <c r="AJ362" s="26">
        <f t="shared" si="93"/>
        <v>129.63888888888889</v>
      </c>
      <c r="AK362" s="26">
        <f t="shared" si="89"/>
        <v>139.61111111111111</v>
      </c>
    </row>
    <row r="363" spans="4:37" ht="20.100000000000001" customHeight="1">
      <c r="D363" s="27">
        <f t="shared" si="88"/>
        <v>0.999999999999997</v>
      </c>
      <c r="E363" s="4">
        <f>B1+B2</f>
        <v>280</v>
      </c>
      <c r="F363" s="4">
        <f>E363+10+B3</f>
        <v>296</v>
      </c>
      <c r="G363" s="4">
        <f>F363+10</f>
        <v>306</v>
      </c>
      <c r="H363" s="5">
        <f t="shared" ref="H363:M363" si="94">E363-20</f>
        <v>260</v>
      </c>
      <c r="I363" s="5">
        <f t="shared" si="94"/>
        <v>276</v>
      </c>
      <c r="J363" s="5">
        <f t="shared" si="94"/>
        <v>286</v>
      </c>
      <c r="K363" s="6">
        <f t="shared" si="94"/>
        <v>240</v>
      </c>
      <c r="L363" s="6">
        <f t="shared" si="94"/>
        <v>256</v>
      </c>
      <c r="M363" s="6">
        <f t="shared" si="94"/>
        <v>266</v>
      </c>
      <c r="N363" s="7">
        <f>180+B2</f>
        <v>184</v>
      </c>
      <c r="O363" s="7">
        <f>N363+B3+10</f>
        <v>200</v>
      </c>
      <c r="P363" s="7">
        <f>O363+10</f>
        <v>210</v>
      </c>
      <c r="Q363" s="8">
        <f>N363-10</f>
        <v>174</v>
      </c>
      <c r="R363" s="8">
        <f>O363-10</f>
        <v>190</v>
      </c>
      <c r="S363" s="8">
        <f>P363-10</f>
        <v>200</v>
      </c>
      <c r="T363" s="9">
        <f>Q363-10</f>
        <v>164</v>
      </c>
      <c r="U363" s="9">
        <f t="shared" ref="U363:AK363" si="95">R363-10</f>
        <v>180</v>
      </c>
      <c r="V363" s="9">
        <f t="shared" si="95"/>
        <v>190</v>
      </c>
      <c r="W363" s="10">
        <f t="shared" si="95"/>
        <v>154</v>
      </c>
      <c r="X363" s="10">
        <f t="shared" si="95"/>
        <v>170</v>
      </c>
      <c r="Y363" s="10">
        <f t="shared" si="95"/>
        <v>180</v>
      </c>
      <c r="Z363" s="11">
        <f t="shared" si="95"/>
        <v>144</v>
      </c>
      <c r="AA363" s="11">
        <f t="shared" si="95"/>
        <v>160</v>
      </c>
      <c r="AB363" s="11">
        <f t="shared" si="95"/>
        <v>170</v>
      </c>
      <c r="AC363" s="12">
        <f t="shared" si="95"/>
        <v>134</v>
      </c>
      <c r="AD363" s="12">
        <f t="shared" si="95"/>
        <v>150</v>
      </c>
      <c r="AE363" s="12">
        <f t="shared" si="95"/>
        <v>160</v>
      </c>
      <c r="AF363" s="13">
        <f t="shared" si="95"/>
        <v>124</v>
      </c>
      <c r="AG363" s="13">
        <f t="shared" si="95"/>
        <v>140</v>
      </c>
      <c r="AH363" s="13">
        <f t="shared" si="95"/>
        <v>150</v>
      </c>
      <c r="AI363" s="14">
        <f t="shared" si="95"/>
        <v>114</v>
      </c>
      <c r="AJ363" s="14">
        <f t="shared" si="95"/>
        <v>130</v>
      </c>
      <c r="AK363" s="14">
        <f t="shared" si="95"/>
        <v>140</v>
      </c>
    </row>
  </sheetData>
  <sheetProtection sheet="1" objects="1" scenarios="1" selectLockedCells="1" selectUnlockedCells="1"/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X362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44"/>
  </cols>
  <sheetData>
    <row r="1" spans="1:20" ht="20.100000000000001" customHeight="1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0.100000000000001" customHeight="1">
      <c r="A2" s="43"/>
      <c r="B2" s="43"/>
      <c r="C2" s="43"/>
      <c r="D2" s="43"/>
      <c r="E2" s="43"/>
      <c r="F2" s="43"/>
      <c r="G2" s="626" t="s">
        <v>0</v>
      </c>
      <c r="H2" s="627"/>
      <c r="I2" s="626" t="s">
        <v>1</v>
      </c>
      <c r="J2" s="627"/>
      <c r="K2" s="626" t="s">
        <v>2</v>
      </c>
      <c r="L2" s="627"/>
      <c r="M2" s="42"/>
      <c r="N2" s="45" t="s">
        <v>3</v>
      </c>
      <c r="O2" s="46">
        <f>COS(Index!E4*PI()/180)</f>
        <v>0.64278760968653936</v>
      </c>
      <c r="P2" s="43"/>
      <c r="Q2" s="43"/>
      <c r="R2" s="43"/>
      <c r="S2" s="43"/>
      <c r="T2" s="43"/>
    </row>
    <row r="3" spans="1:20" ht="20.100000000000001" customHeight="1">
      <c r="A3" s="43"/>
      <c r="B3" s="43"/>
      <c r="C3" s="43"/>
      <c r="D3" s="43"/>
      <c r="E3" s="43"/>
      <c r="F3" s="43"/>
      <c r="G3" s="47">
        <v>0.7</v>
      </c>
      <c r="H3" s="48">
        <v>24.75</v>
      </c>
      <c r="I3" s="47">
        <v>0.7</v>
      </c>
      <c r="J3" s="40">
        <v>25.2</v>
      </c>
      <c r="K3" s="47">
        <v>0.7</v>
      </c>
      <c r="L3" s="48">
        <v>24.75</v>
      </c>
      <c r="M3" s="42"/>
      <c r="N3" s="49" t="s">
        <v>4</v>
      </c>
      <c r="O3" s="50">
        <f>SIN(Index!E4*PI()/180)</f>
        <v>0.76604444311897801</v>
      </c>
      <c r="P3" s="43"/>
      <c r="Q3" s="43"/>
      <c r="R3" s="43"/>
      <c r="S3" s="43"/>
      <c r="T3" s="43"/>
    </row>
    <row r="4" spans="1:20" ht="20.100000000000001" customHeight="1">
      <c r="A4" s="43"/>
      <c r="B4" s="43"/>
      <c r="C4" s="43"/>
      <c r="D4" s="43"/>
      <c r="E4" s="43"/>
      <c r="F4" s="43"/>
      <c r="G4" s="47">
        <v>0.75</v>
      </c>
      <c r="H4" s="48">
        <v>21</v>
      </c>
      <c r="I4" s="47">
        <v>0.75</v>
      </c>
      <c r="J4" s="40">
        <v>21.1</v>
      </c>
      <c r="K4" s="47">
        <v>0.75</v>
      </c>
      <c r="L4" s="48">
        <v>21</v>
      </c>
      <c r="M4" s="42"/>
      <c r="N4" s="49"/>
      <c r="O4" s="50"/>
      <c r="P4" s="43"/>
      <c r="Q4" s="43"/>
      <c r="R4" s="43"/>
      <c r="S4" s="43"/>
      <c r="T4" s="43"/>
    </row>
    <row r="5" spans="1:20" ht="20.100000000000001" customHeight="1">
      <c r="A5" s="43"/>
      <c r="B5" s="43"/>
      <c r="C5" s="43"/>
      <c r="D5" s="43"/>
      <c r="E5" s="43"/>
      <c r="F5" s="43"/>
      <c r="G5" s="47">
        <v>0.8</v>
      </c>
      <c r="H5" s="48">
        <v>15.6</v>
      </c>
      <c r="I5" s="47">
        <v>0.8</v>
      </c>
      <c r="J5" s="40">
        <v>16.3</v>
      </c>
      <c r="K5" s="47">
        <v>0.8</v>
      </c>
      <c r="L5" s="48">
        <v>16</v>
      </c>
      <c r="M5" s="42"/>
      <c r="N5" s="51" t="s">
        <v>3</v>
      </c>
      <c r="O5" s="52">
        <f>COS(RADIANS(Index!E4))</f>
        <v>0.64278760968653936</v>
      </c>
      <c r="P5" s="43"/>
      <c r="Q5" s="43"/>
      <c r="R5" s="43"/>
      <c r="S5" s="43"/>
      <c r="T5" s="43"/>
    </row>
    <row r="6" spans="1:20" ht="20.100000000000001" customHeight="1">
      <c r="A6" s="53"/>
      <c r="B6" s="43"/>
      <c r="C6" s="43"/>
      <c r="D6" s="43"/>
      <c r="E6" s="43"/>
      <c r="F6" s="43"/>
      <c r="G6" s="47">
        <v>0.82</v>
      </c>
      <c r="H6" s="54">
        <v>14.6</v>
      </c>
      <c r="I6" s="47">
        <v>0.82</v>
      </c>
      <c r="J6" s="41">
        <v>14.8</v>
      </c>
      <c r="K6" s="47">
        <v>0.82</v>
      </c>
      <c r="L6" s="54">
        <v>15</v>
      </c>
      <c r="M6" s="42"/>
      <c r="N6" s="43"/>
      <c r="O6" s="43"/>
      <c r="P6" s="43"/>
      <c r="Q6" s="43"/>
      <c r="R6" s="43"/>
      <c r="S6" s="43"/>
      <c r="T6" s="43"/>
    </row>
    <row r="7" spans="1:20" ht="20.100000000000001" customHeight="1">
      <c r="A7" s="43"/>
      <c r="B7" s="43"/>
      <c r="C7" s="43"/>
      <c r="D7" s="43"/>
      <c r="E7" s="43"/>
      <c r="F7" s="43"/>
      <c r="G7" s="47">
        <v>0.85</v>
      </c>
      <c r="H7" s="48">
        <v>13</v>
      </c>
      <c r="I7" s="47">
        <v>0.85</v>
      </c>
      <c r="J7" s="40">
        <v>12.22</v>
      </c>
      <c r="K7" s="47">
        <v>0.85</v>
      </c>
      <c r="L7" s="48">
        <v>12</v>
      </c>
      <c r="M7" s="42"/>
      <c r="N7" s="43"/>
      <c r="O7" s="43"/>
      <c r="P7" s="43"/>
      <c r="Q7" s="43"/>
      <c r="R7" s="43"/>
      <c r="S7" s="43"/>
      <c r="T7" s="43"/>
    </row>
    <row r="8" spans="1:20" ht="20.100000000000001" customHeight="1">
      <c r="A8" s="43"/>
      <c r="B8" s="43"/>
      <c r="C8" s="43"/>
      <c r="D8" s="43"/>
      <c r="E8" s="43"/>
      <c r="F8" s="43"/>
      <c r="G8" s="47">
        <v>0.9</v>
      </c>
      <c r="H8" s="48">
        <v>8</v>
      </c>
      <c r="I8" s="47">
        <v>0.9</v>
      </c>
      <c r="J8" s="40">
        <v>7.7</v>
      </c>
      <c r="K8" s="47">
        <v>0.9</v>
      </c>
      <c r="L8" s="48">
        <v>8</v>
      </c>
      <c r="M8" s="42"/>
      <c r="N8" s="43"/>
      <c r="O8" s="43"/>
      <c r="P8" s="43"/>
      <c r="Q8" s="43"/>
      <c r="R8" s="43"/>
      <c r="S8" s="43"/>
      <c r="T8" s="43"/>
    </row>
    <row r="9" spans="1:20" ht="20.100000000000001" customHeight="1">
      <c r="A9" s="43"/>
      <c r="B9" s="43"/>
      <c r="C9" s="43"/>
      <c r="D9" s="43"/>
      <c r="E9" s="43"/>
      <c r="F9" s="43"/>
      <c r="G9" s="47">
        <v>0.92</v>
      </c>
      <c r="H9" s="48">
        <v>6.25</v>
      </c>
      <c r="I9" s="47">
        <v>0.92</v>
      </c>
      <c r="J9" s="40">
        <v>6.2</v>
      </c>
      <c r="K9" s="47">
        <v>0.92</v>
      </c>
      <c r="L9" s="48">
        <v>8.5</v>
      </c>
      <c r="M9" s="42"/>
      <c r="N9" s="42"/>
      <c r="O9" s="42"/>
      <c r="P9" s="43"/>
      <c r="Q9" s="43"/>
      <c r="R9" s="43"/>
      <c r="S9" s="43"/>
      <c r="T9" s="43"/>
    </row>
    <row r="10" spans="1:20" ht="20.100000000000001" customHeight="1">
      <c r="A10" s="43"/>
      <c r="B10" s="43"/>
      <c r="C10" s="43"/>
      <c r="D10" s="43"/>
      <c r="E10" s="43"/>
      <c r="F10" s="43"/>
      <c r="G10" s="47">
        <v>0.95</v>
      </c>
      <c r="H10" s="48">
        <v>4</v>
      </c>
      <c r="I10" s="47">
        <v>0.95</v>
      </c>
      <c r="J10" s="40">
        <v>4</v>
      </c>
      <c r="K10" s="47">
        <v>0.95</v>
      </c>
      <c r="L10" s="48">
        <v>4</v>
      </c>
      <c r="M10" s="42"/>
      <c r="N10" s="42"/>
      <c r="O10" s="42"/>
      <c r="P10" s="43"/>
      <c r="Q10" s="43"/>
      <c r="R10" s="43"/>
      <c r="S10" s="43"/>
      <c r="T10" s="43"/>
    </row>
    <row r="11" spans="1:20" ht="20.100000000000001" customHeight="1">
      <c r="A11" s="43"/>
      <c r="B11" s="43"/>
      <c r="C11" s="43"/>
      <c r="D11" s="43"/>
      <c r="E11" s="43"/>
      <c r="F11" s="43"/>
      <c r="G11" s="47">
        <v>0.97</v>
      </c>
      <c r="H11" s="48">
        <v>2.35</v>
      </c>
      <c r="I11" s="47">
        <v>0.97</v>
      </c>
      <c r="J11" s="40">
        <v>2.2000000000000002</v>
      </c>
      <c r="K11" s="47">
        <v>0.97</v>
      </c>
      <c r="L11" s="48">
        <v>4.5</v>
      </c>
      <c r="M11" s="42"/>
      <c r="N11" s="42"/>
      <c r="O11" s="42"/>
      <c r="P11" s="43"/>
      <c r="Q11" s="43"/>
      <c r="R11" s="43"/>
      <c r="S11" s="43"/>
      <c r="T11" s="43"/>
    </row>
    <row r="12" spans="1:20" ht="20.100000000000001" customHeight="1">
      <c r="A12" s="43"/>
      <c r="B12" s="43"/>
      <c r="C12" s="43"/>
      <c r="D12" s="43"/>
      <c r="E12" s="43"/>
      <c r="F12" s="43"/>
      <c r="G12" s="47">
        <v>0.98</v>
      </c>
      <c r="H12" s="48">
        <v>2</v>
      </c>
      <c r="I12" s="47">
        <v>0.98</v>
      </c>
      <c r="J12" s="40">
        <v>1.6</v>
      </c>
      <c r="K12" s="47">
        <v>0.98</v>
      </c>
      <c r="L12" s="48">
        <v>3.75</v>
      </c>
      <c r="M12" s="42"/>
      <c r="N12" s="42"/>
      <c r="O12" s="42"/>
      <c r="P12" s="43"/>
      <c r="Q12" s="43"/>
      <c r="R12" s="43"/>
      <c r="S12" s="43"/>
      <c r="T12" s="43"/>
    </row>
    <row r="13" spans="1:20" ht="20.100000000000001" customHeight="1">
      <c r="A13" s="43"/>
      <c r="B13" s="43"/>
      <c r="C13" s="43"/>
      <c r="D13" s="43"/>
      <c r="E13" s="43"/>
      <c r="F13" s="43"/>
      <c r="G13" s="47">
        <v>1</v>
      </c>
      <c r="H13" s="48">
        <v>0</v>
      </c>
      <c r="I13" s="47">
        <v>1</v>
      </c>
      <c r="J13" s="48">
        <v>0</v>
      </c>
      <c r="K13" s="47">
        <v>1</v>
      </c>
      <c r="L13" s="48">
        <v>0</v>
      </c>
      <c r="M13" s="42"/>
      <c r="N13" s="43"/>
      <c r="O13" s="43"/>
      <c r="P13" s="43"/>
      <c r="Q13" s="43"/>
      <c r="R13" s="43"/>
      <c r="S13" s="43"/>
      <c r="T13" s="43"/>
    </row>
    <row r="14" spans="1:20" ht="20.100000000000001" customHeight="1">
      <c r="A14" s="43"/>
      <c r="B14" s="43"/>
      <c r="C14" s="43"/>
      <c r="D14" s="43"/>
      <c r="E14" s="43"/>
      <c r="F14" s="43"/>
      <c r="G14" s="48" t="s">
        <v>5</v>
      </c>
      <c r="H14" s="48">
        <f>LOOKUP(Index!H4,G3:G13:H3:H13)+Index!B4-(ABS(Link!C7/0.2/20))</f>
        <v>235.09625</v>
      </c>
      <c r="I14" s="48" t="s">
        <v>5</v>
      </c>
      <c r="J14" s="48">
        <f>LOOKUP(Index!H4,I3:I13:J3:J13)+Index!B4-(Index!$C$1/20)-(ABS(Link!C7/0.2/20))</f>
        <v>235.09625</v>
      </c>
      <c r="K14" s="48" t="s">
        <v>5</v>
      </c>
      <c r="L14" s="48">
        <f>LOOKUP(Index!H4,K3:K13:L3:L13)+Index!B4-(ABS(Link!C7/0.2/20))</f>
        <v>235.09625</v>
      </c>
      <c r="M14" s="42"/>
      <c r="N14" s="43"/>
      <c r="O14" s="43"/>
      <c r="P14" s="43"/>
      <c r="Q14" s="43"/>
      <c r="R14" s="43"/>
      <c r="S14" s="43"/>
      <c r="T14" s="43"/>
    </row>
    <row r="15" spans="1:20" ht="20.100000000000001" customHeigh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0.100000000000001" customHeigh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ht="20.100000000000001" customHeight="1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ht="20.100000000000001" customHeight="1">
      <c r="A18" s="53"/>
      <c r="B18" s="626" t="s">
        <v>6</v>
      </c>
      <c r="C18" s="628"/>
      <c r="D18" s="628"/>
      <c r="E18" s="627"/>
      <c r="F18" s="43"/>
      <c r="G18" s="626" t="s">
        <v>6</v>
      </c>
      <c r="H18" s="628"/>
      <c r="I18" s="627"/>
      <c r="J18" s="43"/>
      <c r="K18" s="48" t="s">
        <v>7</v>
      </c>
      <c r="L18" s="53"/>
      <c r="M18" s="42"/>
      <c r="N18" s="48" t="s">
        <v>8</v>
      </c>
      <c r="O18" s="54">
        <f>O19/0.2165</f>
        <v>2.3927910366881155</v>
      </c>
      <c r="P18" s="43"/>
      <c r="Q18" s="48">
        <v>1</v>
      </c>
      <c r="R18" s="55">
        <v>0.65</v>
      </c>
      <c r="S18" s="56">
        <v>1.2699999999999999E-2</v>
      </c>
      <c r="T18" s="43"/>
    </row>
    <row r="19" spans="1:20" ht="20.100000000000001" customHeight="1">
      <c r="A19" s="43"/>
      <c r="B19" s="54" t="s">
        <v>5</v>
      </c>
      <c r="C19" s="48" t="s">
        <v>9</v>
      </c>
      <c r="D19" s="54" t="s">
        <v>10</v>
      </c>
      <c r="E19" s="48" t="s">
        <v>7</v>
      </c>
      <c r="F19" s="43"/>
      <c r="G19" s="54" t="s">
        <v>10</v>
      </c>
      <c r="H19" s="54">
        <f>H20/0.2165</f>
        <v>15.768000570390827</v>
      </c>
      <c r="I19" s="54">
        <f>I20/0.2165</f>
        <v>16.057148264611136</v>
      </c>
      <c r="J19" s="43"/>
      <c r="K19" s="57" t="s">
        <v>11</v>
      </c>
      <c r="L19" s="58">
        <f>O19*$O$3*Index!$D$4</f>
        <v>1.9842054800688156</v>
      </c>
      <c r="M19" s="53"/>
      <c r="N19" s="48" t="s">
        <v>12</v>
      </c>
      <c r="O19" s="48">
        <f>E20*(O25-C21)*(O25-C22)/((C20-C21)*(C20-C22))+E21*(O25-C20)*(O25-C22)/((C21-C20)*(C21-C22))+E22*(O25-C20)*(O25-C21)/((C22-C20)*(C22-C21))</f>
        <v>0.51803925944297702</v>
      </c>
      <c r="P19" s="43"/>
      <c r="Q19" s="48">
        <v>5</v>
      </c>
      <c r="R19" s="55">
        <f>R18+0.01</f>
        <v>0.66</v>
      </c>
      <c r="S19" s="56">
        <v>1.3100000000000001E-2</v>
      </c>
      <c r="T19" s="43"/>
    </row>
    <row r="20" spans="1:20" ht="20.100000000000001" customHeight="1">
      <c r="A20" s="43"/>
      <c r="B20" s="59">
        <v>100</v>
      </c>
      <c r="C20" s="60">
        <v>306.2</v>
      </c>
      <c r="D20" s="60">
        <v>223</v>
      </c>
      <c r="E20" s="48">
        <f>D20/45*0.2165</f>
        <v>1.0728777777777778</v>
      </c>
      <c r="F20" s="43"/>
      <c r="G20" s="48" t="s">
        <v>7</v>
      </c>
      <c r="H20" s="48">
        <f>L21+O24+N30</f>
        <v>3.4137721234896139</v>
      </c>
      <c r="I20" s="48">
        <f>L22+O24+O30</f>
        <v>3.476372599288311</v>
      </c>
      <c r="J20" s="43"/>
      <c r="K20" s="61" t="s">
        <v>13</v>
      </c>
      <c r="L20" s="62">
        <f>IF(L23&gt;0,L19*O22,L19*O23)</f>
        <v>1.9415243297540374</v>
      </c>
      <c r="M20" s="53"/>
      <c r="N20" s="48" t="s">
        <v>14</v>
      </c>
      <c r="O20" s="48">
        <f>H27*POWER(H26,(C20-O25))</f>
        <v>1.4004200549656365</v>
      </c>
      <c r="P20" s="43"/>
      <c r="Q20" s="48">
        <v>10</v>
      </c>
      <c r="R20" s="55">
        <f>R19+0.01</f>
        <v>0.67</v>
      </c>
      <c r="S20" s="56">
        <v>1.3299999999999999E-2</v>
      </c>
      <c r="T20" s="43"/>
    </row>
    <row r="21" spans="1:20" ht="20.100000000000001" customHeight="1">
      <c r="A21" s="43"/>
      <c r="B21" s="59">
        <v>90</v>
      </c>
      <c r="C21" s="60">
        <v>272.8</v>
      </c>
      <c r="D21" s="60">
        <v>157</v>
      </c>
      <c r="E21" s="48">
        <f>D21/45*0.2165</f>
        <v>0.75534444444444448</v>
      </c>
      <c r="F21" s="43"/>
      <c r="G21" s="48" t="s">
        <v>5</v>
      </c>
      <c r="H21" s="48">
        <f>100*(L31-C21)*(L31-C22)/((C20-C21)*(C20-C22))+90*(L31-C20)*(L31-C22)/((C21-C20)*(C21-C22))+80*(L31-C20)*(L31-C21)/((C22-C20)*(C22-C21))</f>
        <v>79.642149588798773</v>
      </c>
      <c r="I21" s="48">
        <f>100*(L32-C21)*(L32-C22)/((C20-C21)*(C20-C22))+90*(L32-C20)*(L32-C22)/((C21-C20)*(C21-C22))+80*(L32-C20)*(L32-C21)/((C22-C20)*(C22-C21))</f>
        <v>80.686024606556174</v>
      </c>
      <c r="J21" s="43"/>
      <c r="K21" s="61" t="s">
        <v>15</v>
      </c>
      <c r="L21" s="62">
        <f>L20*L29</f>
        <v>1.9223040924971877</v>
      </c>
      <c r="M21" s="53"/>
      <c r="N21" s="48" t="s">
        <v>16</v>
      </c>
      <c r="O21" s="48">
        <f>I27*POWER(I26,(C20-O25))</f>
        <v>1.4630613618288186</v>
      </c>
      <c r="P21" s="43"/>
      <c r="Q21" s="48">
        <v>15</v>
      </c>
      <c r="R21" s="55">
        <f>R20+0.01</f>
        <v>0.68</v>
      </c>
      <c r="S21" s="56">
        <v>1.35E-2</v>
      </c>
      <c r="T21" s="43"/>
    </row>
    <row r="22" spans="1:20" ht="20.100000000000001" customHeight="1">
      <c r="A22" s="43"/>
      <c r="B22" s="59">
        <v>80</v>
      </c>
      <c r="C22" s="60">
        <v>240.4</v>
      </c>
      <c r="D22" s="60">
        <v>113</v>
      </c>
      <c r="E22" s="48">
        <f>D22/45*0.2165</f>
        <v>0.54365555555555556</v>
      </c>
      <c r="F22" s="43"/>
      <c r="G22" s="48" t="s">
        <v>17</v>
      </c>
      <c r="H22" s="48" t="e">
        <f>INDEX('R286'!F291:F363,(ROUNDUP(((H21-80)/(20/72))+1,0)),1)</f>
        <v>#VALUE!</v>
      </c>
      <c r="I22" s="48">
        <f>INDEX('R286'!F291:F363,(ROUNDUP(((I21-80)/(20/72))+1,0)),1)</f>
        <v>244.11666666666571</v>
      </c>
      <c r="J22" s="43"/>
      <c r="K22" s="61" t="s">
        <v>18</v>
      </c>
      <c r="L22" s="62">
        <f>L20/L30</f>
        <v>1.9653557963783099</v>
      </c>
      <c r="M22" s="53"/>
      <c r="N22" s="48" t="s">
        <v>19</v>
      </c>
      <c r="O22" s="48">
        <f>IF((O25&gt;0),((100+(L23/-H25))/100))</f>
        <v>0.97848955123675097</v>
      </c>
      <c r="P22" s="43"/>
      <c r="Q22" s="48">
        <v>20</v>
      </c>
      <c r="R22" s="55">
        <f>R21+0.01</f>
        <v>0.69000000000000006</v>
      </c>
      <c r="S22" s="56">
        <v>1.38E-2</v>
      </c>
      <c r="T22" s="43"/>
    </row>
    <row r="23" spans="1:20" ht="20.100000000000001" customHeight="1">
      <c r="A23" s="43"/>
      <c r="B23" s="43"/>
      <c r="C23" s="43"/>
      <c r="D23" s="43"/>
      <c r="E23" s="43"/>
      <c r="F23" s="43"/>
      <c r="G23" s="54" t="s">
        <v>20</v>
      </c>
      <c r="H23" s="54">
        <f>H19/4</f>
        <v>3.9420001425977067</v>
      </c>
      <c r="I23" s="54">
        <f>I19/4</f>
        <v>4.0142870661527841</v>
      </c>
      <c r="J23" s="43"/>
      <c r="K23" s="63" t="s">
        <v>21</v>
      </c>
      <c r="L23" s="64">
        <f>IF(Index!$C$4&gt;0,Index!$C$4*O20,Index!$C$4*O21)</f>
        <v>5.6016802198625459</v>
      </c>
      <c r="M23" s="53"/>
      <c r="N23" s="48" t="s">
        <v>22</v>
      </c>
      <c r="O23" s="48">
        <f>IF((O25&gt;0),((100+(L23/-I25))/100))</f>
        <v>0.97569416556489375</v>
      </c>
      <c r="P23" s="43"/>
      <c r="Q23" s="48">
        <f>Index!$C$4</f>
        <v>4</v>
      </c>
      <c r="R23" s="48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0.6577794486215538</v>
      </c>
      <c r="S23" s="48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1.3032144360902253E-2</v>
      </c>
      <c r="T23" s="43"/>
    </row>
    <row r="24" spans="1:20" ht="20.100000000000001" customHeight="1">
      <c r="A24" s="43"/>
      <c r="B24" s="43"/>
      <c r="C24" s="43"/>
      <c r="D24" s="43"/>
      <c r="E24" s="42"/>
      <c r="F24" s="43"/>
      <c r="G24" s="43"/>
      <c r="H24" s="43"/>
      <c r="I24" s="43"/>
      <c r="J24" s="43"/>
      <c r="K24" s="65"/>
      <c r="L24" s="65"/>
      <c r="M24" s="53"/>
      <c r="N24" s="48" t="s">
        <v>23</v>
      </c>
      <c r="O24" s="48">
        <f>O19/4*Link!$L$11</f>
        <v>0</v>
      </c>
      <c r="P24" s="43"/>
      <c r="Q24" s="43"/>
      <c r="S24" s="43"/>
      <c r="T24" s="43"/>
    </row>
    <row r="25" spans="1:20" ht="20.100000000000001" customHeight="1">
      <c r="A25" s="43"/>
      <c r="B25" s="43"/>
      <c r="C25" s="43"/>
      <c r="D25" s="42"/>
      <c r="E25" s="42"/>
      <c r="F25" s="43"/>
      <c r="G25" s="48" t="s">
        <v>24</v>
      </c>
      <c r="H25" s="48">
        <f>'inf 286'!C25</f>
        <v>2.6041670638843661</v>
      </c>
      <c r="I25" s="48">
        <f>'inf 286'!D25</f>
        <v>2.3046648469602498</v>
      </c>
      <c r="J25" s="43"/>
      <c r="K25" s="48" t="s">
        <v>25</v>
      </c>
      <c r="L25" s="53"/>
      <c r="M25" s="53"/>
      <c r="N25" s="48" t="s">
        <v>26</v>
      </c>
      <c r="O25" s="48">
        <f>'286'!H14</f>
        <v>235.09625</v>
      </c>
      <c r="P25" s="43"/>
      <c r="Q25" s="48">
        <v>-1</v>
      </c>
      <c r="R25" s="55">
        <v>0.63</v>
      </c>
      <c r="S25" s="56">
        <v>1.2699999999999999E-2</v>
      </c>
      <c r="T25" s="43"/>
    </row>
    <row r="26" spans="1:20" ht="20.100000000000001" customHeight="1">
      <c r="A26" s="43"/>
      <c r="B26" s="43"/>
      <c r="C26" s="43"/>
      <c r="D26" s="42"/>
      <c r="E26" s="42"/>
      <c r="F26" s="43"/>
      <c r="G26" s="48" t="s">
        <v>27</v>
      </c>
      <c r="H26" s="48">
        <f>(1+(H28*S23))</f>
        <v>1.0106842110691228</v>
      </c>
      <c r="I26" s="48">
        <f>(1+(I28*S32))</f>
        <v>1.0117606715348713</v>
      </c>
      <c r="J26" s="43"/>
      <c r="K26" s="57" t="s">
        <v>28</v>
      </c>
      <c r="L26" s="58">
        <f>O19*Index!$D$4*$O$2</f>
        <v>1.6649460865056811</v>
      </c>
      <c r="M26" s="53"/>
      <c r="N26" s="43"/>
      <c r="O26" s="43"/>
      <c r="P26" s="43"/>
      <c r="Q26" s="48">
        <v>-10</v>
      </c>
      <c r="R26" s="55">
        <f t="shared" ref="R26:R31" si="0">R25-0.01</f>
        <v>0.62</v>
      </c>
      <c r="S26" s="56">
        <v>1.2500000000000001E-2</v>
      </c>
      <c r="T26" s="43"/>
    </row>
    <row r="27" spans="1:20" ht="20.100000000000001" customHeight="1">
      <c r="A27" s="43"/>
      <c r="B27" s="43"/>
      <c r="C27" s="43"/>
      <c r="D27" s="42"/>
      <c r="E27" s="42"/>
      <c r="F27" s="43"/>
      <c r="G27" s="48" t="s">
        <v>29</v>
      </c>
      <c r="H27" s="48">
        <f>R23</f>
        <v>0.6577794486215538</v>
      </c>
      <c r="I27" s="48">
        <f>R32</f>
        <v>0.63710697527886451</v>
      </c>
      <c r="J27" s="43"/>
      <c r="K27" s="61" t="s">
        <v>30</v>
      </c>
      <c r="L27" s="62">
        <f>O5*Index!D4*O19*0.95*(1-(L23*0.016))</f>
        <v>1.4399360496696674</v>
      </c>
      <c r="M27" s="42"/>
      <c r="N27" s="54" t="s">
        <v>31</v>
      </c>
      <c r="O27" s="48">
        <f>O25+L23</f>
        <v>240.69793021986254</v>
      </c>
      <c r="P27" s="43"/>
      <c r="Q27" s="48">
        <v>-20</v>
      </c>
      <c r="R27" s="55">
        <f t="shared" si="0"/>
        <v>0.61</v>
      </c>
      <c r="S27" s="56">
        <v>1.23E-2</v>
      </c>
      <c r="T27" s="43"/>
    </row>
    <row r="28" spans="1:20" ht="20.100000000000001" customHeight="1">
      <c r="A28" s="43"/>
      <c r="B28" s="43"/>
      <c r="C28" s="43"/>
      <c r="D28" s="43"/>
      <c r="E28" s="42"/>
      <c r="F28" s="43"/>
      <c r="G28" s="54">
        <v>180</v>
      </c>
      <c r="H28" s="54">
        <f>1.04*(O25-C21)*(O25-C22)/((C20-C21)*(C20-C22))+0.914*(O25-C20)*(O25-C22)/((C21-C20)*(C21-C22))+0.83*(O25-C20)*(O25-C21)/((C22-C20)*(C22-C21))</f>
        <v>0.81983522997002445</v>
      </c>
      <c r="I28" s="54">
        <f>1*(O25-C21)*(O25-C22)/((C20-C21)*(C20-C22))+0.903*(O25-C20)*(O25-C22)/((C21-C20)*(C21-C22))+0.76*(O25-C20)*(O25-C21)/((C22-C20)*(C22-C21))</f>
        <v>0.73200432555369832</v>
      </c>
      <c r="J28" s="43"/>
      <c r="K28" s="61" t="s">
        <v>32</v>
      </c>
      <c r="L28" s="62">
        <f>O5*Index!D4*O19*1.25*(1-(L23*0.016))</f>
        <v>1.8946526969337727</v>
      </c>
      <c r="M28" s="42"/>
      <c r="N28" s="43"/>
      <c r="O28" s="43"/>
      <c r="P28" s="43"/>
      <c r="Q28" s="48">
        <v>-30</v>
      </c>
      <c r="R28" s="55">
        <f t="shared" si="0"/>
        <v>0.6</v>
      </c>
      <c r="S28" s="56">
        <v>1.1350000000000001E-2</v>
      </c>
      <c r="T28" s="43"/>
    </row>
    <row r="29" spans="1:20" ht="20.100000000000001" customHeight="1">
      <c r="A29" s="43"/>
      <c r="B29" s="43"/>
      <c r="C29" s="43"/>
      <c r="D29" s="42"/>
      <c r="E29" s="53"/>
      <c r="F29" s="43"/>
      <c r="G29" s="43"/>
      <c r="H29" s="43"/>
      <c r="I29" s="43"/>
      <c r="J29" s="43"/>
      <c r="K29" s="61" t="s">
        <v>33</v>
      </c>
      <c r="L29" s="62">
        <f>(100+(L27*2.75/-4))/100</f>
        <v>0.99010043965852101</v>
      </c>
      <c r="M29" s="42"/>
      <c r="N29" s="632" t="s">
        <v>121</v>
      </c>
      <c r="O29" s="632"/>
      <c r="P29" s="43"/>
      <c r="Q29" s="48">
        <v>-40</v>
      </c>
      <c r="R29" s="55">
        <f t="shared" si="0"/>
        <v>0.59</v>
      </c>
      <c r="S29" s="56">
        <v>1.115E-2</v>
      </c>
      <c r="T29" s="43"/>
    </row>
    <row r="30" spans="1:20" ht="20.100000000000001" customHeight="1">
      <c r="A30" s="43"/>
      <c r="B30" s="43"/>
      <c r="C30" s="43"/>
      <c r="D30" s="42"/>
      <c r="E30" s="53"/>
      <c r="F30" s="43"/>
      <c r="G30" s="54" t="s">
        <v>34</v>
      </c>
      <c r="H30" s="48" t="e">
        <f>INDEX('R286'!G291:G363,(ROUNDUP(((Index!O29-80)/(20/72))+1,0)),1)</f>
        <v>#VALUE!</v>
      </c>
      <c r="I30" s="48">
        <f>INDEX('R286'!G291:G363,(ROUNDUP(((Index!P29-80)/(20/72))+1,0)),1)</f>
        <v>249.59999999999945</v>
      </c>
      <c r="J30" s="43"/>
      <c r="K30" s="61" t="s">
        <v>35</v>
      </c>
      <c r="L30" s="62">
        <f>(100+(L28*4/-6.25))/100</f>
        <v>0.98787422273962389</v>
      </c>
      <c r="M30" s="42"/>
      <c r="N30" s="66">
        <f>H21/100*(O18*0.2165)*Link!$C$7</f>
        <v>1.4914680309924262</v>
      </c>
      <c r="O30" s="67">
        <f>I21/100*(O18*0.2165)*Link!$C$7</f>
        <v>1.5110168029100011</v>
      </c>
      <c r="P30" s="42"/>
      <c r="Q30" s="48">
        <v>-50</v>
      </c>
      <c r="R30" s="55">
        <f t="shared" si="0"/>
        <v>0.57999999999999996</v>
      </c>
      <c r="S30" s="56">
        <v>1.095E-2</v>
      </c>
      <c r="T30" s="43"/>
    </row>
    <row r="31" spans="1:20" ht="20.100000000000001" customHeight="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61" t="s">
        <v>36</v>
      </c>
      <c r="L31" s="62">
        <f>O25+L23-L27</f>
        <v>239.25799417019289</v>
      </c>
      <c r="M31" s="43"/>
      <c r="N31" s="43"/>
      <c r="O31" s="43"/>
      <c r="P31" s="43"/>
      <c r="Q31" s="48">
        <v>-60</v>
      </c>
      <c r="R31" s="55">
        <f t="shared" si="0"/>
        <v>0.56999999999999995</v>
      </c>
      <c r="S31" s="56">
        <v>1.0749999999999999E-2</v>
      </c>
      <c r="T31" s="43"/>
    </row>
    <row r="32" spans="1:20" ht="20.100000000000001" customHeight="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63" t="s">
        <v>37</v>
      </c>
      <c r="L32" s="64">
        <f>O25+L23+L28</f>
        <v>242.59258291679632</v>
      </c>
      <c r="M32" s="43"/>
      <c r="N32" s="43"/>
      <c r="O32" s="43"/>
      <c r="P32" s="43"/>
      <c r="Q32" s="48">
        <f>Index!$C$4</f>
        <v>4</v>
      </c>
      <c r="R32" s="68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0.63710697527886451</v>
      </c>
      <c r="S32" s="48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1.6066396227884815E-2</v>
      </c>
      <c r="T32" s="53"/>
    </row>
    <row r="33" spans="1:20" ht="20.100000000000001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2"/>
      <c r="S33" s="42"/>
      <c r="T33" s="53"/>
    </row>
    <row r="34" spans="1:20" ht="20.100000000000001" customHeight="1">
      <c r="A34" s="43"/>
      <c r="B34" s="42"/>
      <c r="C34" s="42"/>
      <c r="D34" s="42"/>
      <c r="E34" s="42"/>
      <c r="F34" s="43"/>
      <c r="G34" s="43"/>
      <c r="H34" s="43"/>
      <c r="I34" s="43"/>
      <c r="J34" s="43"/>
      <c r="K34" s="43"/>
      <c r="L34" s="43"/>
      <c r="M34" s="42"/>
      <c r="N34" s="42"/>
      <c r="O34" s="42"/>
      <c r="P34" s="43"/>
      <c r="Q34" s="43"/>
      <c r="R34" s="43"/>
      <c r="S34" s="43"/>
      <c r="T34" s="53"/>
    </row>
    <row r="35" spans="1:20" ht="20.100000000000001" customHeight="1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ht="20.100000000000001" customHeight="1">
      <c r="A36" s="43"/>
      <c r="B36" s="629" t="s">
        <v>38</v>
      </c>
      <c r="C36" s="630"/>
      <c r="D36" s="630"/>
      <c r="E36" s="631"/>
      <c r="F36" s="43"/>
      <c r="G36" s="629" t="s">
        <v>38</v>
      </c>
      <c r="H36" s="630"/>
      <c r="I36" s="631"/>
      <c r="J36" s="53"/>
      <c r="K36" s="48" t="s">
        <v>7</v>
      </c>
      <c r="L36" s="53"/>
      <c r="M36" s="43"/>
      <c r="N36" s="48" t="s">
        <v>8</v>
      </c>
      <c r="O36" s="48">
        <f>O37/0.2165</f>
        <v>3.9029896647274556</v>
      </c>
      <c r="P36" s="42"/>
      <c r="Q36" s="48">
        <v>1</v>
      </c>
      <c r="R36" s="55">
        <v>0.68</v>
      </c>
      <c r="S36" s="56">
        <v>1.2699999999999999E-2</v>
      </c>
      <c r="T36" s="43"/>
    </row>
    <row r="37" spans="1:20" ht="20.100000000000001" customHeight="1">
      <c r="A37" s="43"/>
      <c r="B37" s="54" t="s">
        <v>5</v>
      </c>
      <c r="C37" s="54" t="s">
        <v>9</v>
      </c>
      <c r="D37" s="54" t="s">
        <v>10</v>
      </c>
      <c r="E37" s="54" t="s">
        <v>7</v>
      </c>
      <c r="F37" s="43"/>
      <c r="G37" s="54" t="s">
        <v>10</v>
      </c>
      <c r="H37" s="54">
        <f>H38/0.2165</f>
        <v>27.800773968016802</v>
      </c>
      <c r="I37" s="54">
        <f>I38/0.2165</f>
        <v>28.623702298330898</v>
      </c>
      <c r="J37" s="53"/>
      <c r="K37" s="57" t="s">
        <v>11</v>
      </c>
      <c r="L37" s="58">
        <f>O37*$O$3*Index!$D$4</f>
        <v>3.2365272866130299</v>
      </c>
      <c r="M37" s="43"/>
      <c r="N37" s="48" t="s">
        <v>7</v>
      </c>
      <c r="O37" s="54">
        <f>IF(AND(O43&gt;(C45-0.0001),O43&lt;C39),(O45),IF(AND(O43&gt;(C39-0.0001),O43&lt;C38),(O46),IF(AND(O43&gt;(C38-0.0001),O43&lt;321),(O47),IF(AND((O43&gt;0-0.0001),O43&lt;C45),(O48)))))</f>
        <v>0.84499726241349415</v>
      </c>
      <c r="P37" s="43"/>
      <c r="Q37" s="48">
        <v>5</v>
      </c>
      <c r="R37" s="55">
        <f>R36+0.01</f>
        <v>0.69000000000000006</v>
      </c>
      <c r="S37" s="56">
        <v>1.3100000000000001E-2</v>
      </c>
      <c r="T37" s="43"/>
    </row>
    <row r="38" spans="1:20" ht="20.100000000000001" customHeight="1">
      <c r="A38" s="43"/>
      <c r="B38" s="54">
        <v>100</v>
      </c>
      <c r="C38" s="60">
        <v>256.2</v>
      </c>
      <c r="D38" s="60">
        <v>223</v>
      </c>
      <c r="E38" s="54">
        <f>D38/45*0.2165</f>
        <v>1.0728777777777778</v>
      </c>
      <c r="F38" s="43"/>
      <c r="G38" s="48" t="s">
        <v>7</v>
      </c>
      <c r="H38" s="48">
        <f>L39+O42+B55</f>
        <v>6.0188675640756379</v>
      </c>
      <c r="I38" s="48">
        <f>L40+O42+C55</f>
        <v>6.1970315475886393</v>
      </c>
      <c r="J38" s="53"/>
      <c r="K38" s="61" t="s">
        <v>13</v>
      </c>
      <c r="L38" s="62">
        <f>IF(L41&gt;0,L37*O40,L37*O41)</f>
        <v>3.2004369348479997</v>
      </c>
      <c r="M38" s="43"/>
      <c r="N38" s="48" t="s">
        <v>14</v>
      </c>
      <c r="O38" s="48">
        <f>H46*POWER((1+(H45)),C38-O43)</f>
        <v>0.89860712572787016</v>
      </c>
      <c r="P38" s="43"/>
      <c r="Q38" s="48">
        <v>10</v>
      </c>
      <c r="R38" s="55">
        <f>R37+0.01</f>
        <v>0.70000000000000007</v>
      </c>
      <c r="S38" s="56">
        <v>1.3299999999999999E-2</v>
      </c>
      <c r="T38" s="43"/>
    </row>
    <row r="39" spans="1:20" ht="20.100000000000001" customHeight="1">
      <c r="A39" s="43"/>
      <c r="B39" s="54">
        <f>B38-10</f>
        <v>90</v>
      </c>
      <c r="C39" s="60">
        <v>222.1</v>
      </c>
      <c r="D39" s="60">
        <v>151</v>
      </c>
      <c r="E39" s="54">
        <f t="shared" ref="E39:E48" si="1">D39/45*0.2165</f>
        <v>0.72647777777777778</v>
      </c>
      <c r="F39" s="43"/>
      <c r="G39" s="48" t="s">
        <v>5</v>
      </c>
      <c r="H39" s="48">
        <f>IF(O43&gt;(C45-0.0001),H47,H48)</f>
        <v>94.174653742295561</v>
      </c>
      <c r="I39" s="48">
        <f>IF(O43&gt;(C45-0.0001),I47,I48)</f>
        <v>95.908725665076204</v>
      </c>
      <c r="J39" s="53"/>
      <c r="K39" s="61" t="s">
        <v>15</v>
      </c>
      <c r="L39" s="62">
        <f>L38*L47</f>
        <v>3.142147279750267</v>
      </c>
      <c r="M39" s="43"/>
      <c r="N39" s="48" t="s">
        <v>16</v>
      </c>
      <c r="O39" s="48">
        <f>I46*POWER((1+(I45)),C38-O43)</f>
        <v>0.64999999999999769</v>
      </c>
      <c r="P39" s="43"/>
      <c r="Q39" s="48">
        <v>15</v>
      </c>
      <c r="R39" s="55">
        <f>R38+0.01</f>
        <v>0.71000000000000008</v>
      </c>
      <c r="S39" s="56">
        <v>1.35E-2</v>
      </c>
      <c r="T39" s="43"/>
    </row>
    <row r="40" spans="1:20" ht="20.100000000000001" customHeight="1">
      <c r="A40" s="43"/>
      <c r="B40" s="54">
        <f t="shared" ref="B40:B47" si="2">B39-10</f>
        <v>80</v>
      </c>
      <c r="C40" s="60">
        <v>189.4</v>
      </c>
      <c r="D40" s="60">
        <v>102</v>
      </c>
      <c r="E40" s="54">
        <f t="shared" si="1"/>
        <v>0.4907333333333333</v>
      </c>
      <c r="F40" s="43"/>
      <c r="G40" s="48" t="s">
        <v>17</v>
      </c>
      <c r="H40" s="48">
        <f>IF(N53=0,INDEX('R286'!E39:E363,(ROUNDDOWN(((H39-10)/(20/72)+1),0)),1),INDEX('R286'!E39:E363,(ROUNDUP(((H39-10)/(20/72))+1,0)),1))</f>
        <v>269.31666666666712</v>
      </c>
      <c r="I40" s="48">
        <f>IF(O53=0,INDEX('R286'!E39:E363,(ROUNDDOWN(((I39-10)/(20/72)+1),0)),1),INDEX('R286'!E39:E363,(ROUNDUP(((I39-10)/(20/72))+1,0)),1))</f>
        <v>274.08333333333366</v>
      </c>
      <c r="J40" s="53"/>
      <c r="K40" s="61" t="s">
        <v>18</v>
      </c>
      <c r="L40" s="62">
        <f>L38/L48</f>
        <v>3.2673411733663325</v>
      </c>
      <c r="M40" s="43"/>
      <c r="N40" s="48" t="s">
        <v>19</v>
      </c>
      <c r="O40" s="48">
        <f>IF((O43&gt;0),((100+(L41/-H44))/100))</f>
        <v>0.98884905067406426</v>
      </c>
      <c r="P40" s="42"/>
      <c r="Q40" s="48">
        <v>20</v>
      </c>
      <c r="R40" s="55">
        <f>R39+0.01</f>
        <v>0.72000000000000008</v>
      </c>
      <c r="S40" s="56">
        <v>1.38E-2</v>
      </c>
      <c r="T40" s="43"/>
    </row>
    <row r="41" spans="1:20" ht="20.100000000000001" customHeight="1">
      <c r="A41" s="43"/>
      <c r="B41" s="54">
        <f t="shared" si="2"/>
        <v>70</v>
      </c>
      <c r="C41" s="60">
        <v>159.30000000000001</v>
      </c>
      <c r="D41" s="60">
        <v>70</v>
      </c>
      <c r="E41" s="54">
        <f t="shared" si="1"/>
        <v>0.33677777777777779</v>
      </c>
      <c r="F41" s="43"/>
      <c r="G41" s="48" t="s">
        <v>39</v>
      </c>
      <c r="H41" s="48">
        <f>N54</f>
        <v>11</v>
      </c>
      <c r="I41" s="48">
        <f>O54</f>
        <v>11</v>
      </c>
      <c r="J41" s="53"/>
      <c r="K41" s="63" t="s">
        <v>21</v>
      </c>
      <c r="L41" s="64">
        <f>IF(Index!$C$4&gt;0,Index!$C$4*O38,Index!$C$4*O39)</f>
        <v>3.5944285029114806</v>
      </c>
      <c r="M41" s="43"/>
      <c r="N41" s="48" t="s">
        <v>22</v>
      </c>
      <c r="O41" s="48">
        <f>IF((O43&gt;0),((100+(L41/-I44))/100))</f>
        <v>0.98986947145568405</v>
      </c>
      <c r="P41" s="42"/>
      <c r="Q41" s="48">
        <f>Index!$C$4</f>
        <v>4</v>
      </c>
      <c r="R41" s="48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0.68777944862155382</v>
      </c>
      <c r="S41" s="48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1.3032144360902253E-2</v>
      </c>
      <c r="T41" s="43"/>
    </row>
    <row r="42" spans="1:20" ht="20.100000000000001" customHeight="1">
      <c r="A42" s="43"/>
      <c r="B42" s="54">
        <f t="shared" si="2"/>
        <v>60</v>
      </c>
      <c r="C42" s="60">
        <v>132.5</v>
      </c>
      <c r="D42" s="60">
        <v>49</v>
      </c>
      <c r="E42" s="54">
        <f t="shared" si="1"/>
        <v>0.23574444444444442</v>
      </c>
      <c r="F42" s="43"/>
      <c r="G42" s="54" t="s">
        <v>20</v>
      </c>
      <c r="H42" s="54">
        <f>H37/4</f>
        <v>6.9501934920042006</v>
      </c>
      <c r="I42" s="54">
        <f>I37/4</f>
        <v>7.1559255745827244</v>
      </c>
      <c r="J42" s="53"/>
      <c r="K42" s="65"/>
      <c r="L42" s="65"/>
      <c r="M42" s="43"/>
      <c r="N42" s="48" t="s">
        <v>23</v>
      </c>
      <c r="O42" s="48">
        <f>O37/4*Link!$L$11</f>
        <v>0</v>
      </c>
      <c r="P42" s="42"/>
      <c r="Q42" s="43"/>
      <c r="R42" s="43"/>
      <c r="S42" s="43"/>
      <c r="T42" s="43"/>
    </row>
    <row r="43" spans="1:20" ht="20.100000000000001" customHeight="1">
      <c r="A43" s="43"/>
      <c r="B43" s="54">
        <f t="shared" si="2"/>
        <v>50</v>
      </c>
      <c r="C43" s="60">
        <v>108.6</v>
      </c>
      <c r="D43" s="60">
        <v>35</v>
      </c>
      <c r="E43" s="54">
        <f t="shared" si="1"/>
        <v>0.16838888888888889</v>
      </c>
      <c r="F43" s="43"/>
      <c r="G43" s="43"/>
      <c r="H43" s="43"/>
      <c r="I43" s="43"/>
      <c r="J43" s="53"/>
      <c r="K43" s="48" t="s">
        <v>25</v>
      </c>
      <c r="L43" s="53"/>
      <c r="M43" s="43"/>
      <c r="N43" s="48" t="s">
        <v>26</v>
      </c>
      <c r="O43" s="48">
        <f>$J$14</f>
        <v>235.09625</v>
      </c>
      <c r="P43" s="42"/>
      <c r="Q43" s="54">
        <v>-1</v>
      </c>
      <c r="R43" s="69">
        <v>0.69</v>
      </c>
      <c r="S43" s="56">
        <v>1.2699999999999999E-2</v>
      </c>
      <c r="T43" s="43"/>
    </row>
    <row r="44" spans="1:20" ht="20.100000000000001" customHeight="1">
      <c r="A44" s="43"/>
      <c r="B44" s="54">
        <f t="shared" si="2"/>
        <v>40</v>
      </c>
      <c r="C44" s="60">
        <v>87</v>
      </c>
      <c r="D44" s="60">
        <v>25</v>
      </c>
      <c r="E44" s="54">
        <f t="shared" si="1"/>
        <v>0.12027777777777778</v>
      </c>
      <c r="F44" s="43"/>
      <c r="G44" s="48" t="s">
        <v>24</v>
      </c>
      <c r="H44" s="48">
        <f>IF('286'!O43&gt;('286'!C45-0.0001),'inf 286'!C11,'inf 286'!C19)</f>
        <v>3.2234282461953967</v>
      </c>
      <c r="I44" s="48">
        <f>IF('286'!O43&gt;('286'!C45-0.0001),'inf 286'!D11,'inf 286'!D19)</f>
        <v>3.5481154681985982</v>
      </c>
      <c r="J44" s="43"/>
      <c r="K44" s="57" t="s">
        <v>28</v>
      </c>
      <c r="L44" s="58">
        <f>O37*Index!$D$4*$O$2</f>
        <v>2.715768852492197</v>
      </c>
      <c r="M44" s="53"/>
      <c r="N44" s="43"/>
      <c r="O44" s="43"/>
      <c r="P44" s="42"/>
      <c r="Q44" s="54">
        <v>-5</v>
      </c>
      <c r="R44" s="69">
        <f>R43</f>
        <v>0.69</v>
      </c>
      <c r="S44" s="56">
        <v>1.26E-2</v>
      </c>
      <c r="T44" s="43"/>
    </row>
    <row r="45" spans="1:20" ht="20.100000000000001" customHeight="1">
      <c r="A45" s="43"/>
      <c r="B45" s="54">
        <f t="shared" si="2"/>
        <v>30</v>
      </c>
      <c r="C45" s="60">
        <v>66.7</v>
      </c>
      <c r="D45" s="60">
        <v>18</v>
      </c>
      <c r="E45" s="54">
        <f t="shared" si="1"/>
        <v>8.660000000000001E-2</v>
      </c>
      <c r="F45" s="43"/>
      <c r="G45" s="48" t="s">
        <v>27</v>
      </c>
      <c r="H45" s="48">
        <f>IF(AND(Index!C4&gt;-0.9,Index!C4&lt;6),H54*S41,IF(AND(Index!C4&gt;5.999,Index!C4&lt;8.4),I54*S41,IF(AND(Index!C4&gt;8.399,Index!C4&lt;11),S41*J54,IF(AND(Index!C4&gt;10.999,Index!C4&lt;14.5),(K54*S41),IF(AND(Index!C4&gt;14.499,Index!C4&lt;16.9),L54*S41,IF(AND(Index!C4&gt;16.899,Index!C4&lt;30),(L54*1.008)*S41))))))</f>
        <v>1.2750278003472094E-2</v>
      </c>
      <c r="I45" s="48" t="b">
        <f>IF(AND(Index!C4&lt;0.01,Index!C4&gt;-8.3),(O57*H55),IF(AND(Q49&lt;-8.299,Q49&gt;-13.5),(I55*O57),IF(AND(Q49&lt;-13.49,Q49&gt;-17.5),(J55*O57),IF(AND(Index!C4&lt;-17.49,Index!C4&gt;-30),(O57*K55),IF(AND(Index!C4&lt;-29.99,Index!C4&gt;-59),((O57*L55)))))))</f>
        <v>0</v>
      </c>
      <c r="J45" s="42"/>
      <c r="K45" s="61" t="s">
        <v>30</v>
      </c>
      <c r="L45" s="62">
        <f>$O$5*Index!$D$4*O37*1.035*(1-(L41*0.016))</f>
        <v>2.6491680540943472</v>
      </c>
      <c r="M45" s="42"/>
      <c r="N45" s="48" t="s">
        <v>12</v>
      </c>
      <c r="O45" s="48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0.84704800323751106</v>
      </c>
      <c r="P45" s="43"/>
      <c r="Q45" s="54">
        <v>-10</v>
      </c>
      <c r="R45" s="69">
        <f>R44-0.01</f>
        <v>0.67999999999999994</v>
      </c>
      <c r="S45" s="56">
        <v>1.2500000000000001E-2</v>
      </c>
      <c r="T45" s="43"/>
    </row>
    <row r="46" spans="1:20" ht="20.100000000000001" customHeight="1">
      <c r="A46" s="43"/>
      <c r="B46" s="54">
        <f t="shared" si="2"/>
        <v>20</v>
      </c>
      <c r="C46" s="60">
        <v>46.7</v>
      </c>
      <c r="D46" s="60">
        <v>11</v>
      </c>
      <c r="E46" s="54">
        <f t="shared" si="1"/>
        <v>5.2922222222222218E-2</v>
      </c>
      <c r="F46" s="43"/>
      <c r="G46" s="48" t="s">
        <v>29</v>
      </c>
      <c r="H46" s="48">
        <f>R41</f>
        <v>0.68777944862155382</v>
      </c>
      <c r="I46" s="48">
        <f>IF(Index!C4&gt;(-25+0.0001),'286'!R49,'286'!R57)</f>
        <v>0.64999999999999769</v>
      </c>
      <c r="J46" s="43"/>
      <c r="K46" s="61" t="s">
        <v>32</v>
      </c>
      <c r="L46" s="62">
        <f>O5*Index!D4*O37*1.25*(1-(L41*0.016))</f>
        <v>3.1994783262009028</v>
      </c>
      <c r="M46" s="43"/>
      <c r="N46" s="54" t="s">
        <v>40</v>
      </c>
      <c r="O46" s="48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0.84499726241349415</v>
      </c>
      <c r="P46" s="43"/>
      <c r="Q46" s="54">
        <v>-15</v>
      </c>
      <c r="R46" s="69">
        <f>R45-0.01</f>
        <v>0.66999999999999993</v>
      </c>
      <c r="S46" s="56">
        <v>1.24E-2</v>
      </c>
      <c r="T46" s="43"/>
    </row>
    <row r="47" spans="1:20" ht="20.100000000000001" customHeight="1">
      <c r="A47" s="43"/>
      <c r="B47" s="54">
        <f t="shared" si="2"/>
        <v>10</v>
      </c>
      <c r="C47" s="60">
        <v>25.4</v>
      </c>
      <c r="D47" s="60">
        <v>6</v>
      </c>
      <c r="E47" s="54">
        <f t="shared" si="1"/>
        <v>2.8866666666666665E-2</v>
      </c>
      <c r="F47" s="43"/>
      <c r="G47" s="54">
        <v>140</v>
      </c>
      <c r="H47" s="54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94.174653742295561</v>
      </c>
      <c r="I47" s="54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95.908725665076204</v>
      </c>
      <c r="J47" s="43"/>
      <c r="K47" s="61" t="s">
        <v>33</v>
      </c>
      <c r="L47" s="62">
        <f>(100+(L45*2.75/-4))/100</f>
        <v>0.98178696962810141</v>
      </c>
      <c r="M47" s="53"/>
      <c r="N47" s="48" t="s">
        <v>41</v>
      </c>
      <c r="O47" s="48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0.84102355357963177</v>
      </c>
      <c r="P47" s="43"/>
      <c r="Q47" s="54">
        <v>-20</v>
      </c>
      <c r="R47" s="69">
        <f>R46-0.01</f>
        <v>0.65999999999999992</v>
      </c>
      <c r="S47" s="56">
        <v>1.23E-2</v>
      </c>
      <c r="T47" s="43"/>
    </row>
    <row r="48" spans="1:20" ht="20.100000000000001" customHeight="1">
      <c r="A48" s="43"/>
      <c r="B48" s="54">
        <f>B47-10</f>
        <v>0</v>
      </c>
      <c r="C48" s="60">
        <v>0</v>
      </c>
      <c r="D48" s="60">
        <v>0</v>
      </c>
      <c r="E48" s="54">
        <f t="shared" si="1"/>
        <v>0</v>
      </c>
      <c r="F48" s="43"/>
      <c r="G48" s="54">
        <v>400</v>
      </c>
      <c r="H48" s="54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17.341550818589894</v>
      </c>
      <c r="I48" s="54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9.3542517448968283</v>
      </c>
      <c r="J48" s="43"/>
      <c r="K48" s="61" t="s">
        <v>35</v>
      </c>
      <c r="L48" s="62">
        <f>(100+(L46*4/-6.25))/100</f>
        <v>0.97952333871231412</v>
      </c>
      <c r="M48" s="43"/>
      <c r="N48" s="54" t="s">
        <v>42</v>
      </c>
      <c r="O48" s="48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-5.6079598207747239</v>
      </c>
      <c r="P48" s="43"/>
      <c r="Q48" s="54">
        <v>-25</v>
      </c>
      <c r="R48" s="69">
        <f>R47-0.01</f>
        <v>0.64999999999999991</v>
      </c>
      <c r="S48" s="56">
        <v>1.2200000000000001E-2</v>
      </c>
      <c r="T48" s="43"/>
    </row>
    <row r="49" spans="1:20" ht="20.100000000000001" customHeight="1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61" t="s">
        <v>36</v>
      </c>
      <c r="L49" s="50">
        <f>O43+L41-L45</f>
        <v>236.04151044881712</v>
      </c>
      <c r="M49" s="43"/>
      <c r="N49" s="43"/>
      <c r="O49" s="43"/>
      <c r="P49" s="43"/>
      <c r="Q49" s="54">
        <f>Index!$C$4</f>
        <v>4</v>
      </c>
      <c r="R49" s="54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0.64999999999999769</v>
      </c>
      <c r="S49" s="54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1.2925000000000015E-2</v>
      </c>
      <c r="T49" s="43"/>
    </row>
    <row r="50" spans="1:20" ht="20.100000000000001" customHeight="1">
      <c r="A50" s="43"/>
      <c r="B50" s="54">
        <v>97.5</v>
      </c>
      <c r="C50" s="60">
        <v>247.7</v>
      </c>
      <c r="D50" s="60">
        <v>203</v>
      </c>
      <c r="E50" s="54">
        <f>D50/45*0.2165</f>
        <v>0.9766555555555555</v>
      </c>
      <c r="F50" s="43"/>
      <c r="G50" s="48">
        <v>107.5</v>
      </c>
      <c r="H50" s="54">
        <v>281.7</v>
      </c>
      <c r="I50" s="54">
        <v>1.3542000000000001</v>
      </c>
      <c r="J50" s="43"/>
      <c r="K50" s="63" t="s">
        <v>37</v>
      </c>
      <c r="L50" s="52">
        <f>O43+L41+L46</f>
        <v>241.89015682911239</v>
      </c>
      <c r="M50" s="43"/>
      <c r="N50" s="57" t="s">
        <v>43</v>
      </c>
      <c r="O50" s="58"/>
      <c r="P50" s="43"/>
      <c r="Q50" s="43"/>
      <c r="R50" s="43"/>
      <c r="S50" s="43"/>
      <c r="T50" s="43"/>
    </row>
    <row r="51" spans="1:20" ht="20.100000000000001" customHeight="1">
      <c r="A51" s="43"/>
      <c r="B51" s="54">
        <v>95</v>
      </c>
      <c r="C51" s="60">
        <v>239.2</v>
      </c>
      <c r="D51" s="60">
        <v>184</v>
      </c>
      <c r="E51" s="54">
        <f>D51/45*0.2165</f>
        <v>0.88524444444444439</v>
      </c>
      <c r="F51" s="43"/>
      <c r="G51" s="54">
        <v>105</v>
      </c>
      <c r="H51" s="54">
        <v>273.2</v>
      </c>
      <c r="I51" s="54">
        <v>1.2604</v>
      </c>
      <c r="J51" s="43"/>
      <c r="K51" s="43"/>
      <c r="L51" s="43"/>
      <c r="M51" s="43"/>
      <c r="N51" s="61">
        <f>MOD(H39,20/72)</f>
        <v>7.9870756288903388E-3</v>
      </c>
      <c r="O51" s="62">
        <f>MOD(I39,20/72)</f>
        <v>7.5392331742866747E-2</v>
      </c>
      <c r="P51" s="43"/>
      <c r="Q51" s="54">
        <v>-30</v>
      </c>
      <c r="R51" s="69">
        <f>R48-0.01</f>
        <v>0.6399999999999999</v>
      </c>
      <c r="S51" s="56">
        <v>1.1350000000000001E-2</v>
      </c>
      <c r="T51" s="43"/>
    </row>
    <row r="52" spans="1:20" ht="20.100000000000001" customHeight="1">
      <c r="A52" s="43"/>
      <c r="B52" s="54">
        <v>92.5</v>
      </c>
      <c r="C52" s="60">
        <v>230.6</v>
      </c>
      <c r="D52" s="60">
        <v>167</v>
      </c>
      <c r="E52" s="54">
        <f>D52/45*0.2165</f>
        <v>0.80345555555555559</v>
      </c>
      <c r="F52" s="43"/>
      <c r="G52" s="54">
        <v>102.5</v>
      </c>
      <c r="H52" s="54">
        <v>264.7</v>
      </c>
      <c r="I52" s="54">
        <v>1.1666000000000001</v>
      </c>
      <c r="J52" s="53"/>
      <c r="K52" s="54" t="s">
        <v>31</v>
      </c>
      <c r="L52" s="48">
        <f>O43+L41</f>
        <v>238.69067850291148</v>
      </c>
      <c r="M52" s="53"/>
      <c r="N52" s="61">
        <f>N51/(20/72)</f>
        <v>2.8753472264005219E-2</v>
      </c>
      <c r="O52" s="62">
        <f>O51/(20/72)</f>
        <v>0.27141239427432029</v>
      </c>
      <c r="P52" s="53"/>
      <c r="Q52" s="54">
        <v>-35</v>
      </c>
      <c r="R52" s="69">
        <f>R51-0.01</f>
        <v>0.62999999999999989</v>
      </c>
      <c r="S52" s="56">
        <v>1.125E-2</v>
      </c>
      <c r="T52" s="43"/>
    </row>
    <row r="53" spans="1:20" ht="20.100000000000001" customHeight="1">
      <c r="A53" s="43"/>
      <c r="B53" s="43"/>
      <c r="C53" s="43"/>
      <c r="D53" s="43"/>
      <c r="E53" s="43"/>
      <c r="F53" s="43"/>
      <c r="G53" s="43"/>
      <c r="H53" s="43"/>
      <c r="I53" s="43"/>
      <c r="J53" s="53"/>
      <c r="K53" s="43"/>
      <c r="L53" s="43"/>
      <c r="M53" s="53"/>
      <c r="N53" s="61">
        <f>IF(N52&lt;0.288,ROUNDDOWN(N52,0),ROUNDUP(N52,0))</f>
        <v>0</v>
      </c>
      <c r="O53" s="62">
        <f>IF(O52&lt;0.288,ROUNDDOWN(O52,0),ROUNDUP(O52,0))</f>
        <v>0</v>
      </c>
      <c r="P53" s="53"/>
      <c r="Q53" s="54">
        <v>-40</v>
      </c>
      <c r="R53" s="69">
        <f>R52-0.01</f>
        <v>0.61999999999999988</v>
      </c>
      <c r="S53" s="56">
        <v>1.115E-2</v>
      </c>
      <c r="T53" s="43"/>
    </row>
    <row r="54" spans="1:20" ht="20.100000000000001" customHeight="1">
      <c r="A54" s="43"/>
      <c r="B54" s="632" t="s">
        <v>121</v>
      </c>
      <c r="C54" s="632"/>
      <c r="D54" s="43"/>
      <c r="E54" s="43"/>
      <c r="F54" s="43"/>
      <c r="G54" s="54" t="s">
        <v>44</v>
      </c>
      <c r="H54" s="54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0.97837145218588994</v>
      </c>
      <c r="I54" s="48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1.021796499028286</v>
      </c>
      <c r="J54" s="48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1.016118819605063</v>
      </c>
      <c r="K54" s="48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0.99511822855884335</v>
      </c>
      <c r="L54" s="48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1.0014460767857754</v>
      </c>
      <c r="M54" s="43"/>
      <c r="N54" s="61">
        <f>IF(N51&lt;0.08,11,N55)</f>
        <v>11</v>
      </c>
      <c r="O54" s="62">
        <f>IF(O51&lt;0.08,11,O55)</f>
        <v>11</v>
      </c>
      <c r="P54" s="42"/>
      <c r="Q54" s="54">
        <v>-45</v>
      </c>
      <c r="R54" s="69">
        <f>R53-0.01</f>
        <v>0.60999999999999988</v>
      </c>
      <c r="S54" s="56">
        <v>1.1050000000000001E-2</v>
      </c>
      <c r="T54" s="43"/>
    </row>
    <row r="55" spans="1:20" ht="20.100000000000001" customHeight="1">
      <c r="A55" s="43"/>
      <c r="B55" s="60">
        <f>H39/100*(O36*0.2165)*Link!$C$7</f>
        <v>2.8767202843253714</v>
      </c>
      <c r="C55" s="48">
        <f>I39/100*(O36*0.2165)*Link!$C$7</f>
        <v>2.9296903742223068</v>
      </c>
      <c r="D55" s="43"/>
      <c r="E55" s="43"/>
      <c r="F55" s="43"/>
      <c r="G55" s="54" t="s">
        <v>45</v>
      </c>
      <c r="H55" s="48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1.0418847942242484</v>
      </c>
      <c r="I55" s="54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0.99964834746790998</v>
      </c>
      <c r="J55" s="48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0.98889296477023025</v>
      </c>
      <c r="K55" s="48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1.0372259016328034</v>
      </c>
      <c r="L55" s="54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1.1260615012806539</v>
      </c>
      <c r="M55" s="43"/>
      <c r="N55" s="63">
        <f>IF(N51&gt;(20/72)-0.08,11,10)</f>
        <v>10</v>
      </c>
      <c r="O55" s="64">
        <f>IF(O51&gt;(20/72)-0.08,11,10)</f>
        <v>10</v>
      </c>
      <c r="P55" s="42"/>
      <c r="Q55" s="54">
        <v>-50</v>
      </c>
      <c r="R55" s="69">
        <f>R54-0.01</f>
        <v>0.59999999999999987</v>
      </c>
      <c r="S55" s="56">
        <f>S54-0.0001</f>
        <v>1.0950000000000001E-2</v>
      </c>
      <c r="T55" s="43"/>
    </row>
    <row r="56" spans="1:20" ht="20.100000000000001" customHeight="1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2"/>
      <c r="Q56" s="54">
        <v>-55</v>
      </c>
      <c r="R56" s="69">
        <f>R55-0.01</f>
        <v>0.58999999999999986</v>
      </c>
      <c r="S56" s="56">
        <f>S55-0.0001</f>
        <v>1.0850000000000002E-2</v>
      </c>
      <c r="T56" s="43"/>
    </row>
    <row r="57" spans="1:20" ht="20.100000000000001" customHeight="1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8" t="s">
        <v>46</v>
      </c>
      <c r="O57" s="48">
        <f>IF(Index!C4&gt;(-25+0.0001),'286'!S49,'286'!S57)</f>
        <v>1.2925000000000015E-2</v>
      </c>
      <c r="P57" s="42"/>
      <c r="Q57" s="54">
        <f>Index!$C$4</f>
        <v>4</v>
      </c>
      <c r="R57" s="54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0.70800000000042473</v>
      </c>
      <c r="S57" s="54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1.2029999999992214E-2</v>
      </c>
      <c r="T57" s="43"/>
    </row>
    <row r="58" spans="1:20" ht="20.100000000000001" customHeight="1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61" spans="1:20" ht="20.100000000000001" customHeight="1">
      <c r="B61" s="626" t="s">
        <v>64</v>
      </c>
      <c r="C61" s="628"/>
      <c r="D61" s="628"/>
      <c r="E61" s="627"/>
      <c r="F61" s="43"/>
      <c r="G61" s="626" t="s">
        <v>64</v>
      </c>
      <c r="H61" s="628"/>
      <c r="I61" s="627"/>
      <c r="J61" s="43"/>
      <c r="K61" s="48" t="s">
        <v>7</v>
      </c>
      <c r="L61" s="53"/>
      <c r="M61" s="42"/>
      <c r="N61" s="48" t="s">
        <v>8</v>
      </c>
      <c r="O61" s="54">
        <f>O62/0.2165</f>
        <v>2.9617542565075632</v>
      </c>
      <c r="P61" s="43"/>
      <c r="Q61" s="48">
        <v>1</v>
      </c>
      <c r="R61" s="55">
        <v>0.56000000000000005</v>
      </c>
      <c r="S61" s="56">
        <v>1.32E-2</v>
      </c>
    </row>
    <row r="62" spans="1:20" ht="20.100000000000001" customHeight="1">
      <c r="B62" s="54" t="s">
        <v>5</v>
      </c>
      <c r="C62" s="48" t="s">
        <v>9</v>
      </c>
      <c r="D62" s="54" t="s">
        <v>10</v>
      </c>
      <c r="E62" s="48" t="s">
        <v>7</v>
      </c>
      <c r="F62" s="43"/>
      <c r="G62" s="54" t="s">
        <v>10</v>
      </c>
      <c r="H62" s="54">
        <f>H63/0.2165</f>
        <v>18.938387157853313</v>
      </c>
      <c r="I62" s="54">
        <f>I63/0.2165</f>
        <v>19.392167090672537</v>
      </c>
      <c r="J62" s="43"/>
      <c r="K62" s="57" t="s">
        <v>11</v>
      </c>
      <c r="L62" s="58">
        <f>O62*$O$3*Index!$D$4</f>
        <v>2.4560143097633307</v>
      </c>
      <c r="M62" s="53"/>
      <c r="N62" s="48" t="s">
        <v>12</v>
      </c>
      <c r="O62" s="48">
        <f>E63*(O68-C64)*(O68-C65)/((C63-C64)*(C63-C65))+E64*(O68-C63)*(O68-C65)/((C64-C63)*(C64-C65))+E65*(O68-C63)*(O68-C64)/((C65-C63)*(C65-C64))</f>
        <v>0.64121979653388739</v>
      </c>
      <c r="P62" s="43"/>
      <c r="Q62" s="48">
        <v>5</v>
      </c>
      <c r="R62" s="55">
        <f>R61+0.01</f>
        <v>0.57000000000000006</v>
      </c>
      <c r="S62" s="56">
        <v>1.3599999999999999E-2</v>
      </c>
    </row>
    <row r="63" spans="1:20" ht="20.100000000000001" customHeight="1">
      <c r="B63" s="59">
        <v>100</v>
      </c>
      <c r="C63" s="60">
        <v>290.5</v>
      </c>
      <c r="D63" s="60">
        <v>237</v>
      </c>
      <c r="E63" s="48">
        <f>D63/45*0.2165</f>
        <v>1.1402333333333332</v>
      </c>
      <c r="F63" s="43"/>
      <c r="G63" s="48" t="s">
        <v>7</v>
      </c>
      <c r="H63" s="48">
        <f>L64+O67+N73</f>
        <v>4.1001608196752422</v>
      </c>
      <c r="I63" s="48">
        <f>L65+O67+O73</f>
        <v>4.1984041751306043</v>
      </c>
      <c r="J63" s="43"/>
      <c r="K63" s="61" t="s">
        <v>13</v>
      </c>
      <c r="L63" s="62">
        <f>IF(L66&gt;0,L62*O65,L62*O66)</f>
        <v>2.4145462335837875</v>
      </c>
      <c r="M63" s="53"/>
      <c r="N63" s="48" t="s">
        <v>14</v>
      </c>
      <c r="O63" s="48">
        <f>H70*POWER(H69,(C63-O68))</f>
        <v>1.0616383812628623</v>
      </c>
      <c r="P63" s="43"/>
      <c r="Q63" s="48">
        <v>10</v>
      </c>
      <c r="R63" s="55">
        <f>R62+0.01</f>
        <v>0.58000000000000007</v>
      </c>
      <c r="S63" s="56">
        <v>1.38E-2</v>
      </c>
    </row>
    <row r="64" spans="1:20" ht="20.100000000000001" customHeight="1">
      <c r="B64" s="59">
        <v>90</v>
      </c>
      <c r="C64" s="60">
        <v>260.3</v>
      </c>
      <c r="D64" s="60">
        <v>173</v>
      </c>
      <c r="E64" s="48">
        <f>D64/45*0.2165</f>
        <v>0.83232222222222219</v>
      </c>
      <c r="F64" s="43"/>
      <c r="G64" s="48" t="s">
        <v>5</v>
      </c>
      <c r="H64" s="48">
        <f>100*(L74-C64)*(L74-C65)/((C63-C64)*(C63-C65))+90*(L74-C63)*(L74-C65)/((C64-C63)*(C64-C65))+80*(L74-C63)*(L74-C64)/((C65-C63)*(C65-C64))</f>
        <v>82.249966572409875</v>
      </c>
      <c r="I64" s="48">
        <f>100*(L75-C64)*(L75-C65)/((C63-C64)*(C63-C65))+90*(L75-C63)*(L75-C65)/((C64-C63)*(C64-C65))+80*(L75-C63)*(L75-C64)/((C65-C63)*(C65-C64))</f>
        <v>83.700914373515758</v>
      </c>
      <c r="J64" s="43"/>
      <c r="K64" s="61" t="s">
        <v>15</v>
      </c>
      <c r="L64" s="62">
        <f>L63*L72</f>
        <v>2.384254936945585</v>
      </c>
      <c r="M64" s="53"/>
      <c r="N64" s="48" t="s">
        <v>16</v>
      </c>
      <c r="O64" s="48">
        <f>I70*POWER(I69,(C63-O68))</f>
        <v>1.1734916178733243</v>
      </c>
      <c r="P64" s="43"/>
      <c r="Q64" s="48">
        <v>15</v>
      </c>
      <c r="R64" s="55">
        <f>R63+0.01</f>
        <v>0.59000000000000008</v>
      </c>
      <c r="S64" s="56">
        <v>1.4E-2</v>
      </c>
    </row>
    <row r="65" spans="2:24" ht="20.100000000000001" customHeight="1">
      <c r="B65" s="59">
        <v>80</v>
      </c>
      <c r="C65" s="60">
        <v>231</v>
      </c>
      <c r="D65" s="60">
        <v>128</v>
      </c>
      <c r="E65" s="48">
        <f>D65/45*0.2165</f>
        <v>0.61582222222222227</v>
      </c>
      <c r="F65" s="43"/>
      <c r="G65" s="48" t="s">
        <v>17</v>
      </c>
      <c r="H65" s="48">
        <f>INDEX('R286'!I291:I363,(ROUNDUP(((H64-80)/(20/72))+1,0)),1)</f>
        <v>232.64999999999918</v>
      </c>
      <c r="I65" s="48">
        <f>INDEX('R286'!I291:I363,(ROUNDUP(((I64-80)/(20/72))+1,0)),1)</f>
        <v>236.56666666666584</v>
      </c>
      <c r="J65" s="43"/>
      <c r="K65" s="61" t="s">
        <v>18</v>
      </c>
      <c r="L65" s="62">
        <f>L63/L73</f>
        <v>2.4522284944763557</v>
      </c>
      <c r="M65" s="53"/>
      <c r="N65" s="48" t="s">
        <v>19</v>
      </c>
      <c r="O65" s="48">
        <f>IF((O68&gt;0),((100+(L66/-H68))/100))</f>
        <v>0.98311570253695335</v>
      </c>
      <c r="P65" s="43"/>
      <c r="Q65" s="48">
        <v>20</v>
      </c>
      <c r="R65" s="55">
        <f>R64+0.01</f>
        <v>0.60000000000000009</v>
      </c>
      <c r="S65" s="56">
        <v>1.43E-2</v>
      </c>
    </row>
    <row r="66" spans="2:24" ht="20.100000000000001" customHeight="1">
      <c r="B66" s="43"/>
      <c r="C66" s="43"/>
      <c r="D66" s="43"/>
      <c r="E66" s="43"/>
      <c r="F66" s="43"/>
      <c r="G66" s="54" t="s">
        <v>20</v>
      </c>
      <c r="H66" s="54">
        <f>H62/4</f>
        <v>4.7345967894633283</v>
      </c>
      <c r="I66" s="54">
        <f>I62/4</f>
        <v>4.8480417726681342</v>
      </c>
      <c r="J66" s="43"/>
      <c r="K66" s="63" t="s">
        <v>21</v>
      </c>
      <c r="L66" s="64">
        <f>IF(Index!$C$4&gt;0,Index!$C$4*O63,Index!$C$4*O64)</f>
        <v>4.246553525051449</v>
      </c>
      <c r="M66" s="53"/>
      <c r="N66" s="48" t="s">
        <v>22</v>
      </c>
      <c r="O66" s="48">
        <f>IF((O68&gt;0),((100+(L66/-I68))/100))</f>
        <v>0.98139407182587857</v>
      </c>
      <c r="P66" s="43"/>
      <c r="Q66" s="48">
        <f>Index!$C$4</f>
        <v>4</v>
      </c>
      <c r="R66" s="48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0.56777944862155383</v>
      </c>
      <c r="S66" s="48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1.3532144360902254E-2</v>
      </c>
    </row>
    <row r="67" spans="2:24" ht="20.100000000000001" customHeight="1">
      <c r="B67" s="43"/>
      <c r="C67" s="43"/>
      <c r="D67" s="43"/>
      <c r="E67" s="42"/>
      <c r="F67" s="43"/>
      <c r="G67" s="43"/>
      <c r="H67" s="43"/>
      <c r="I67" s="43"/>
      <c r="J67" s="43"/>
      <c r="K67" s="65"/>
      <c r="L67" s="65"/>
      <c r="M67" s="53"/>
      <c r="N67" s="48" t="s">
        <v>23</v>
      </c>
      <c r="O67" s="48">
        <f>O62/5*Link!$L$11</f>
        <v>0</v>
      </c>
      <c r="P67" s="43"/>
      <c r="Q67" s="43"/>
      <c r="S67" s="43"/>
    </row>
    <row r="68" spans="2:24" ht="20.100000000000001" customHeight="1">
      <c r="B68" s="43"/>
      <c r="C68" s="43"/>
      <c r="D68" s="42"/>
      <c r="E68" s="42"/>
      <c r="F68" s="43"/>
      <c r="G68" s="48" t="s">
        <v>24</v>
      </c>
      <c r="H68" s="48">
        <f>'inf 286'!G25</f>
        <v>2.5150904468163784</v>
      </c>
      <c r="I68" s="48">
        <f>'inf 286'!H25</f>
        <v>2.2823658595854894</v>
      </c>
      <c r="J68" s="43"/>
      <c r="K68" s="48" t="s">
        <v>25</v>
      </c>
      <c r="L68" s="53"/>
      <c r="M68" s="53"/>
      <c r="N68" s="48" t="s">
        <v>26</v>
      </c>
      <c r="O68" s="48">
        <f>'286'!H14</f>
        <v>235.09625</v>
      </c>
      <c r="P68" s="43"/>
      <c r="Q68" s="48">
        <v>-1</v>
      </c>
      <c r="R68" s="55">
        <v>0.57999999999999996</v>
      </c>
      <c r="S68" s="56">
        <v>1.2699999999999999E-2</v>
      </c>
    </row>
    <row r="69" spans="2:24" ht="20.100000000000001" customHeight="1">
      <c r="B69" s="43"/>
      <c r="C69" s="43"/>
      <c r="D69" s="42"/>
      <c r="E69" s="42"/>
      <c r="F69" s="43"/>
      <c r="G69" s="48" t="s">
        <v>27</v>
      </c>
      <c r="H69" s="48">
        <f>(1+(H71*S66))</f>
        <v>1.01135994630203</v>
      </c>
      <c r="I69" s="48">
        <f>(1+(I71*S75))</f>
        <v>1.0125781765458743</v>
      </c>
      <c r="J69" s="43"/>
      <c r="K69" s="57" t="s">
        <v>28</v>
      </c>
      <c r="L69" s="58">
        <f>O62*Index!$D$4*$O$2</f>
        <v>2.0608407014885328</v>
      </c>
      <c r="M69" s="53"/>
      <c r="N69" s="43"/>
      <c r="O69" s="43"/>
      <c r="P69" s="43"/>
      <c r="Q69" s="48">
        <v>-10</v>
      </c>
      <c r="R69" s="55">
        <f t="shared" ref="R69:R74" si="3">R68-0.01</f>
        <v>0.56999999999999995</v>
      </c>
      <c r="S69" s="56">
        <v>1.2500000000000001E-2</v>
      </c>
    </row>
    <row r="70" spans="2:24" ht="20.100000000000001" customHeight="1">
      <c r="B70" s="43"/>
      <c r="C70" s="43"/>
      <c r="D70" s="42"/>
      <c r="E70" s="42"/>
      <c r="F70" s="43"/>
      <c r="G70" s="48" t="s">
        <v>29</v>
      </c>
      <c r="H70" s="48">
        <f>R66</f>
        <v>0.56777944862155383</v>
      </c>
      <c r="I70" s="48">
        <f>R75</f>
        <v>0.58710697527886591</v>
      </c>
      <c r="J70" s="43"/>
      <c r="K70" s="61" t="s">
        <v>30</v>
      </c>
      <c r="L70" s="62">
        <f>O5*Index!D4*O62*0.95*(1-(L66*0.016))</f>
        <v>1.8247763171628766</v>
      </c>
      <c r="M70" s="42"/>
      <c r="N70" s="54" t="s">
        <v>31</v>
      </c>
      <c r="O70" s="48">
        <f>O68+L66</f>
        <v>239.34280352505144</v>
      </c>
      <c r="P70" s="43"/>
      <c r="Q70" s="48">
        <v>-20</v>
      </c>
      <c r="R70" s="55">
        <f t="shared" si="3"/>
        <v>0.55999999999999994</v>
      </c>
      <c r="S70" s="56">
        <v>1.23E-2</v>
      </c>
    </row>
    <row r="71" spans="2:24" ht="20.100000000000001" customHeight="1">
      <c r="B71" s="43"/>
      <c r="C71" s="43"/>
      <c r="D71" s="43"/>
      <c r="E71" s="42"/>
      <c r="F71" s="43"/>
      <c r="G71" s="54">
        <v>180</v>
      </c>
      <c r="H71" s="54">
        <f>1.04*(O68-C64)*(O68-C65)/((C63-C64)*(C63-C65))+0.914*(O68-C63)*(O68-C65)/((C64-C63)*(C64-C65))+0.83*(O68-C63)*(O68-C64)/((C65-C63)*(C65-C64))</f>
        <v>0.8394786516504853</v>
      </c>
      <c r="I71" s="54">
        <f>1*(O68-C64)*(O68-C65)/((C63-C64)*(C63-C65))+0.903*(O68-C63)*(O68-C65)/((C64-C63)*(C64-C65))+0.76*(O68-C63)*(O68-C64)/((C65-C63)*(C65-C64))</f>
        <v>0.78288723665632742</v>
      </c>
      <c r="J71" s="43"/>
      <c r="K71" s="61" t="s">
        <v>32</v>
      </c>
      <c r="L71" s="62">
        <f>O5*Index!D4*O62*1.25*(1-(L66*0.016))</f>
        <v>2.4010214699511536</v>
      </c>
      <c r="M71" s="42"/>
      <c r="N71" s="43"/>
      <c r="O71" s="43"/>
      <c r="P71" s="43"/>
      <c r="Q71" s="48">
        <v>-30</v>
      </c>
      <c r="R71" s="55">
        <f t="shared" si="3"/>
        <v>0.54999999999999993</v>
      </c>
      <c r="S71" s="56">
        <v>1.1350000000000001E-2</v>
      </c>
    </row>
    <row r="72" spans="2:24" ht="20.100000000000001" customHeight="1">
      <c r="B72" s="43"/>
      <c r="C72" s="43"/>
      <c r="D72" s="42"/>
      <c r="E72" s="53"/>
      <c r="F72" s="43"/>
      <c r="G72" s="43"/>
      <c r="H72" s="43"/>
      <c r="I72" s="43"/>
      <c r="J72" s="43"/>
      <c r="K72" s="61" t="s">
        <v>33</v>
      </c>
      <c r="L72" s="62">
        <f>(100+(L70*2.75/-4))/100</f>
        <v>0.98745466281950522</v>
      </c>
      <c r="M72" s="42"/>
      <c r="N72" s="632" t="s">
        <v>121</v>
      </c>
      <c r="O72" s="632"/>
      <c r="P72" s="43"/>
      <c r="Q72" s="48">
        <v>-40</v>
      </c>
      <c r="R72" s="55">
        <f t="shared" si="3"/>
        <v>0.53999999999999992</v>
      </c>
      <c r="S72" s="56">
        <v>1.115E-2</v>
      </c>
    </row>
    <row r="73" spans="2:24" ht="20.100000000000001" customHeight="1">
      <c r="B73" s="43"/>
      <c r="C73" s="43"/>
      <c r="D73" s="42"/>
      <c r="E73" s="53"/>
      <c r="F73" s="43"/>
      <c r="J73" s="43"/>
      <c r="K73" s="61" t="s">
        <v>35</v>
      </c>
      <c r="L73" s="62">
        <f>(100+(L71*4/-6.25))/100</f>
        <v>0.98463346259231255</v>
      </c>
      <c r="M73" s="42"/>
      <c r="N73" s="60">
        <f>H64/100*(O61*0.2165)*Link!$C$7*0.9</f>
        <v>1.7159058827296569</v>
      </c>
      <c r="O73" s="48">
        <f>I64/100*(O61*0.2165)*Link!$C$7*0.9</f>
        <v>1.7461756806542483</v>
      </c>
      <c r="P73" s="42"/>
      <c r="Q73" s="48">
        <v>-50</v>
      </c>
      <c r="R73" s="55">
        <f t="shared" si="3"/>
        <v>0.52999999999999992</v>
      </c>
      <c r="S73" s="56">
        <v>1.095E-2</v>
      </c>
    </row>
    <row r="74" spans="2:24" ht="20.100000000000001" customHeight="1">
      <c r="B74" s="43"/>
      <c r="C74" s="43"/>
      <c r="D74" s="43"/>
      <c r="E74" s="43"/>
      <c r="F74" s="43"/>
      <c r="G74" s="65"/>
      <c r="H74" s="53"/>
      <c r="I74" s="53"/>
      <c r="J74" s="43"/>
      <c r="K74" s="61" t="s">
        <v>36</v>
      </c>
      <c r="L74" s="62">
        <f>O68+L66-L70</f>
        <v>237.51802720788857</v>
      </c>
      <c r="M74" s="43"/>
      <c r="N74" s="43"/>
      <c r="O74" s="43"/>
      <c r="P74" s="43"/>
      <c r="Q74" s="48">
        <v>-60</v>
      </c>
      <c r="R74" s="55">
        <f t="shared" si="3"/>
        <v>0.51999999999999991</v>
      </c>
      <c r="S74" s="56">
        <v>1.0749999999999999E-2</v>
      </c>
    </row>
    <row r="75" spans="2:24" ht="20.100000000000001" customHeight="1">
      <c r="B75" s="43"/>
      <c r="C75" s="43"/>
      <c r="D75" s="43"/>
      <c r="E75" s="43"/>
      <c r="F75" s="43"/>
      <c r="G75" s="65"/>
      <c r="H75" s="53"/>
      <c r="I75" s="53"/>
      <c r="J75" s="43"/>
      <c r="K75" s="63" t="s">
        <v>37</v>
      </c>
      <c r="L75" s="64">
        <f>O68+L66+L71</f>
        <v>241.7438249950026</v>
      </c>
      <c r="M75" s="43"/>
      <c r="N75" s="43"/>
      <c r="O75" s="43"/>
      <c r="P75" s="43"/>
      <c r="Q75" s="48">
        <f>Index!$C$4</f>
        <v>4</v>
      </c>
      <c r="R75" s="68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0.58710697527886591</v>
      </c>
      <c r="S75" s="48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1.6066396227884815E-2</v>
      </c>
    </row>
    <row r="79" spans="2:24" ht="20.100000000000001" customHeight="1">
      <c r="B79" s="626" t="s">
        <v>65</v>
      </c>
      <c r="C79" s="628"/>
      <c r="D79" s="628"/>
      <c r="E79" s="627"/>
      <c r="F79" s="43"/>
      <c r="G79" s="626" t="s">
        <v>65</v>
      </c>
      <c r="H79" s="628"/>
      <c r="I79" s="627"/>
      <c r="J79" s="43"/>
      <c r="K79" s="48" t="s">
        <v>7</v>
      </c>
      <c r="L79" s="53"/>
      <c r="M79" s="42"/>
      <c r="N79" s="48" t="s">
        <v>8</v>
      </c>
      <c r="O79" s="54">
        <f>O80/0.2165</f>
        <v>3.6661795494688887</v>
      </c>
      <c r="P79" s="43"/>
      <c r="Q79" s="48">
        <v>1</v>
      </c>
      <c r="R79" s="55">
        <v>0.5</v>
      </c>
      <c r="S79" s="56">
        <v>1.37E-2</v>
      </c>
      <c r="T79" s="43"/>
      <c r="U79" s="43"/>
      <c r="V79" s="43"/>
      <c r="W79" s="43"/>
      <c r="X79" s="43"/>
    </row>
    <row r="80" spans="2:24" ht="20.100000000000001" customHeight="1">
      <c r="B80" s="54" t="s">
        <v>5</v>
      </c>
      <c r="C80" s="48" t="s">
        <v>9</v>
      </c>
      <c r="D80" s="54" t="s">
        <v>10</v>
      </c>
      <c r="E80" s="48" t="s">
        <v>7</v>
      </c>
      <c r="F80" s="43"/>
      <c r="G80" s="54" t="s">
        <v>10</v>
      </c>
      <c r="H80" s="54">
        <f>H81/0.2165</f>
        <v>22.656363787220531</v>
      </c>
      <c r="I80" s="54">
        <f>I81/0.2165</f>
        <v>23.35565291391422</v>
      </c>
      <c r="J80" s="43"/>
      <c r="K80" s="57" t="s">
        <v>11</v>
      </c>
      <c r="L80" s="58">
        <f>O80*$O$3*Index!$D$4</f>
        <v>3.0401541302332147</v>
      </c>
      <c r="M80" s="53"/>
      <c r="N80" s="48" t="s">
        <v>12</v>
      </c>
      <c r="O80" s="48">
        <f>E81*(O86-C82)*(O86-C83)/((C81-C82)*(C81-C83))+E82*(O86-C81)*(O86-C83)/((C82-C81)*(C82-C83))+E83*(O86-C81)*(O86-C82)/((C83-C81)*(C83-C82))</f>
        <v>0.79372787246001442</v>
      </c>
      <c r="P80" s="43"/>
      <c r="Q80" s="48">
        <v>5</v>
      </c>
      <c r="R80" s="55">
        <f>R79+0.01</f>
        <v>0.51</v>
      </c>
      <c r="S80" s="56">
        <v>1.41E-2</v>
      </c>
      <c r="T80" s="43"/>
      <c r="U80" s="43"/>
      <c r="V80" s="43"/>
      <c r="W80" s="43"/>
      <c r="X80" s="43"/>
    </row>
    <row r="81" spans="2:24" ht="20.100000000000001" customHeight="1">
      <c r="B81" s="59">
        <v>100</v>
      </c>
      <c r="C81" s="60">
        <v>274.10000000000002</v>
      </c>
      <c r="D81" s="60">
        <v>248</v>
      </c>
      <c r="E81" s="48">
        <f>D81/45*0.2165</f>
        <v>1.1931555555555555</v>
      </c>
      <c r="F81" s="43"/>
      <c r="G81" s="48" t="s">
        <v>7</v>
      </c>
      <c r="H81" s="48">
        <f>L82+O85+N91</f>
        <v>4.9051027599332446</v>
      </c>
      <c r="I81" s="48">
        <f>L83+O85+O91</f>
        <v>5.0564988558624284</v>
      </c>
      <c r="J81" s="43"/>
      <c r="K81" s="61" t="s">
        <v>13</v>
      </c>
      <c r="L81" s="62">
        <f>IF(L84&gt;0,L80*O83,L80*O84)</f>
        <v>3.0000996322265774</v>
      </c>
      <c r="M81" s="53"/>
      <c r="N81" s="48" t="s">
        <v>14</v>
      </c>
      <c r="O81" s="48">
        <f>H88*POWER(H87,(C81-O86))</f>
        <v>0.81668030682091963</v>
      </c>
      <c r="P81" s="43"/>
      <c r="Q81" s="48">
        <v>10</v>
      </c>
      <c r="R81" s="55">
        <f>R80+0.01</f>
        <v>0.52</v>
      </c>
      <c r="S81" s="56">
        <v>1.43E-2</v>
      </c>
      <c r="T81" s="43"/>
      <c r="U81" s="43"/>
      <c r="V81" s="43"/>
      <c r="W81" s="43"/>
      <c r="X81" s="43"/>
    </row>
    <row r="82" spans="2:24" ht="20.100000000000001" customHeight="1">
      <c r="B82" s="59">
        <v>90</v>
      </c>
      <c r="C82" s="60">
        <v>246.5</v>
      </c>
      <c r="D82" s="60">
        <v>186</v>
      </c>
      <c r="E82" s="48">
        <f>D82/45*0.2165</f>
        <v>0.8948666666666667</v>
      </c>
      <c r="F82" s="43"/>
      <c r="G82" s="48" t="s">
        <v>5</v>
      </c>
      <c r="H82" s="48">
        <f>100*(L92-C82)*(L92-C83)/((C81-C82)*(C81-C83))+90*(L92-C81)*(L92-C83)/((C82-C81)*(C82-C83))+80*(L92-C81)*(L92-C82)/((C83-C81)*(C83-C82))</f>
        <v>86.130380779451983</v>
      </c>
      <c r="I82" s="48">
        <f>100*(L93-C82)*(L93-C83)/((C81-C82)*(C81-C83))+90*(L93-C81)*(L93-C83)/((C82-C81)*(C82-C83))+80*(L93-C81)*(L93-C82)/((C83-C81)*(C83-C82))</f>
        <v>88.109118411379669</v>
      </c>
      <c r="J82" s="43"/>
      <c r="K82" s="61" t="s">
        <v>15</v>
      </c>
      <c r="L82" s="62">
        <f>L81*L90</f>
        <v>2.952727070153673</v>
      </c>
      <c r="M82" s="53"/>
      <c r="N82" s="48" t="s">
        <v>16</v>
      </c>
      <c r="O82" s="48">
        <f>I88*POWER(I87,(C81-O86))</f>
        <v>0.96127432695387016</v>
      </c>
      <c r="P82" s="43"/>
      <c r="Q82" s="48">
        <v>15</v>
      </c>
      <c r="R82" s="55">
        <f>R81+0.01</f>
        <v>0.53</v>
      </c>
      <c r="S82" s="56">
        <v>1.4500000000000001E-2</v>
      </c>
      <c r="T82" s="43"/>
      <c r="U82" s="43"/>
      <c r="V82" s="43"/>
      <c r="W82" s="43"/>
      <c r="X82" s="43"/>
    </row>
    <row r="83" spans="2:24" ht="20.100000000000001" customHeight="1">
      <c r="B83" s="59">
        <v>80</v>
      </c>
      <c r="C83" s="60">
        <v>219.8</v>
      </c>
      <c r="D83" s="60">
        <v>141</v>
      </c>
      <c r="E83" s="48">
        <f>D83/45*0.2165</f>
        <v>0.67836666666666667</v>
      </c>
      <c r="F83" s="43"/>
      <c r="G83" s="48" t="s">
        <v>17</v>
      </c>
      <c r="H83" s="48">
        <f>INDEX('R286'!L291:L363,(ROUNDUP(((H82-80)/(20/72))+1,0)),1)</f>
        <v>226.33888888888859</v>
      </c>
      <c r="I83" s="48">
        <f>INDEX('R286'!L291:L363,(ROUNDUP(((I82-80)/(20/72))+1,0)),1)</f>
        <v>231.43333333333311</v>
      </c>
      <c r="J83" s="43"/>
      <c r="K83" s="61" t="s">
        <v>18</v>
      </c>
      <c r="L83" s="62">
        <f>L81/L91</f>
        <v>3.0592697796927526</v>
      </c>
      <c r="M83" s="53"/>
      <c r="N83" s="48" t="s">
        <v>19</v>
      </c>
      <c r="O83" s="48">
        <f>IF((O86&gt;0),((100+(L84/-H86))/100))</f>
        <v>0.98682484627726264</v>
      </c>
      <c r="P83" s="43"/>
      <c r="Q83" s="48">
        <v>20</v>
      </c>
      <c r="R83" s="55">
        <f>R82+0.01</f>
        <v>0.54</v>
      </c>
      <c r="S83" s="56">
        <v>1.4800000000000001E-2</v>
      </c>
      <c r="T83" s="43"/>
      <c r="U83" s="43"/>
      <c r="V83" s="43"/>
      <c r="W83" s="43"/>
      <c r="X83" s="43"/>
    </row>
    <row r="84" spans="2:24" ht="20.100000000000001" customHeight="1">
      <c r="B84" s="43"/>
      <c r="C84" s="43"/>
      <c r="D84" s="43"/>
      <c r="E84" s="43"/>
      <c r="F84" s="43"/>
      <c r="G84" s="54" t="s">
        <v>20</v>
      </c>
      <c r="H84" s="54">
        <f>H80/4</f>
        <v>5.6640909468051328</v>
      </c>
      <c r="I84" s="54">
        <f>I80/4</f>
        <v>5.838913228478555</v>
      </c>
      <c r="J84" s="43"/>
      <c r="K84" s="63" t="s">
        <v>21</v>
      </c>
      <c r="L84" s="64">
        <f>IF(Index!$C$4&gt;0,Index!$C$4*O81,Index!$C$4*O82)</f>
        <v>3.2667212272836785</v>
      </c>
      <c r="M84" s="53"/>
      <c r="N84" s="48" t="s">
        <v>22</v>
      </c>
      <c r="O84" s="48">
        <f>IF((O86&gt;0),((100+(L84/-I86))/100))</f>
        <v>0.98597529811598139</v>
      </c>
      <c r="P84" s="43"/>
      <c r="Q84" s="48">
        <f>Index!$C$4</f>
        <v>4</v>
      </c>
      <c r="R84" s="48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0.50777944862155378</v>
      </c>
      <c r="S84" s="48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1.4032144360902256E-2</v>
      </c>
      <c r="T84" s="43"/>
      <c r="U84" s="43"/>
      <c r="V84" s="43"/>
      <c r="W84" s="43"/>
      <c r="X84" s="43"/>
    </row>
    <row r="85" spans="2:24" ht="20.100000000000001" customHeight="1">
      <c r="B85" s="43"/>
      <c r="C85" s="43"/>
      <c r="D85" s="43"/>
      <c r="E85" s="42"/>
      <c r="F85" s="43"/>
      <c r="G85" s="43"/>
      <c r="H85" s="43"/>
      <c r="I85" s="43"/>
      <c r="J85" s="43"/>
      <c r="K85" s="65"/>
      <c r="L85" s="65"/>
      <c r="M85" s="53"/>
      <c r="N85" s="48" t="s">
        <v>23</v>
      </c>
      <c r="O85" s="48">
        <f>O80/4.75*Link!$L$11</f>
        <v>0</v>
      </c>
      <c r="P85" s="43"/>
      <c r="Q85" s="43"/>
      <c r="S85" s="43"/>
      <c r="T85" s="43"/>
      <c r="U85" s="43"/>
      <c r="V85" s="43"/>
      <c r="W85" s="43"/>
      <c r="X85" s="43"/>
    </row>
    <row r="86" spans="2:24" ht="20.100000000000001" customHeight="1">
      <c r="B86" s="43"/>
      <c r="C86" s="43"/>
      <c r="D86" s="42"/>
      <c r="E86" s="42"/>
      <c r="F86" s="43"/>
      <c r="G86" s="48" t="s">
        <v>24</v>
      </c>
      <c r="H86" s="48">
        <f>'inf 286'!K25</f>
        <v>2.4794558727964326</v>
      </c>
      <c r="I86" s="48">
        <f>'inf 286'!L25</f>
        <v>2.3292625071811099</v>
      </c>
      <c r="J86" s="43"/>
      <c r="K86" s="48" t="s">
        <v>25</v>
      </c>
      <c r="L86" s="53"/>
      <c r="M86" s="53"/>
      <c r="N86" s="48" t="s">
        <v>26</v>
      </c>
      <c r="O86" s="48">
        <f>'286'!H14</f>
        <v>235.09625</v>
      </c>
      <c r="P86" s="43"/>
      <c r="Q86" s="48">
        <v>-1</v>
      </c>
      <c r="R86" s="55">
        <v>0.56000000000000005</v>
      </c>
      <c r="S86" s="56">
        <v>1.2699999999999999E-2</v>
      </c>
      <c r="T86" s="43"/>
      <c r="U86" s="43"/>
      <c r="V86" s="43"/>
      <c r="W86" s="43"/>
      <c r="X86" s="43"/>
    </row>
    <row r="87" spans="2:24" ht="20.100000000000001" customHeight="1">
      <c r="B87" s="43"/>
      <c r="C87" s="43"/>
      <c r="D87" s="42"/>
      <c r="E87" s="42"/>
      <c r="F87" s="43"/>
      <c r="G87" s="48" t="s">
        <v>27</v>
      </c>
      <c r="H87" s="48">
        <f>(1+(H89*S84))</f>
        <v>1.0122579778766487</v>
      </c>
      <c r="I87" s="48">
        <f>(1+(I89*S93))</f>
        <v>1.0136217142905379</v>
      </c>
      <c r="J87" s="43"/>
      <c r="K87" s="57" t="s">
        <v>28</v>
      </c>
      <c r="L87" s="58">
        <f>O80*Index!$D$4*$O$2</f>
        <v>2.5509922094007753</v>
      </c>
      <c r="M87" s="53"/>
      <c r="N87" s="43"/>
      <c r="O87" s="43"/>
      <c r="P87" s="43"/>
      <c r="Q87" s="48">
        <v>-10</v>
      </c>
      <c r="R87" s="55">
        <f t="shared" ref="R87:R92" si="4">R86-0.01</f>
        <v>0.55000000000000004</v>
      </c>
      <c r="S87" s="56">
        <v>1.2500000000000001E-2</v>
      </c>
      <c r="T87" s="43"/>
      <c r="U87" s="43"/>
      <c r="V87" s="43"/>
      <c r="W87" s="43"/>
      <c r="X87" s="43"/>
    </row>
    <row r="88" spans="2:24" ht="20.100000000000001" customHeight="1">
      <c r="B88" s="43"/>
      <c r="C88" s="43"/>
      <c r="D88" s="42"/>
      <c r="E88" s="42"/>
      <c r="F88" s="43"/>
      <c r="G88" s="48" t="s">
        <v>29</v>
      </c>
      <c r="H88" s="48">
        <f>R84</f>
        <v>0.50777944862155378</v>
      </c>
      <c r="I88" s="48">
        <f>R93</f>
        <v>0.56710697527886533</v>
      </c>
      <c r="J88" s="43"/>
      <c r="K88" s="61" t="s">
        <v>30</v>
      </c>
      <c r="L88" s="62">
        <f>O5*Index!D4*O80*0.95*(1-(L84*0.016))</f>
        <v>2.2967752168342472</v>
      </c>
      <c r="M88" s="42"/>
      <c r="N88" s="54" t="s">
        <v>31</v>
      </c>
      <c r="O88" s="48">
        <f>O86+L84</f>
        <v>238.36297122728368</v>
      </c>
      <c r="P88" s="43"/>
      <c r="Q88" s="48">
        <v>-20</v>
      </c>
      <c r="R88" s="55">
        <f t="shared" si="4"/>
        <v>0.54</v>
      </c>
      <c r="S88" s="56">
        <v>1.23E-2</v>
      </c>
      <c r="T88" s="43"/>
      <c r="U88" s="43"/>
      <c r="V88" s="43"/>
      <c r="W88" s="43"/>
      <c r="X88" s="43"/>
    </row>
    <row r="89" spans="2:24" ht="20.100000000000001" customHeight="1">
      <c r="B89" s="43"/>
      <c r="C89" s="43"/>
      <c r="D89" s="43"/>
      <c r="E89" s="42"/>
      <c r="F89" s="43"/>
      <c r="G89" s="54">
        <v>180</v>
      </c>
      <c r="H89" s="54">
        <f>1.04*(O86-C82)*(O86-C83)/((C81-C82)*(C81-C83))+0.914*(O86-C81)*(O86-C83)/((C82-C81)*(C82-C83))+0.83*(O86-C81)*(O86-C82)/((C83-C81)*(C83-C82))</f>
        <v>0.87356412258721661</v>
      </c>
      <c r="I89" s="54">
        <f>1*(O86-C82)*(O86-C83)/((C81-C82)*(C81-C83))+0.903*(O86-C81)*(O86-C83)/((C82-C81)*(C82-C83))+0.76*(O86-C81)*(O86-C82)/((C83-C81)*(C83-C82))</f>
        <v>0.84783881197304045</v>
      </c>
      <c r="J89" s="43"/>
      <c r="K89" s="61" t="s">
        <v>32</v>
      </c>
      <c r="L89" s="62">
        <f>O5*Index!D4*O80*1.25*(1-(L84*0.016))</f>
        <v>3.022072653729273</v>
      </c>
      <c r="M89" s="42"/>
      <c r="N89" s="43"/>
      <c r="O89" s="43"/>
      <c r="P89" s="43"/>
      <c r="Q89" s="48">
        <v>-30</v>
      </c>
      <c r="R89" s="55">
        <f t="shared" si="4"/>
        <v>0.53</v>
      </c>
      <c r="S89" s="56">
        <v>1.1350000000000001E-2</v>
      </c>
      <c r="T89" s="43"/>
      <c r="U89" s="43"/>
      <c r="V89" s="43"/>
      <c r="W89" s="43"/>
      <c r="X89" s="43"/>
    </row>
    <row r="90" spans="2:24" ht="20.100000000000001" customHeight="1">
      <c r="B90" s="43"/>
      <c r="C90" s="43"/>
      <c r="D90" s="42"/>
      <c r="E90" s="53"/>
      <c r="F90" s="43"/>
      <c r="G90" s="43"/>
      <c r="H90" s="43"/>
      <c r="I90" s="43"/>
      <c r="J90" s="43"/>
      <c r="K90" s="61" t="s">
        <v>33</v>
      </c>
      <c r="L90" s="62">
        <f>(100+(L88*2.75/-4))/100</f>
        <v>0.98420967038426455</v>
      </c>
      <c r="M90" s="42"/>
      <c r="N90" s="632" t="s">
        <v>121</v>
      </c>
      <c r="O90" s="632"/>
      <c r="P90" s="43"/>
      <c r="Q90" s="48">
        <v>-40</v>
      </c>
      <c r="R90" s="55">
        <f t="shared" si="4"/>
        <v>0.52</v>
      </c>
      <c r="S90" s="56">
        <v>1.115E-2</v>
      </c>
      <c r="T90" s="43"/>
      <c r="U90" s="43"/>
      <c r="V90" s="43"/>
      <c r="W90" s="43"/>
      <c r="X90" s="43"/>
    </row>
    <row r="91" spans="2:24" ht="20.100000000000001" customHeight="1">
      <c r="B91" s="43"/>
      <c r="C91" s="43"/>
      <c r="D91" s="42"/>
      <c r="E91" s="53"/>
      <c r="F91" s="43"/>
      <c r="J91" s="43"/>
      <c r="K91" s="61" t="s">
        <v>35</v>
      </c>
      <c r="L91" s="62">
        <f>(100+(L89*4/-6.25))/100</f>
        <v>0.98065873501613265</v>
      </c>
      <c r="M91" s="42"/>
      <c r="N91" s="60">
        <f>H82/100*(O79*0.2165)*Link!$C$7*0.79</f>
        <v>1.9523756897795717</v>
      </c>
      <c r="O91" s="48">
        <f>I82/100*(O79*0.2165)*Link!$C$7*0.79</f>
        <v>1.997229076169676</v>
      </c>
      <c r="P91" s="42"/>
      <c r="Q91" s="48">
        <v>-50</v>
      </c>
      <c r="R91" s="55">
        <f t="shared" si="4"/>
        <v>0.51</v>
      </c>
      <c r="S91" s="56">
        <v>1.095E-2</v>
      </c>
      <c r="T91" s="43"/>
      <c r="U91" s="43"/>
      <c r="V91" s="43"/>
      <c r="W91" s="43"/>
      <c r="X91" s="43"/>
    </row>
    <row r="92" spans="2:24" ht="20.100000000000001" customHeight="1">
      <c r="B92" s="43"/>
      <c r="C92" s="43"/>
      <c r="D92" s="43"/>
      <c r="E92" s="43"/>
      <c r="F92" s="43"/>
      <c r="G92" s="43"/>
      <c r="H92" s="43"/>
      <c r="I92" s="43"/>
      <c r="J92" s="43"/>
      <c r="K92" s="61" t="s">
        <v>36</v>
      </c>
      <c r="L92" s="62">
        <f>O86+L84-L88</f>
        <v>236.06619601044943</v>
      </c>
      <c r="M92" s="43"/>
      <c r="N92" s="43"/>
      <c r="O92" s="43"/>
      <c r="P92" s="43"/>
      <c r="Q92" s="48">
        <v>-60</v>
      </c>
      <c r="R92" s="55">
        <f t="shared" si="4"/>
        <v>0.5</v>
      </c>
      <c r="S92" s="56">
        <v>1.0749999999999999E-2</v>
      </c>
      <c r="T92" s="43"/>
      <c r="U92" s="43"/>
      <c r="V92" s="43"/>
      <c r="W92" s="43"/>
      <c r="X92" s="43"/>
    </row>
    <row r="93" spans="2:24" ht="20.100000000000001" customHeight="1">
      <c r="B93" s="43"/>
      <c r="C93" s="43"/>
      <c r="D93" s="43"/>
      <c r="E93" s="43"/>
      <c r="F93" s="43"/>
      <c r="G93" s="43"/>
      <c r="H93" s="43"/>
      <c r="I93" s="43"/>
      <c r="J93" s="43"/>
      <c r="K93" s="63" t="s">
        <v>37</v>
      </c>
      <c r="L93" s="64">
        <f>O86+L84+L89</f>
        <v>241.38504388101296</v>
      </c>
      <c r="M93" s="43"/>
      <c r="N93" s="43"/>
      <c r="O93" s="43"/>
      <c r="P93" s="43"/>
      <c r="Q93" s="48">
        <f>Index!$C$4</f>
        <v>4</v>
      </c>
      <c r="R93" s="68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0.56710697527886533</v>
      </c>
      <c r="S93" s="48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1.6066396227884815E-2</v>
      </c>
      <c r="T93" s="43"/>
      <c r="U93" s="43"/>
      <c r="V93" s="43"/>
      <c r="W93" s="43"/>
      <c r="X93" s="43"/>
    </row>
    <row r="94" spans="2:24" ht="20.100000000000001" customHeight="1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2:24" ht="20.100000000000001" customHeight="1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2:24" ht="20.100000000000001" customHeight="1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2:19" ht="20.100000000000001" customHeight="1">
      <c r="B97" s="629" t="s">
        <v>66</v>
      </c>
      <c r="C97" s="630"/>
      <c r="D97" s="630"/>
      <c r="E97" s="631"/>
      <c r="F97" s="43"/>
      <c r="G97" s="629" t="s">
        <v>66</v>
      </c>
      <c r="H97" s="630"/>
      <c r="I97" s="631"/>
      <c r="J97" s="53"/>
      <c r="K97" s="48" t="s">
        <v>7</v>
      </c>
      <c r="L97" s="53"/>
      <c r="M97" s="43"/>
      <c r="N97" s="48" t="s">
        <v>8</v>
      </c>
      <c r="O97" s="48">
        <f>O98/0.2165</f>
        <v>4.9101003549722124</v>
      </c>
      <c r="P97" s="42"/>
      <c r="Q97" s="48">
        <v>1</v>
      </c>
      <c r="R97" s="55">
        <v>0.62</v>
      </c>
      <c r="S97" s="56">
        <v>1.32E-2</v>
      </c>
    </row>
    <row r="98" spans="2:19" ht="20.100000000000001" customHeight="1">
      <c r="B98" s="54" t="s">
        <v>5</v>
      </c>
      <c r="C98" s="54" t="s">
        <v>9</v>
      </c>
      <c r="D98" s="54" t="s">
        <v>10</v>
      </c>
      <c r="E98" s="54" t="s">
        <v>7</v>
      </c>
      <c r="F98" s="43"/>
      <c r="G98" s="54" t="s">
        <v>10</v>
      </c>
      <c r="H98" s="54">
        <f>H99/0.2165</f>
        <v>33.946655959672626</v>
      </c>
      <c r="I98" s="54">
        <f>I99/0.2165</f>
        <v>35.263005675381685</v>
      </c>
      <c r="J98" s="53"/>
      <c r="K98" s="57" t="s">
        <v>11</v>
      </c>
      <c r="L98" s="58">
        <f>O98*$O$3*Index!$D$4</f>
        <v>4.0716668871798314</v>
      </c>
      <c r="M98" s="43"/>
      <c r="N98" s="48" t="s">
        <v>7</v>
      </c>
      <c r="O98" s="54">
        <f>IF(AND(O104&gt;(C106-0.0001),O104&lt;C100),(O106),IF(AND(O104&gt;(C100-0.0001),O104&lt;C99),(O107),IF(AND(O104&gt;(C99-0.0001),O104&lt;321),(O108),IF(AND((O104&gt;0-0.0001),O104&lt;C106),(O109)))))</f>
        <v>1.063036726851484</v>
      </c>
      <c r="P98" s="43"/>
      <c r="Q98" s="48">
        <v>5</v>
      </c>
      <c r="R98" s="55">
        <f>R97+0.01</f>
        <v>0.63</v>
      </c>
      <c r="S98" s="56">
        <v>1.3599999999999999E-2</v>
      </c>
    </row>
    <row r="99" spans="2:19" ht="20.100000000000001" customHeight="1">
      <c r="B99" s="54">
        <v>100</v>
      </c>
      <c r="C99" s="60">
        <v>239.7</v>
      </c>
      <c r="D99" s="60">
        <v>233</v>
      </c>
      <c r="E99" s="54">
        <f>D99/45*0.2165</f>
        <v>1.120988888888889</v>
      </c>
      <c r="F99" s="43"/>
      <c r="G99" s="48" t="s">
        <v>7</v>
      </c>
      <c r="H99" s="48">
        <f>L100+O103+B116</f>
        <v>7.349451015269123</v>
      </c>
      <c r="I99" s="48">
        <f>L101+O103+C116</f>
        <v>7.6344407287201346</v>
      </c>
      <c r="J99" s="53"/>
      <c r="K99" s="61" t="s">
        <v>13</v>
      </c>
      <c r="L99" s="62">
        <f>IF(L102&gt;0,L98*O101,L98*O102)</f>
        <v>4.0416212215878495</v>
      </c>
      <c r="M99" s="43"/>
      <c r="N99" s="48" t="s">
        <v>14</v>
      </c>
      <c r="O99" s="48">
        <f>H107*POWER((1+(H106)),C99-O104)</f>
        <v>0.6687780371117884</v>
      </c>
      <c r="P99" s="43"/>
      <c r="Q99" s="48">
        <v>10</v>
      </c>
      <c r="R99" s="55">
        <f>R98+0.01</f>
        <v>0.64</v>
      </c>
      <c r="S99" s="56">
        <v>1.38E-2</v>
      </c>
    </row>
    <row r="100" spans="2:19" ht="20.100000000000001" customHeight="1">
      <c r="B100" s="54">
        <f>B99-10</f>
        <v>90</v>
      </c>
      <c r="C100" s="60">
        <v>208.8</v>
      </c>
      <c r="D100" s="60">
        <v>162</v>
      </c>
      <c r="E100" s="54">
        <f t="shared" ref="E100:E109" si="5">D100/45*0.2165</f>
        <v>0.77939999999999998</v>
      </c>
      <c r="F100" s="43"/>
      <c r="G100" s="48" t="s">
        <v>5</v>
      </c>
      <c r="H100" s="48">
        <f>IF(O104&gt;(C106-0.0001),H108,H109)</f>
        <v>98.268336127475408</v>
      </c>
      <c r="I100" s="48">
        <f>IF(O104&gt;(C106-0.0001),I108,I109)</f>
        <v>100.74164036495087</v>
      </c>
      <c r="J100" s="53"/>
      <c r="K100" s="61" t="s">
        <v>15</v>
      </c>
      <c r="L100" s="62">
        <f>L99*L108</f>
        <v>3.950752177827451</v>
      </c>
      <c r="M100" s="43"/>
      <c r="N100" s="48" t="s">
        <v>16</v>
      </c>
      <c r="O100" s="48">
        <f>I107*POWER((1+(I106)),C99-O104)</f>
        <v>0.67249999999999732</v>
      </c>
      <c r="P100" s="43"/>
      <c r="Q100" s="48">
        <v>15</v>
      </c>
      <c r="R100" s="55">
        <f>R99+0.01</f>
        <v>0.65</v>
      </c>
      <c r="S100" s="56">
        <v>1.4E-2</v>
      </c>
    </row>
    <row r="101" spans="2:19" ht="20.100000000000001" customHeight="1">
      <c r="B101" s="54">
        <f t="shared" ref="B101:B108" si="6">B100-10</f>
        <v>80</v>
      </c>
      <c r="C101" s="60">
        <v>179.4</v>
      </c>
      <c r="D101" s="60">
        <v>114</v>
      </c>
      <c r="E101" s="54">
        <f t="shared" si="5"/>
        <v>0.54846666666666666</v>
      </c>
      <c r="F101" s="43"/>
      <c r="G101" s="48" t="s">
        <v>17</v>
      </c>
      <c r="H101" s="48">
        <f>IF(N114=0,INDEX('R286'!H39:H363,(ROUNDDOWN(((H100-10)/(20/72)+1),0)),1),INDEX('R286'!H39:H363,(ROUNDUP(((H100-10)/(20/72))+1,0)),1))</f>
        <v>261.56666666666672</v>
      </c>
      <c r="I101" s="48" t="e">
        <f>IF(O114=0,INDEX('R286'!H39:H363,(ROUNDDOWN(((I100-10)/(20/72)+1),0)),1),INDEX('R286'!H39:H363,(ROUNDUP(((I100-10)/(20/72))+1,0)),1))</f>
        <v>#REF!</v>
      </c>
      <c r="J101" s="53"/>
      <c r="K101" s="61" t="s">
        <v>18</v>
      </c>
      <c r="L101" s="62">
        <f>L99/L109</f>
        <v>4.1502004384788247</v>
      </c>
      <c r="M101" s="43"/>
      <c r="N101" s="48" t="s">
        <v>19</v>
      </c>
      <c r="O101" s="48">
        <f>IF((O104&gt;0),((100+(L102/-H105))/100))</f>
        <v>0.99262079476919285</v>
      </c>
      <c r="P101" s="42"/>
      <c r="Q101" s="48">
        <v>20</v>
      </c>
      <c r="R101" s="55">
        <f>R100+0.01</f>
        <v>0.66</v>
      </c>
      <c r="S101" s="56">
        <v>1.43E-2</v>
      </c>
    </row>
    <row r="102" spans="2:19" ht="20.100000000000001" customHeight="1">
      <c r="B102" s="54">
        <f t="shared" si="6"/>
        <v>70</v>
      </c>
      <c r="C102" s="60">
        <v>152.4</v>
      </c>
      <c r="D102" s="60">
        <v>81</v>
      </c>
      <c r="E102" s="54">
        <f t="shared" si="5"/>
        <v>0.38969999999999999</v>
      </c>
      <c r="F102" s="43"/>
      <c r="G102" s="48" t="s">
        <v>39</v>
      </c>
      <c r="H102" s="48">
        <f>N115</f>
        <v>11</v>
      </c>
      <c r="I102" s="48">
        <f>O115</f>
        <v>10</v>
      </c>
      <c r="J102" s="53"/>
      <c r="K102" s="63" t="s">
        <v>21</v>
      </c>
      <c r="L102" s="64">
        <f>IF(Index!$C$4&gt;0,Index!$C$4*O99,Index!$C$4*O100)</f>
        <v>2.6751121484471536</v>
      </c>
      <c r="M102" s="43"/>
      <c r="N102" s="48" t="s">
        <v>22</v>
      </c>
      <c r="O102" s="48">
        <f>IF((O104&gt;0),((100+(L102/-I105))/100))</f>
        <v>0.99289949557521628</v>
      </c>
      <c r="P102" s="42"/>
      <c r="Q102" s="48">
        <f>Index!$C$4</f>
        <v>4</v>
      </c>
      <c r="R102" s="48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0.62777944862155388</v>
      </c>
      <c r="S102" s="48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1.3532144360902254E-2</v>
      </c>
    </row>
    <row r="103" spans="2:19" ht="20.100000000000001" customHeight="1">
      <c r="B103" s="54">
        <f t="shared" si="6"/>
        <v>60</v>
      </c>
      <c r="C103" s="60">
        <v>128</v>
      </c>
      <c r="D103" s="60">
        <v>59</v>
      </c>
      <c r="E103" s="54">
        <f t="shared" si="5"/>
        <v>0.28385555555555553</v>
      </c>
      <c r="F103" s="43"/>
      <c r="G103" s="54" t="s">
        <v>20</v>
      </c>
      <c r="H103" s="54">
        <f>H98/4</f>
        <v>8.4866639899181564</v>
      </c>
      <c r="I103" s="54">
        <f>I98/4</f>
        <v>8.8157514188454211</v>
      </c>
      <c r="J103" s="53"/>
      <c r="K103" s="65"/>
      <c r="L103" s="65"/>
      <c r="M103" s="43"/>
      <c r="N103" s="48" t="s">
        <v>23</v>
      </c>
      <c r="O103" s="48">
        <f>O98/4*Link!$L$11</f>
        <v>0</v>
      </c>
      <c r="P103" s="42"/>
      <c r="Q103" s="43"/>
      <c r="R103" s="43"/>
      <c r="S103" s="43"/>
    </row>
    <row r="104" spans="2:19" ht="20.100000000000001" customHeight="1">
      <c r="B104" s="54">
        <f t="shared" si="6"/>
        <v>50</v>
      </c>
      <c r="C104" s="60">
        <v>106</v>
      </c>
      <c r="D104" s="60">
        <v>43</v>
      </c>
      <c r="E104" s="54">
        <f t="shared" si="5"/>
        <v>0.2068777777777778</v>
      </c>
      <c r="F104" s="43"/>
      <c r="G104" s="43"/>
      <c r="H104" s="43"/>
      <c r="I104" s="43"/>
      <c r="J104" s="53"/>
      <c r="K104" s="48" t="s">
        <v>25</v>
      </c>
      <c r="L104" s="53"/>
      <c r="M104" s="43"/>
      <c r="N104" s="48" t="s">
        <v>26</v>
      </c>
      <c r="O104" s="48">
        <f>$J$14</f>
        <v>235.09625</v>
      </c>
      <c r="P104" s="42"/>
      <c r="Q104" s="54">
        <v>-1</v>
      </c>
      <c r="R104" s="69">
        <v>0.65</v>
      </c>
      <c r="S104" s="56">
        <v>1.2699999999999999E-2</v>
      </c>
    </row>
    <row r="105" spans="2:19" ht="20.100000000000001" customHeight="1">
      <c r="B105" s="54">
        <f t="shared" si="6"/>
        <v>40</v>
      </c>
      <c r="C105" s="60">
        <v>85.6</v>
      </c>
      <c r="D105" s="60">
        <v>32</v>
      </c>
      <c r="E105" s="54">
        <f t="shared" si="5"/>
        <v>0.15395555555555557</v>
      </c>
      <c r="F105" s="43"/>
      <c r="G105" s="48" t="s">
        <v>24</v>
      </c>
      <c r="H105" s="48">
        <f>IF('286'!O104&gt;('286'!C106-0.0001),'inf 286'!G11,'inf 286'!G19)</f>
        <v>3.6252036158026062</v>
      </c>
      <c r="I105" s="48">
        <f>IF('286'!O104&gt;('286'!C106-0.0001),'inf 286'!H11,'inf 286'!H19)</f>
        <v>3.7674959248104911</v>
      </c>
      <c r="J105" s="43"/>
      <c r="K105" s="57" t="s">
        <v>28</v>
      </c>
      <c r="L105" s="58">
        <f>O98*Index!$D$4*$O$2</f>
        <v>3.4165341833093406</v>
      </c>
      <c r="M105" s="53"/>
      <c r="N105" s="43"/>
      <c r="O105" s="43"/>
      <c r="P105" s="42"/>
      <c r="Q105" s="54">
        <v>-5</v>
      </c>
      <c r="R105" s="69">
        <f>R104-0.01</f>
        <v>0.64</v>
      </c>
      <c r="S105" s="56">
        <v>1.26E-2</v>
      </c>
    </row>
    <row r="106" spans="2:19" ht="20.100000000000001" customHeight="1">
      <c r="B106" s="54">
        <f t="shared" si="6"/>
        <v>30</v>
      </c>
      <c r="C106" s="60">
        <v>66.099999999999994</v>
      </c>
      <c r="D106" s="60">
        <v>23</v>
      </c>
      <c r="E106" s="54">
        <f t="shared" si="5"/>
        <v>0.11065555555555555</v>
      </c>
      <c r="F106" s="43"/>
      <c r="G106" s="48" t="s">
        <v>27</v>
      </c>
      <c r="H106" s="48">
        <f>IF(AND(Index!C4&gt;-0.9,Index!C4&lt;6),H115*S102,IF(AND(Index!C4&gt;5.999,Index!C4&lt;8.4),I115*S102,IF(AND(Index!C4&gt;8.399,Index!C4&lt;11),S102*J115,IF(AND(Index!C4&gt;10.999,Index!C4&lt;14.5),(K115*S102),IF(AND(Index!C4&gt;14.499,Index!C4&lt;16.9),L115*S102,IF(AND(Index!C4&gt;16.899,Index!C4&lt;30),(L115*1.008)*S102))))))</f>
        <v>1.3836542828418534E-2</v>
      </c>
      <c r="I106" s="48" t="b">
        <f>IF(AND(Index!C4&lt;0.01,Index!C4&gt;-8.3),(O118*H116),IF(AND(Q110&lt;-8.299,Q110&gt;-13.5),(I116*O118),IF(AND(Q110&lt;-13.49,Q110&gt;-17.5),(J116*O118),IF(AND(Index!C4&lt;-17.49,Index!C4&gt;-30),(O118*K116),IF(AND(Index!C4&lt;-29.99,Index!C4&gt;-59),((O118*L116)))))))</f>
        <v>0</v>
      </c>
      <c r="J106" s="42"/>
      <c r="K106" s="61" t="s">
        <v>30</v>
      </c>
      <c r="L106" s="62">
        <f>$O$5*Index!$D$4*O98*1*(1-(L102*0.016))</f>
        <v>3.2703003897196474</v>
      </c>
      <c r="M106" s="42"/>
      <c r="N106" s="48" t="s">
        <v>12</v>
      </c>
      <c r="O106" s="48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1.0532149567809945</v>
      </c>
      <c r="P106" s="43"/>
      <c r="Q106" s="54">
        <v>-10</v>
      </c>
      <c r="R106" s="69">
        <f>R105-0.01</f>
        <v>0.63</v>
      </c>
      <c r="S106" s="56">
        <v>1.2500000000000001E-2</v>
      </c>
    </row>
    <row r="107" spans="2:19" ht="20.100000000000001" customHeight="1">
      <c r="B107" s="54">
        <f t="shared" si="6"/>
        <v>20</v>
      </c>
      <c r="C107" s="60">
        <v>46.6</v>
      </c>
      <c r="D107" s="60">
        <v>15</v>
      </c>
      <c r="E107" s="54">
        <f t="shared" si="5"/>
        <v>7.2166666666666657E-2</v>
      </c>
      <c r="F107" s="43"/>
      <c r="G107" s="48" t="s">
        <v>29</v>
      </c>
      <c r="H107" s="48">
        <f>R102</f>
        <v>0.62777944862155388</v>
      </c>
      <c r="I107" s="48">
        <f>IF(Index!C4&gt;(-25+0.0001),'286'!R110,'286'!R118)</f>
        <v>0.67249999999999732</v>
      </c>
      <c r="J107" s="43"/>
      <c r="K107" s="61" t="s">
        <v>32</v>
      </c>
      <c r="L107" s="62">
        <f>O5*Index!D4*O98*1.25*(1-(L102*0.016))</f>
        <v>4.0878754871495593</v>
      </c>
      <c r="M107" s="43"/>
      <c r="N107" s="54" t="s">
        <v>40</v>
      </c>
      <c r="O107" s="48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1.063036726851484</v>
      </c>
      <c r="P107" s="43"/>
      <c r="Q107" s="54">
        <v>-15</v>
      </c>
      <c r="R107" s="69">
        <f>R106-0.01</f>
        <v>0.62</v>
      </c>
      <c r="S107" s="56">
        <v>1.24E-2</v>
      </c>
    </row>
    <row r="108" spans="2:19" ht="20.100000000000001" customHeight="1">
      <c r="B108" s="54">
        <f t="shared" si="6"/>
        <v>10</v>
      </c>
      <c r="C108" s="60">
        <v>25.5</v>
      </c>
      <c r="D108" s="60">
        <v>8</v>
      </c>
      <c r="E108" s="54">
        <f t="shared" si="5"/>
        <v>3.8488888888888892E-2</v>
      </c>
      <c r="F108" s="43"/>
      <c r="G108" s="54">
        <v>140</v>
      </c>
      <c r="H108" s="54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98.268336127475408</v>
      </c>
      <c r="I108" s="54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100.74164036495087</v>
      </c>
      <c r="J108" s="43"/>
      <c r="K108" s="61" t="s">
        <v>33</v>
      </c>
      <c r="L108" s="62">
        <f>(100+(L106*2.75/-4))/100</f>
        <v>0.97751668482067744</v>
      </c>
      <c r="M108" s="53"/>
      <c r="N108" s="48" t="s">
        <v>41</v>
      </c>
      <c r="O108" s="48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1.0684071801293005</v>
      </c>
      <c r="P108" s="43"/>
      <c r="Q108" s="54">
        <v>-20</v>
      </c>
      <c r="R108" s="69">
        <f>R107-0.01</f>
        <v>0.61</v>
      </c>
      <c r="S108" s="56">
        <v>1.23E-2</v>
      </c>
    </row>
    <row r="109" spans="2:19" ht="20.100000000000001" customHeight="1">
      <c r="B109" s="54">
        <f>B108-10</f>
        <v>0</v>
      </c>
      <c r="C109" s="60">
        <v>0</v>
      </c>
      <c r="D109" s="60">
        <v>0</v>
      </c>
      <c r="E109" s="54">
        <f t="shared" si="5"/>
        <v>0</v>
      </c>
      <c r="F109" s="43"/>
      <c r="G109" s="54">
        <v>400</v>
      </c>
      <c r="H109" s="54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-3.3462162690630066</v>
      </c>
      <c r="I109" s="54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-17.899255541869934</v>
      </c>
      <c r="J109" s="43"/>
      <c r="K109" s="61" t="s">
        <v>35</v>
      </c>
      <c r="L109" s="62">
        <f>(100+(L107*4/-6.25))/100</f>
        <v>0.97383759688224292</v>
      </c>
      <c r="M109" s="43"/>
      <c r="N109" s="54" t="s">
        <v>42</v>
      </c>
      <c r="O109" s="48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-1.4802851176799479</v>
      </c>
      <c r="P109" s="43"/>
      <c r="Q109" s="54">
        <v>-25</v>
      </c>
      <c r="R109" s="69">
        <f>R108-0.01</f>
        <v>0.6</v>
      </c>
      <c r="S109" s="56">
        <v>1.2200000000000001E-2</v>
      </c>
    </row>
    <row r="110" spans="2:19" ht="20.100000000000001" customHeight="1">
      <c r="B110" s="43"/>
      <c r="C110" s="43"/>
      <c r="D110" s="43"/>
      <c r="E110" s="43"/>
      <c r="F110" s="43"/>
      <c r="G110" s="43"/>
      <c r="H110" s="43"/>
      <c r="I110" s="43"/>
      <c r="J110" s="43"/>
      <c r="K110" s="61" t="s">
        <v>36</v>
      </c>
      <c r="L110" s="50">
        <f>O104+L102-L106</f>
        <v>234.5010617587275</v>
      </c>
      <c r="M110" s="43"/>
      <c r="N110" s="43"/>
      <c r="O110" s="43"/>
      <c r="P110" s="43"/>
      <c r="Q110" s="54">
        <f>Index!$C$4</f>
        <v>4</v>
      </c>
      <c r="R110" s="54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0.67249999999999732</v>
      </c>
      <c r="S110" s="54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1.2925000000000015E-2</v>
      </c>
    </row>
    <row r="111" spans="2:19" ht="20.100000000000001" customHeight="1">
      <c r="B111" s="54">
        <v>97.5</v>
      </c>
      <c r="C111" s="60">
        <v>231.9</v>
      </c>
      <c r="D111" s="60">
        <v>213</v>
      </c>
      <c r="E111" s="54">
        <f>D111/45*0.2165</f>
        <v>1.0247666666666666</v>
      </c>
      <c r="F111" s="43"/>
      <c r="G111" s="48">
        <v>107.5</v>
      </c>
      <c r="H111" s="54">
        <v>263</v>
      </c>
      <c r="I111" s="54">
        <v>1.3953</v>
      </c>
      <c r="J111" s="43"/>
      <c r="K111" s="63" t="s">
        <v>37</v>
      </c>
      <c r="L111" s="52">
        <f>O104+L102+L107</f>
        <v>241.85923763559668</v>
      </c>
      <c r="M111" s="43"/>
      <c r="N111" s="57" t="s">
        <v>43</v>
      </c>
      <c r="O111" s="58"/>
      <c r="P111" s="43"/>
      <c r="Q111" s="43"/>
      <c r="R111" s="43"/>
      <c r="S111" s="43"/>
    </row>
    <row r="112" spans="2:19" ht="20.100000000000001" customHeight="1">
      <c r="B112" s="54">
        <v>95</v>
      </c>
      <c r="C112" s="60">
        <v>224.2</v>
      </c>
      <c r="D112" s="60">
        <v>195</v>
      </c>
      <c r="E112" s="54">
        <f>D112/45*0.2165</f>
        <v>0.93816666666666659</v>
      </c>
      <c r="F112" s="43"/>
      <c r="G112" s="54">
        <v>105</v>
      </c>
      <c r="H112" s="54">
        <v>255.2</v>
      </c>
      <c r="I112" s="54">
        <v>1.3039000000000001</v>
      </c>
      <c r="J112" s="43"/>
      <c r="K112" s="43"/>
      <c r="L112" s="43"/>
      <c r="M112" s="43"/>
      <c r="N112" s="61">
        <f>MOD(H100,20/72)</f>
        <v>0.21278057191984778</v>
      </c>
      <c r="O112" s="62">
        <f>MOD(I100,20/72)</f>
        <v>0.18608480939530803</v>
      </c>
      <c r="P112" s="43"/>
      <c r="Q112" s="54">
        <v>-30</v>
      </c>
      <c r="R112" s="69">
        <f>R109-0.01</f>
        <v>0.59</v>
      </c>
      <c r="S112" s="56">
        <v>1.1350000000000001E-2</v>
      </c>
    </row>
    <row r="113" spans="1:20" ht="20.100000000000001" customHeight="1">
      <c r="B113" s="54">
        <v>92.5</v>
      </c>
      <c r="C113" s="60">
        <v>216.4</v>
      </c>
      <c r="D113" s="60">
        <v>178</v>
      </c>
      <c r="E113" s="54">
        <f>D113/45*0.2165</f>
        <v>0.85637777777777779</v>
      </c>
      <c r="F113" s="43"/>
      <c r="G113" s="54">
        <v>102.5</v>
      </c>
      <c r="H113" s="54">
        <v>247.5</v>
      </c>
      <c r="I113" s="54">
        <v>1.2124999999999999</v>
      </c>
      <c r="J113" s="53"/>
      <c r="K113" s="54" t="s">
        <v>31</v>
      </c>
      <c r="L113" s="48">
        <f>O104+L102</f>
        <v>237.77136214844714</v>
      </c>
      <c r="M113" s="53"/>
      <c r="N113" s="61">
        <f>N112/(20/72)</f>
        <v>0.76601005891145202</v>
      </c>
      <c r="O113" s="62">
        <f>O112/(20/72)</f>
        <v>0.66990531382310892</v>
      </c>
      <c r="P113" s="53"/>
      <c r="Q113" s="54">
        <v>-35</v>
      </c>
      <c r="R113" s="69">
        <f>R112-0.01</f>
        <v>0.57999999999999996</v>
      </c>
      <c r="S113" s="56">
        <v>1.125E-2</v>
      </c>
    </row>
    <row r="114" spans="1:20" ht="20.100000000000001" customHeight="1">
      <c r="B114" s="43"/>
      <c r="C114" s="43"/>
      <c r="D114" s="43"/>
      <c r="E114" s="43"/>
      <c r="F114" s="43"/>
      <c r="G114" s="43"/>
      <c r="H114" s="43"/>
      <c r="I114" s="43"/>
      <c r="J114" s="53"/>
      <c r="K114" s="43"/>
      <c r="L114" s="43"/>
      <c r="M114" s="53"/>
      <c r="N114" s="61">
        <f>IF(N113&lt;0.288,ROUNDDOWN(N113,0),ROUNDUP(N113,0))</f>
        <v>1</v>
      </c>
      <c r="O114" s="62">
        <f>IF(O113&lt;0.288,ROUNDDOWN(O113,0),ROUNDUP(O113,0))</f>
        <v>1</v>
      </c>
      <c r="P114" s="53"/>
      <c r="Q114" s="54">
        <v>-40</v>
      </c>
      <c r="R114" s="69">
        <f>R113-0.01</f>
        <v>0.56999999999999995</v>
      </c>
      <c r="S114" s="56">
        <v>1.115E-2</v>
      </c>
    </row>
    <row r="115" spans="1:20" ht="20.100000000000001" customHeight="1">
      <c r="B115" s="632" t="s">
        <v>121</v>
      </c>
      <c r="C115" s="632"/>
      <c r="D115" s="43"/>
      <c r="E115" s="43"/>
      <c r="F115" s="43"/>
      <c r="G115" s="54" t="s">
        <v>44</v>
      </c>
      <c r="H115" s="54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1.0224944738541042</v>
      </c>
      <c r="I115" s="48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1.0792218636765867</v>
      </c>
      <c r="J115" s="48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1.0770595394722975</v>
      </c>
      <c r="K115" s="48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1.0216847806313403</v>
      </c>
      <c r="L115" s="48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1.0307978658820858</v>
      </c>
      <c r="M115" s="43"/>
      <c r="N115" s="61">
        <f>IF(N112&lt;0.08,11,N116)</f>
        <v>11</v>
      </c>
      <c r="O115" s="62">
        <f>IF(O112&lt;0.08,11,O116)</f>
        <v>10</v>
      </c>
      <c r="P115" s="42"/>
      <c r="Q115" s="54">
        <v>-45</v>
      </c>
      <c r="R115" s="69">
        <f>R114-0.01</f>
        <v>0.55999999999999994</v>
      </c>
      <c r="S115" s="56">
        <v>1.1050000000000001E-2</v>
      </c>
    </row>
    <row r="116" spans="1:20" ht="20.100000000000001" customHeight="1">
      <c r="B116" s="60">
        <f>H100/100*(O97*0.2165)*Link!$C$7*0.9</f>
        <v>3.398698837441672</v>
      </c>
      <c r="C116" s="48">
        <f>I100/100*(O97*0.2165)*Link!$C$7*0.9</f>
        <v>3.4842402902413099</v>
      </c>
      <c r="D116" s="43"/>
      <c r="E116" s="43"/>
      <c r="F116" s="43"/>
      <c r="G116" s="54" t="s">
        <v>45</v>
      </c>
      <c r="H116" s="48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1.0863593650997818</v>
      </c>
      <c r="I116" s="54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1.0040032289167746</v>
      </c>
      <c r="J116" s="48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0.99994918942941413</v>
      </c>
      <c r="K116" s="48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1.1059817035252768</v>
      </c>
      <c r="L116" s="54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1.1890125532655049</v>
      </c>
      <c r="M116" s="43"/>
      <c r="N116" s="63">
        <f>IF(N112&gt;(20/72)-0.08,11,10)</f>
        <v>11</v>
      </c>
      <c r="O116" s="64">
        <f>IF(O112&gt;(20/72)-0.08,11,10)</f>
        <v>10</v>
      </c>
      <c r="P116" s="42"/>
      <c r="Q116" s="54">
        <v>-50</v>
      </c>
      <c r="R116" s="69">
        <f>R115-0.01</f>
        <v>0.54999999999999993</v>
      </c>
      <c r="S116" s="56">
        <f>S115-0.0001</f>
        <v>1.0950000000000001E-2</v>
      </c>
    </row>
    <row r="117" spans="1:20" ht="20.100000000000001" customHeight="1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2"/>
      <c r="Q117" s="54">
        <v>-55</v>
      </c>
      <c r="R117" s="69">
        <f>R116-0.01</f>
        <v>0.53999999999999992</v>
      </c>
      <c r="S117" s="56">
        <f>S116-0.0001</f>
        <v>1.0850000000000002E-2</v>
      </c>
    </row>
    <row r="118" spans="1:20" ht="20.100000000000001" customHeight="1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8" t="s">
        <v>46</v>
      </c>
      <c r="O118" s="48">
        <f>IF(Index!C4&gt;(-25+0.0001),'286'!S110,'286'!S118)</f>
        <v>1.2925000000000015E-2</v>
      </c>
      <c r="P118" s="42"/>
      <c r="Q118" s="54">
        <f>Index!$C$4</f>
        <v>4</v>
      </c>
      <c r="R118" s="54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0.65799999999973124</v>
      </c>
      <c r="S118" s="54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1.2029999999992214E-2</v>
      </c>
    </row>
    <row r="119" spans="1:20" ht="20.100000000000001" customHeight="1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</row>
    <row r="120" spans="1:20" ht="20.100000000000001" customHeight="1">
      <c r="A120" s="43"/>
      <c r="T120" s="43"/>
    </row>
    <row r="121" spans="1:20" ht="20.100000000000001" customHeight="1">
      <c r="A121" s="43"/>
      <c r="T121" s="43"/>
    </row>
    <row r="122" spans="1:20" ht="20.100000000000001" customHeight="1">
      <c r="A122" s="43"/>
      <c r="B122" s="629" t="s">
        <v>67</v>
      </c>
      <c r="C122" s="630"/>
      <c r="D122" s="630"/>
      <c r="E122" s="631"/>
      <c r="F122" s="43"/>
      <c r="G122" s="629" t="s">
        <v>67</v>
      </c>
      <c r="H122" s="630"/>
      <c r="I122" s="631"/>
      <c r="J122" s="53"/>
      <c r="K122" s="48" t="s">
        <v>7</v>
      </c>
      <c r="L122" s="53"/>
      <c r="M122" s="43"/>
      <c r="N122" s="48" t="s">
        <v>8</v>
      </c>
      <c r="O122" s="48">
        <f>O123/0.2165</f>
        <v>6.040160139293226</v>
      </c>
      <c r="P122" s="42"/>
      <c r="Q122" s="48">
        <v>1</v>
      </c>
      <c r="R122" s="55">
        <v>0.62</v>
      </c>
      <c r="S122" s="56">
        <v>1.37E-2</v>
      </c>
      <c r="T122" s="43"/>
    </row>
    <row r="123" spans="1:20" ht="20.100000000000001" customHeight="1">
      <c r="B123" s="54" t="s">
        <v>5</v>
      </c>
      <c r="C123" s="54" t="s">
        <v>9</v>
      </c>
      <c r="D123" s="54" t="s">
        <v>10</v>
      </c>
      <c r="E123" s="54" t="s">
        <v>7</v>
      </c>
      <c r="F123" s="43"/>
      <c r="G123" s="54" t="s">
        <v>10</v>
      </c>
      <c r="H123" s="54">
        <f>H124/0.2165</f>
        <v>40.351183788052246</v>
      </c>
      <c r="I123" s="54">
        <f>I124/0.2165</f>
        <v>42.402135341695271</v>
      </c>
      <c r="J123" s="53"/>
      <c r="K123" s="57" t="s">
        <v>11</v>
      </c>
      <c r="L123" s="58">
        <f>O123*$O$3*Index!$D$4</f>
        <v>5.0087611768503093</v>
      </c>
      <c r="M123" s="43"/>
      <c r="N123" s="48" t="s">
        <v>7</v>
      </c>
      <c r="O123" s="54">
        <f>IF(AND(O129&gt;(C131-0.0001),O129&lt;C125),(O131),IF(AND(O129&gt;(C125-0.0001),O129&lt;C124),(O132),IF(AND(O129&gt;(C124-0.0001),O129&lt;321),(O133),IF(AND((O129&gt;0-0.0001),O129&lt;C131),(O134)))))</f>
        <v>1.3076946701569834</v>
      </c>
      <c r="P123" s="43"/>
      <c r="Q123" s="48">
        <v>5</v>
      </c>
      <c r="R123" s="55">
        <f>R122+0.01</f>
        <v>0.63</v>
      </c>
      <c r="S123" s="56">
        <v>1.41E-2</v>
      </c>
    </row>
    <row r="124" spans="1:20" ht="20.100000000000001" customHeight="1">
      <c r="B124" s="54">
        <v>100</v>
      </c>
      <c r="C124" s="60">
        <v>222.5</v>
      </c>
      <c r="D124" s="60">
        <v>239</v>
      </c>
      <c r="E124" s="54">
        <f>D124/45*0.2165</f>
        <v>1.1498555555555554</v>
      </c>
      <c r="F124" s="43"/>
      <c r="G124" s="48" t="s">
        <v>7</v>
      </c>
      <c r="H124" s="48">
        <f>L125+O128+B141</f>
        <v>8.7360312901133117</v>
      </c>
      <c r="I124" s="48">
        <f>L126+O128+C141</f>
        <v>9.180062301477026</v>
      </c>
      <c r="J124" s="53"/>
      <c r="K124" s="61" t="s">
        <v>13</v>
      </c>
      <c r="L124" s="62">
        <f>IF(L127&gt;0,L123*O126,L123*O127)</f>
        <v>4.9959193167958427</v>
      </c>
      <c r="M124" s="43"/>
      <c r="N124" s="48" t="s">
        <v>14</v>
      </c>
      <c r="O124" s="48">
        <f>H132*POWER((1+(H131)),C124-O129)</f>
        <v>0.51700480557802475</v>
      </c>
      <c r="P124" s="43"/>
      <c r="Q124" s="48">
        <v>10</v>
      </c>
      <c r="R124" s="55">
        <f>R123+0.01</f>
        <v>0.64</v>
      </c>
      <c r="S124" s="56">
        <v>1.43E-2</v>
      </c>
    </row>
    <row r="125" spans="1:20" ht="20.100000000000001" customHeight="1">
      <c r="B125" s="54">
        <f>B124-10</f>
        <v>90</v>
      </c>
      <c r="C125" s="60">
        <v>194.3</v>
      </c>
      <c r="D125" s="60">
        <v>170</v>
      </c>
      <c r="E125" s="54">
        <f t="shared" ref="E125:E134" si="7">D125/45*0.2165</f>
        <v>0.81788888888888889</v>
      </c>
      <c r="F125" s="43"/>
      <c r="G125" s="48" t="s">
        <v>5</v>
      </c>
      <c r="H125" s="48">
        <f>IF(O129&gt;(C131-0.0001),H133,H134)</f>
        <v>103.88559729481491</v>
      </c>
      <c r="I125" s="48">
        <f>IF(O129&gt;(C131-0.0001),I133,I134)</f>
        <v>107.54266210780222</v>
      </c>
      <c r="J125" s="53"/>
      <c r="K125" s="61" t="s">
        <v>15</v>
      </c>
      <c r="L125" s="62">
        <f>L124*L133</f>
        <v>4.8563407337404643</v>
      </c>
      <c r="M125" s="43"/>
      <c r="N125" s="48" t="s">
        <v>16</v>
      </c>
      <c r="O125" s="48">
        <f>I132*POWER((1+(I131)),C124-O129)</f>
        <v>0.66250000000000187</v>
      </c>
      <c r="P125" s="43"/>
      <c r="Q125" s="48">
        <v>15</v>
      </c>
      <c r="R125" s="55">
        <f>R124+0.01</f>
        <v>0.65</v>
      </c>
      <c r="S125" s="56">
        <v>1.4500000000000001E-2</v>
      </c>
    </row>
    <row r="126" spans="1:20" ht="20.100000000000001" customHeight="1">
      <c r="B126" s="54">
        <f t="shared" ref="B126:B133" si="8">B125-10</f>
        <v>80</v>
      </c>
      <c r="C126" s="60">
        <v>167.7</v>
      </c>
      <c r="D126" s="60">
        <v>123</v>
      </c>
      <c r="E126" s="54">
        <f t="shared" si="7"/>
        <v>0.59176666666666666</v>
      </c>
      <c r="F126" s="43"/>
      <c r="G126" s="48" t="s">
        <v>17</v>
      </c>
      <c r="H126" s="48" t="e">
        <f>IF(N139=0,INDEX('R286'!K39:K363,(ROUNDDOWN(((H125-10)/(20/72)+1),0)),1),INDEX('R286'!K39:K363,(ROUNDUP(((H125-10)/(20/72))+1,0)),1))</f>
        <v>#REF!</v>
      </c>
      <c r="I126" s="48" t="e">
        <f>IF(O139=0,INDEX('R286'!K39:K363,(ROUNDDOWN(((I125-10)/(20/72)+1),0)),1),INDEX('R286'!K39:K363,(ROUNDUP(((I125-10)/(20/72))+1,0)),1))</f>
        <v>#REF!</v>
      </c>
      <c r="J126" s="53"/>
      <c r="K126" s="61" t="s">
        <v>18</v>
      </c>
      <c r="L126" s="62">
        <f>L124/L134</f>
        <v>5.1637957404562433</v>
      </c>
      <c r="M126" s="43"/>
      <c r="N126" s="48" t="s">
        <v>19</v>
      </c>
      <c r="O126" s="48">
        <f>IF((O129&gt;0),((100+(L127/-H130))/100))</f>
        <v>0.99743612050943464</v>
      </c>
      <c r="P126" s="42"/>
      <c r="Q126" s="48">
        <v>20</v>
      </c>
      <c r="R126" s="55">
        <f>R125+0.01</f>
        <v>0.66</v>
      </c>
      <c r="S126" s="56">
        <v>1.4800000000000001E-2</v>
      </c>
    </row>
    <row r="127" spans="1:20" ht="20.100000000000001" customHeight="1">
      <c r="B127" s="54">
        <f t="shared" si="8"/>
        <v>70</v>
      </c>
      <c r="C127" s="60">
        <v>143.30000000000001</v>
      </c>
      <c r="D127" s="60">
        <v>90</v>
      </c>
      <c r="E127" s="54">
        <f t="shared" si="7"/>
        <v>0.433</v>
      </c>
      <c r="F127" s="43"/>
      <c r="G127" s="48" t="s">
        <v>39</v>
      </c>
      <c r="H127" s="48">
        <f>N140</f>
        <v>11</v>
      </c>
      <c r="I127" s="48">
        <f>O140</f>
        <v>11</v>
      </c>
      <c r="J127" s="53"/>
      <c r="K127" s="63" t="s">
        <v>21</v>
      </c>
      <c r="L127" s="64">
        <f>IF(Index!$C$4&gt;0,Index!$C$4*O124,Index!$C$4*O125)</f>
        <v>2.068019222312099</v>
      </c>
      <c r="M127" s="43"/>
      <c r="N127" s="48" t="s">
        <v>22</v>
      </c>
      <c r="O127" s="48">
        <f>IF((O129&gt;0),((100+(L127/-I130))/100))</f>
        <v>0.99492271993024428</v>
      </c>
      <c r="P127" s="42"/>
      <c r="Q127" s="48">
        <f>Index!$C$4</f>
        <v>4</v>
      </c>
      <c r="R127" s="48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0.62777944862155388</v>
      </c>
      <c r="S127" s="48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1.4032144360902256E-2</v>
      </c>
    </row>
    <row r="128" spans="1:20" ht="20.100000000000001" customHeight="1">
      <c r="B128" s="54">
        <f t="shared" si="8"/>
        <v>60</v>
      </c>
      <c r="C128" s="60">
        <v>121.1</v>
      </c>
      <c r="D128" s="60">
        <v>67</v>
      </c>
      <c r="E128" s="54">
        <f t="shared" si="7"/>
        <v>0.32234444444444443</v>
      </c>
      <c r="F128" s="43"/>
      <c r="G128" s="54" t="s">
        <v>20</v>
      </c>
      <c r="H128" s="54">
        <f>H123/4</f>
        <v>10.087795947013062</v>
      </c>
      <c r="I128" s="54">
        <f>I123/4</f>
        <v>10.600533835423818</v>
      </c>
      <c r="J128" s="53"/>
      <c r="K128" s="65"/>
      <c r="L128" s="65"/>
      <c r="M128" s="43"/>
      <c r="N128" s="48" t="s">
        <v>23</v>
      </c>
      <c r="O128" s="48">
        <f>O123/4.5*Link!$L$11</f>
        <v>0</v>
      </c>
      <c r="P128" s="42"/>
      <c r="Q128" s="43"/>
      <c r="R128" s="43"/>
      <c r="S128" s="43"/>
    </row>
    <row r="129" spans="2:19" ht="20.100000000000001" customHeight="1">
      <c r="B129" s="54">
        <f t="shared" si="8"/>
        <v>50</v>
      </c>
      <c r="C129" s="60">
        <v>100.8</v>
      </c>
      <c r="D129" s="60">
        <v>50</v>
      </c>
      <c r="E129" s="54">
        <f t="shared" si="7"/>
        <v>0.24055555555555555</v>
      </c>
      <c r="F129" s="43"/>
      <c r="G129" s="43"/>
      <c r="H129" s="43"/>
      <c r="I129" s="43"/>
      <c r="J129" s="53"/>
      <c r="K129" s="48" t="s">
        <v>25</v>
      </c>
      <c r="L129" s="53"/>
      <c r="M129" s="43"/>
      <c r="N129" s="48" t="s">
        <v>26</v>
      </c>
      <c r="O129" s="48">
        <f>$J$14</f>
        <v>235.09625</v>
      </c>
      <c r="P129" s="42"/>
      <c r="Q129" s="54">
        <v>-1</v>
      </c>
      <c r="R129" s="69">
        <v>0.64</v>
      </c>
      <c r="S129" s="56">
        <v>1.2699999999999999E-2</v>
      </c>
    </row>
    <row r="130" spans="2:19" ht="20.100000000000001" customHeight="1">
      <c r="B130" s="54">
        <f t="shared" si="8"/>
        <v>40</v>
      </c>
      <c r="C130" s="60">
        <v>81.8</v>
      </c>
      <c r="D130" s="60">
        <v>37</v>
      </c>
      <c r="E130" s="54">
        <f t="shared" si="7"/>
        <v>0.17801111111111109</v>
      </c>
      <c r="F130" s="43"/>
      <c r="G130" s="48" t="s">
        <v>24</v>
      </c>
      <c r="H130" s="48">
        <f>IF('286'!O129&gt;('286'!C131-0.0001),'inf 286'!K11,'inf 286'!K19)</f>
        <v>8.0659766963388293</v>
      </c>
      <c r="I130" s="48">
        <f>IF('286'!O129&gt;('286'!C131-0.0001),'inf 286'!L11,'inf 286'!L19)</f>
        <v>4.0730847892966651</v>
      </c>
      <c r="J130" s="43"/>
      <c r="K130" s="57" t="s">
        <v>28</v>
      </c>
      <c r="L130" s="58">
        <f>O123*Index!$D$4*$O$2</f>
        <v>4.2028496561501747</v>
      </c>
      <c r="M130" s="53"/>
      <c r="N130" s="43"/>
      <c r="O130" s="43"/>
      <c r="P130" s="42"/>
      <c r="Q130" s="54">
        <v>-5</v>
      </c>
      <c r="R130" s="69">
        <f>R129-0.01</f>
        <v>0.63</v>
      </c>
      <c r="S130" s="56">
        <v>1.26E-2</v>
      </c>
    </row>
    <row r="131" spans="2:19" ht="20.100000000000001" customHeight="1">
      <c r="B131" s="54">
        <f t="shared" si="8"/>
        <v>30</v>
      </c>
      <c r="C131" s="60">
        <v>63.4</v>
      </c>
      <c r="D131" s="60">
        <v>27</v>
      </c>
      <c r="E131" s="54">
        <f t="shared" si="7"/>
        <v>0.12989999999999999</v>
      </c>
      <c r="F131" s="43"/>
      <c r="G131" s="48" t="s">
        <v>27</v>
      </c>
      <c r="H131" s="48">
        <f>IF(AND(Index!C4&gt;-0.9,Index!C4&lt;6),H140*S127,IF(AND(Index!C4&gt;5.999,Index!C4&lt;8.4),I140*S127,IF(AND(Index!C4&gt;8.399,Index!C4&lt;11),S127*J140,IF(AND(Index!C4&gt;10.999,Index!C4&lt;14.5),(K140*S127),IF(AND(Index!C4&gt;14.499,Index!C4&lt;16.9),L140*S127,IF(AND(Index!C4&gt;16.899,Index!C4&lt;30),(L140*1.008)*S127))))))</f>
        <v>1.5531646136316576E-2</v>
      </c>
      <c r="I131" s="48" t="b">
        <f>IF(AND(Index!C4&lt;0.01,Index!C4&gt;-8.3),(O143*H141),IF(AND(Q135&lt;-8.299,Q135&gt;-13.5),(I141*O143),IF(AND(Q135&lt;-13.49,Q135&gt;-17.5),(J141*O143),IF(AND(Index!C4&lt;-17.49,Index!C4&gt;-30),(O143*K141),IF(AND(Index!C4&lt;-29.99,Index!C4&gt;-59),((O143*L141)))))))</f>
        <v>0</v>
      </c>
      <c r="J131" s="42"/>
      <c r="K131" s="61" t="s">
        <v>30</v>
      </c>
      <c r="L131" s="62">
        <f>$O$5*Index!$D$4*O123*1*(1-(L127*0.016))</f>
        <v>4.0637844741116727</v>
      </c>
      <c r="M131" s="42"/>
      <c r="N131" s="48" t="s">
        <v>12</v>
      </c>
      <c r="O131" s="48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1.3813977089287457</v>
      </c>
      <c r="P131" s="43"/>
      <c r="Q131" s="54">
        <v>-10</v>
      </c>
      <c r="R131" s="69">
        <f>R130-0.01</f>
        <v>0.62</v>
      </c>
      <c r="S131" s="56">
        <v>1.2500000000000001E-2</v>
      </c>
    </row>
    <row r="132" spans="2:19" ht="20.100000000000001" customHeight="1">
      <c r="B132" s="54">
        <f t="shared" si="8"/>
        <v>20</v>
      </c>
      <c r="C132" s="60">
        <v>44.8</v>
      </c>
      <c r="D132" s="60">
        <v>18</v>
      </c>
      <c r="E132" s="54">
        <f t="shared" si="7"/>
        <v>8.660000000000001E-2</v>
      </c>
      <c r="F132" s="43"/>
      <c r="G132" s="48" t="s">
        <v>29</v>
      </c>
      <c r="H132" s="48">
        <f>R127</f>
        <v>0.62777944862155388</v>
      </c>
      <c r="I132" s="48">
        <f>IF(Index!C4&gt;(-25+0.0001),'286'!R135,'286'!R143)</f>
        <v>0.66250000000000187</v>
      </c>
      <c r="J132" s="43"/>
      <c r="K132" s="61" t="s">
        <v>32</v>
      </c>
      <c r="L132" s="62">
        <f>O5*Index!D4*O123*1.25*(1-(L127*0.016))</f>
        <v>5.0797305926395904</v>
      </c>
      <c r="M132" s="43"/>
      <c r="N132" s="54" t="s">
        <v>40</v>
      </c>
      <c r="O132" s="48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1.5043077093958646</v>
      </c>
      <c r="P132" s="43"/>
      <c r="Q132" s="54">
        <v>-15</v>
      </c>
      <c r="R132" s="69">
        <f>R131-0.01</f>
        <v>0.61</v>
      </c>
      <c r="S132" s="56">
        <v>1.24E-2</v>
      </c>
    </row>
    <row r="133" spans="2:19" ht="20.100000000000001" customHeight="1">
      <c r="B133" s="54">
        <f t="shared" si="8"/>
        <v>10</v>
      </c>
      <c r="C133" s="60">
        <v>24.5</v>
      </c>
      <c r="D133" s="60">
        <v>10</v>
      </c>
      <c r="E133" s="54">
        <f t="shared" si="7"/>
        <v>4.8111111111111111E-2</v>
      </c>
      <c r="F133" s="43"/>
      <c r="G133" s="54">
        <v>140</v>
      </c>
      <c r="H133" s="54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103.88559729481491</v>
      </c>
      <c r="I133" s="54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107.54266210780222</v>
      </c>
      <c r="J133" s="43"/>
      <c r="K133" s="61" t="s">
        <v>33</v>
      </c>
      <c r="L133" s="62">
        <f>(100+(L131*2.75/-4))/100</f>
        <v>0.97206148174048224</v>
      </c>
      <c r="M133" s="53"/>
      <c r="N133" s="48" t="s">
        <v>41</v>
      </c>
      <c r="O133" s="48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1.3076946701569834</v>
      </c>
      <c r="P133" s="43"/>
      <c r="Q133" s="54">
        <v>-20</v>
      </c>
      <c r="R133" s="69">
        <f>R132-0.01</f>
        <v>0.6</v>
      </c>
      <c r="S133" s="56">
        <v>1.23E-2</v>
      </c>
    </row>
    <row r="134" spans="2:19" ht="20.100000000000001" customHeight="1">
      <c r="B134" s="54">
        <f>B133-10</f>
        <v>0</v>
      </c>
      <c r="C134" s="60">
        <v>0</v>
      </c>
      <c r="D134" s="60">
        <v>0</v>
      </c>
      <c r="E134" s="54">
        <f t="shared" si="7"/>
        <v>0</v>
      </c>
      <c r="F134" s="43"/>
      <c r="G134" s="54">
        <v>400</v>
      </c>
      <c r="H134" s="54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-31.616509438705179</v>
      </c>
      <c r="I134" s="54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-57.082252049123781</v>
      </c>
      <c r="J134" s="43"/>
      <c r="K134" s="61" t="s">
        <v>35</v>
      </c>
      <c r="L134" s="62">
        <f>(100+(L132*4/-6.25))/100</f>
        <v>0.96748972420710655</v>
      </c>
      <c r="M134" s="43"/>
      <c r="N134" s="54" t="s">
        <v>42</v>
      </c>
      <c r="O134" s="48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-2.8308606652836161</v>
      </c>
      <c r="P134" s="43"/>
      <c r="Q134" s="54">
        <v>-25</v>
      </c>
      <c r="R134" s="69">
        <f>R133-0.01</f>
        <v>0.59</v>
      </c>
      <c r="S134" s="56">
        <v>1.2200000000000001E-2</v>
      </c>
    </row>
    <row r="135" spans="2:19" ht="20.100000000000001" customHeight="1">
      <c r="B135" s="43"/>
      <c r="C135" s="43"/>
      <c r="D135" s="43"/>
      <c r="E135" s="43"/>
      <c r="F135" s="43"/>
      <c r="G135" s="43"/>
      <c r="H135" s="43"/>
      <c r="I135" s="43"/>
      <c r="J135" s="43"/>
      <c r="K135" s="61" t="s">
        <v>36</v>
      </c>
      <c r="L135" s="50">
        <f>O129+L127-L131</f>
        <v>233.10048474820042</v>
      </c>
      <c r="M135" s="43"/>
      <c r="N135" s="43"/>
      <c r="O135" s="43"/>
      <c r="P135" s="43"/>
      <c r="Q135" s="54">
        <f>Index!$C$4</f>
        <v>4</v>
      </c>
      <c r="R135" s="54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0.66250000000000187</v>
      </c>
      <c r="S135" s="54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1.2925000000000015E-2</v>
      </c>
    </row>
    <row r="136" spans="2:19" ht="20.100000000000001" customHeight="1">
      <c r="B136" s="54">
        <v>97.5</v>
      </c>
      <c r="C136" s="60">
        <v>215.4</v>
      </c>
      <c r="D136" s="60">
        <v>219</v>
      </c>
      <c r="E136" s="54">
        <f>D136/45*0.2165</f>
        <v>1.0536333333333332</v>
      </c>
      <c r="F136" s="43"/>
      <c r="G136" s="48">
        <v>107.5</v>
      </c>
      <c r="H136" s="54">
        <v>243.8</v>
      </c>
      <c r="I136" s="54">
        <v>1.4168000000000001</v>
      </c>
      <c r="J136" s="43"/>
      <c r="K136" s="63" t="s">
        <v>37</v>
      </c>
      <c r="L136" s="52">
        <f>O129+L127+L132</f>
        <v>242.24399981495168</v>
      </c>
      <c r="M136" s="43"/>
      <c r="N136" s="57" t="s">
        <v>43</v>
      </c>
      <c r="O136" s="58"/>
      <c r="P136" s="43"/>
      <c r="Q136" s="43"/>
      <c r="R136" s="43"/>
      <c r="S136" s="43"/>
    </row>
    <row r="137" spans="2:19" ht="20.100000000000001" customHeight="1">
      <c r="B137" s="54">
        <v>95</v>
      </c>
      <c r="C137" s="60">
        <v>208.3</v>
      </c>
      <c r="D137" s="60">
        <v>202</v>
      </c>
      <c r="E137" s="54">
        <f>D137/45*0.2165</f>
        <v>0.9718444444444444</v>
      </c>
      <c r="F137" s="43"/>
      <c r="G137" s="54">
        <v>105</v>
      </c>
      <c r="H137" s="54">
        <v>236.7</v>
      </c>
      <c r="I137" s="54">
        <v>1.3278000000000001</v>
      </c>
      <c r="J137" s="43"/>
      <c r="K137" s="43"/>
      <c r="L137" s="43"/>
      <c r="M137" s="43"/>
      <c r="N137" s="61">
        <f>MOD(H125,20/72)</f>
        <v>0.27448618370379874</v>
      </c>
      <c r="O137" s="62">
        <f>MOD(I125,20/72)</f>
        <v>4.2662107802210358E-2</v>
      </c>
      <c r="P137" s="43"/>
      <c r="Q137" s="54">
        <v>-30</v>
      </c>
      <c r="R137" s="69">
        <f>R134-0.01</f>
        <v>0.57999999999999996</v>
      </c>
      <c r="S137" s="56">
        <v>1.1350000000000001E-2</v>
      </c>
    </row>
    <row r="138" spans="2:19" ht="20.100000000000001" customHeight="1">
      <c r="B138" s="54">
        <v>92.5</v>
      </c>
      <c r="C138" s="60">
        <v>201.3</v>
      </c>
      <c r="D138" s="60">
        <v>185</v>
      </c>
      <c r="E138" s="54">
        <f>D138/45*0.2165</f>
        <v>0.89005555555555549</v>
      </c>
      <c r="F138" s="43"/>
      <c r="G138" s="54">
        <v>102.5</v>
      </c>
      <c r="H138" s="54">
        <v>229.6</v>
      </c>
      <c r="I138" s="54">
        <v>1.2387999999999999</v>
      </c>
      <c r="J138" s="53"/>
      <c r="K138" s="54" t="s">
        <v>31</v>
      </c>
      <c r="L138" s="48">
        <f>O129+L127</f>
        <v>237.1642692223121</v>
      </c>
      <c r="M138" s="53"/>
      <c r="N138" s="61">
        <f>N137/(20/72)</f>
        <v>0.98815026133367545</v>
      </c>
      <c r="O138" s="62">
        <f>O137/(20/72)</f>
        <v>0.15358358808795727</v>
      </c>
      <c r="P138" s="53"/>
      <c r="Q138" s="54">
        <v>-35</v>
      </c>
      <c r="R138" s="69">
        <f>R137-0.01</f>
        <v>0.56999999999999995</v>
      </c>
      <c r="S138" s="56">
        <v>1.125E-2</v>
      </c>
    </row>
    <row r="139" spans="2:19" ht="20.100000000000001" customHeight="1">
      <c r="B139" s="43"/>
      <c r="C139" s="43"/>
      <c r="D139" s="43"/>
      <c r="E139" s="43"/>
      <c r="F139" s="43"/>
      <c r="G139" s="43"/>
      <c r="H139" s="43"/>
      <c r="I139" s="43"/>
      <c r="J139" s="53"/>
      <c r="K139" s="43"/>
      <c r="L139" s="43"/>
      <c r="M139" s="53"/>
      <c r="N139" s="61">
        <f>IF(N138&lt;0.288,ROUNDDOWN(N138,0),ROUNDUP(N138,0))</f>
        <v>1</v>
      </c>
      <c r="O139" s="62">
        <f>IF(O138&lt;0.288,ROUNDDOWN(O138,0),ROUNDUP(O138,0))</f>
        <v>0</v>
      </c>
      <c r="P139" s="53"/>
      <c r="Q139" s="54">
        <v>-40</v>
      </c>
      <c r="R139" s="69">
        <f>R138-0.01</f>
        <v>0.55999999999999994</v>
      </c>
      <c r="S139" s="56">
        <v>1.115E-2</v>
      </c>
    </row>
    <row r="140" spans="2:19" ht="20.100000000000001" customHeight="1">
      <c r="B140" s="632" t="s">
        <v>121</v>
      </c>
      <c r="C140" s="632"/>
      <c r="D140" s="43"/>
      <c r="E140" s="43"/>
      <c r="F140" s="43"/>
      <c r="G140" s="54" t="s">
        <v>44</v>
      </c>
      <c r="H140" s="54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1.1068619119678087</v>
      </c>
      <c r="I140" s="48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1.1707375277735452</v>
      </c>
      <c r="J140" s="48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1.1807341328440377</v>
      </c>
      <c r="K140" s="48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1.0532114184750474</v>
      </c>
      <c r="L140" s="48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1.0656883621792848</v>
      </c>
      <c r="M140" s="43"/>
      <c r="N140" s="61">
        <f>IF(N137&lt;0.08,11,N141)</f>
        <v>11</v>
      </c>
      <c r="O140" s="62">
        <f>IF(O137&lt;0.08,11,O141)</f>
        <v>11</v>
      </c>
      <c r="P140" s="42"/>
      <c r="Q140" s="54">
        <v>-45</v>
      </c>
      <c r="R140" s="69">
        <f>R139-0.01</f>
        <v>0.54999999999999993</v>
      </c>
      <c r="S140" s="56">
        <v>1.1050000000000001E-2</v>
      </c>
    </row>
    <row r="141" spans="2:19" ht="20.100000000000001" customHeight="1">
      <c r="B141" s="60">
        <f>H125/100*(O122*0.2165)*Link!$C$7*0.79</f>
        <v>3.879690556372847</v>
      </c>
      <c r="C141" s="48">
        <f>I125/100*(O122*0.2165)*Link!$C$7*0.79</f>
        <v>4.0162665610207826</v>
      </c>
      <c r="D141" s="43"/>
      <c r="E141" s="43"/>
      <c r="F141" s="43"/>
      <c r="G141" s="54" t="s">
        <v>45</v>
      </c>
      <c r="H141" s="48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1.1373555315041941</v>
      </c>
      <c r="I141" s="54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0.96598265654444992</v>
      </c>
      <c r="J141" s="48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0.98640865962659108</v>
      </c>
      <c r="K141" s="48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1.2097214354332944</v>
      </c>
      <c r="L141" s="54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1.1920836544137949</v>
      </c>
      <c r="M141" s="43"/>
      <c r="N141" s="63">
        <f>IF(N137&gt;(20/72)-0.08,11,10)</f>
        <v>11</v>
      </c>
      <c r="O141" s="64">
        <f>IF(O137&gt;(20/72)-0.08,11,10)</f>
        <v>10</v>
      </c>
      <c r="P141" s="42"/>
      <c r="Q141" s="54">
        <v>-50</v>
      </c>
      <c r="R141" s="69">
        <f>R140-0.01</f>
        <v>0.53999999999999992</v>
      </c>
      <c r="S141" s="56">
        <f>S140-0.0001</f>
        <v>1.0950000000000001E-2</v>
      </c>
    </row>
    <row r="142" spans="2:19" ht="20.100000000000001" customHeight="1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2"/>
      <c r="Q142" s="54">
        <v>-55</v>
      </c>
      <c r="R142" s="69">
        <f>R141-0.01</f>
        <v>0.52999999999999992</v>
      </c>
      <c r="S142" s="56">
        <f>S141-0.0001</f>
        <v>1.0850000000000002E-2</v>
      </c>
    </row>
    <row r="143" spans="2:19" ht="20.100000000000001" customHeight="1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8" t="s">
        <v>46</v>
      </c>
      <c r="O143" s="48">
        <f>IF(Index!C4&gt;(-25+0.0001),'286'!S135,'286'!S143)</f>
        <v>1.2925000000000015E-2</v>
      </c>
      <c r="P143" s="42"/>
      <c r="Q143" s="54">
        <f>Index!$C$4</f>
        <v>4</v>
      </c>
      <c r="R143" s="54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0.6479999999998256</v>
      </c>
      <c r="S143" s="54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1.2029999999992214E-2</v>
      </c>
    </row>
    <row r="147" spans="2:19" ht="20.100000000000001" customHeight="1">
      <c r="B147" s="626" t="s">
        <v>48</v>
      </c>
      <c r="C147" s="628"/>
      <c r="D147" s="628"/>
      <c r="E147" s="627"/>
      <c r="F147" s="43"/>
      <c r="G147" s="629" t="s">
        <v>48</v>
      </c>
      <c r="H147" s="630"/>
      <c r="I147" s="631"/>
      <c r="J147" s="43"/>
      <c r="K147" s="48" t="s">
        <v>7</v>
      </c>
      <c r="L147" s="53"/>
      <c r="M147" s="43"/>
      <c r="N147" s="54" t="s">
        <v>8</v>
      </c>
      <c r="O147" s="54">
        <f>O148/0.2165</f>
        <v>5.6634941669612155</v>
      </c>
      <c r="P147" s="43"/>
      <c r="Q147" s="48">
        <v>1</v>
      </c>
      <c r="R147" s="48">
        <v>2.0150000000000001</v>
      </c>
      <c r="S147" s="56">
        <v>1.2699999999999999E-2</v>
      </c>
    </row>
    <row r="148" spans="2:19" ht="20.100000000000001" customHeight="1">
      <c r="B148" s="70" t="s">
        <v>5</v>
      </c>
      <c r="C148" s="48" t="s">
        <v>9</v>
      </c>
      <c r="D148" s="54" t="s">
        <v>10</v>
      </c>
      <c r="E148" s="48" t="s">
        <v>7</v>
      </c>
      <c r="F148" s="42"/>
      <c r="G148" s="54" t="s">
        <v>10</v>
      </c>
      <c r="H148" s="48">
        <f>H149/0.2165</f>
        <v>30.669931159584426</v>
      </c>
      <c r="I148" s="48">
        <f>I149/0.2165</f>
        <v>31.075878551657301</v>
      </c>
      <c r="J148" s="43"/>
      <c r="K148" s="57" t="s">
        <v>11</v>
      </c>
      <c r="L148" s="58">
        <f>O148*$O$3*Index!$D$4</f>
        <v>4.696413514644469</v>
      </c>
      <c r="M148" s="43"/>
      <c r="N148" s="48" t="s">
        <v>12</v>
      </c>
      <c r="O148" s="48">
        <f>E149*(Index!$B$4-C150)*(Index!$B$4-C151)/((C149-C150)*(C149-C151))+E150*(Index!$B$4-C149)*(Index!$B$4-C151)/((C150-C149)*(C150-C151))+E151*(Index!$B$4-C149)*(Index!$B$4-C150)/((C151-C149)*(C151-C150))</f>
        <v>1.2261464871471031</v>
      </c>
      <c r="P148" s="53"/>
      <c r="Q148" s="48">
        <v>5</v>
      </c>
      <c r="R148" s="48">
        <f>R147</f>
        <v>2.0150000000000001</v>
      </c>
      <c r="S148" s="56">
        <v>1.3100000000000001E-2</v>
      </c>
    </row>
    <row r="149" spans="2:19" ht="20.100000000000001" customHeight="1">
      <c r="B149" s="59">
        <v>100</v>
      </c>
      <c r="C149" s="60">
        <v>307</v>
      </c>
      <c r="D149" s="60">
        <v>308</v>
      </c>
      <c r="E149" s="48">
        <f>D149/45*0.2165</f>
        <v>1.4818222222222222</v>
      </c>
      <c r="F149" s="42"/>
      <c r="G149" s="48" t="s">
        <v>7</v>
      </c>
      <c r="H149" s="48">
        <f>L150+O153+N158</f>
        <v>6.6400400960500283</v>
      </c>
      <c r="I149" s="48">
        <f>L151+O153+O158</f>
        <v>6.7279277064338059</v>
      </c>
      <c r="J149" s="43"/>
      <c r="K149" s="61" t="s">
        <v>13</v>
      </c>
      <c r="L149" s="62">
        <f>IF(L152&gt;0,L148*O151,L148*O152)</f>
        <v>4.5713768123888299</v>
      </c>
      <c r="M149" s="43"/>
      <c r="N149" s="48" t="s">
        <v>14</v>
      </c>
      <c r="O149" s="48">
        <f>R152*POWER(1.001,(C149-Index!B4))</f>
        <v>2.163189426695908</v>
      </c>
      <c r="P149" s="53"/>
      <c r="Q149" s="48">
        <v>10</v>
      </c>
      <c r="R149" s="48">
        <f>R148</f>
        <v>2.0150000000000001</v>
      </c>
      <c r="S149" s="56">
        <v>1.3299999999999999E-2</v>
      </c>
    </row>
    <row r="150" spans="2:19" ht="20.100000000000001" customHeight="1">
      <c r="B150" s="59">
        <v>90</v>
      </c>
      <c r="C150" s="60">
        <v>283.8</v>
      </c>
      <c r="D150" s="60">
        <v>290</v>
      </c>
      <c r="E150" s="48">
        <f>D150/45*0.2165</f>
        <v>1.3952222222222221</v>
      </c>
      <c r="F150" s="42"/>
      <c r="G150" s="48" t="s">
        <v>5</v>
      </c>
      <c r="H150" s="48">
        <f>IF(L160&lt;=C150,80+(L160-C151)/((C150-C151)/10),90+(L160-C150)/((C149-C150)/10))</f>
        <v>73.036220023145475</v>
      </c>
      <c r="I150" s="48">
        <f>IF(L161&lt;=C150,80+(L161-C151)/((C150-C151)/10),90+(L161-C150)/((C149-C150)/10))</f>
        <v>76.139179745975525</v>
      </c>
      <c r="J150" s="43"/>
      <c r="K150" s="61" t="s">
        <v>15</v>
      </c>
      <c r="L150" s="62">
        <f>L149*L158</f>
        <v>4.5713768123888299</v>
      </c>
      <c r="M150" s="43"/>
      <c r="N150" s="48" t="s">
        <v>16</v>
      </c>
      <c r="O150" s="48">
        <f>R161*POWER(1.001,(C149-Index!B4))</f>
        <v>1.3800771475260787</v>
      </c>
      <c r="P150" s="53"/>
      <c r="Q150" s="48">
        <v>15</v>
      </c>
      <c r="R150" s="48">
        <f>R149</f>
        <v>2.0150000000000001</v>
      </c>
      <c r="S150" s="56">
        <v>1.35E-2</v>
      </c>
    </row>
    <row r="151" spans="2:19" ht="20.100000000000001" customHeight="1">
      <c r="B151" s="59">
        <v>80</v>
      </c>
      <c r="C151" s="60">
        <v>258.39999999999998</v>
      </c>
      <c r="D151" s="60">
        <v>271</v>
      </c>
      <c r="E151" s="48">
        <f>D151/45*0.2165</f>
        <v>1.303811111111111</v>
      </c>
      <c r="F151" s="42"/>
      <c r="G151" s="48" t="s">
        <v>17</v>
      </c>
      <c r="H151" s="48" t="e">
        <f>INDEX('R286'!F291:F363,(ROUNDUP(((H150-80)/(20/72))+1,0)),1)</f>
        <v>#VALUE!</v>
      </c>
      <c r="I151" s="48" t="e">
        <f>INDEX('R286'!F291:F363,(ROUNDUP(((I150-80)/(20/72))+1,0)),1)</f>
        <v>#VALUE!</v>
      </c>
      <c r="J151" s="43"/>
      <c r="K151" s="61" t="s">
        <v>18</v>
      </c>
      <c r="L151" s="62">
        <f>L149/L159</f>
        <v>4.5713768123888299</v>
      </c>
      <c r="M151" s="43"/>
      <c r="N151" s="48" t="s">
        <v>19</v>
      </c>
      <c r="O151" s="48">
        <f>IF((Index!B4&gt;0),((100+(L152/-3.25))/100))</f>
        <v>0.97337613013297342</v>
      </c>
      <c r="P151" s="53"/>
      <c r="Q151" s="48">
        <v>20</v>
      </c>
      <c r="R151" s="48">
        <f>R150</f>
        <v>2.0150000000000001</v>
      </c>
      <c r="S151" s="56">
        <v>1.38E-2</v>
      </c>
    </row>
    <row r="152" spans="2:19" ht="20.100000000000001" customHeight="1">
      <c r="B152" s="53"/>
      <c r="C152" s="43"/>
      <c r="D152" s="43"/>
      <c r="E152" s="43"/>
      <c r="F152" s="42"/>
      <c r="G152" s="54" t="s">
        <v>20</v>
      </c>
      <c r="H152" s="54">
        <f>H148/4</f>
        <v>7.6674827898961064</v>
      </c>
      <c r="I152" s="48">
        <f>I148/4</f>
        <v>7.7689696379143252</v>
      </c>
      <c r="J152" s="43"/>
      <c r="K152" s="63" t="s">
        <v>21</v>
      </c>
      <c r="L152" s="64">
        <f>IF(Index!C4&gt;0,Index!C4*O149,Index!C4*O150)</f>
        <v>8.6527577067836319</v>
      </c>
      <c r="M152" s="43"/>
      <c r="N152" s="48" t="s">
        <v>22</v>
      </c>
      <c r="O152" s="48">
        <f>IF((Index!B4&gt;0),((100+(L152/-3.25))/100))</f>
        <v>0.97337613013297342</v>
      </c>
      <c r="P152" s="53"/>
      <c r="Q152" s="48">
        <f>Index!$C$4</f>
        <v>4</v>
      </c>
      <c r="R152" s="48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2.0149999999999997</v>
      </c>
      <c r="S152" s="48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1.3032144360902253E-2</v>
      </c>
    </row>
    <row r="153" spans="2:19" ht="20.100000000000001" customHeight="1">
      <c r="B153" s="43"/>
      <c r="C153" s="43"/>
      <c r="D153" s="43"/>
      <c r="E153" s="42"/>
      <c r="F153" s="42"/>
      <c r="G153" s="43"/>
      <c r="H153" s="43"/>
      <c r="I153" s="53"/>
      <c r="J153" s="43"/>
      <c r="K153" s="43"/>
      <c r="L153" s="43"/>
      <c r="M153" s="43"/>
      <c r="N153" s="48" t="s">
        <v>23</v>
      </c>
      <c r="O153" s="48">
        <f>O148/6*Link!L11</f>
        <v>0</v>
      </c>
      <c r="P153" s="53"/>
      <c r="Q153" s="43"/>
      <c r="S153" s="43"/>
    </row>
    <row r="154" spans="2:19" ht="20.100000000000001" customHeight="1">
      <c r="B154" s="43"/>
      <c r="C154" s="43"/>
      <c r="D154" s="43"/>
      <c r="E154" s="42"/>
      <c r="F154" s="42"/>
      <c r="G154" s="48" t="s">
        <v>34</v>
      </c>
      <c r="H154" s="48" t="e">
        <f>INDEX('R286'!G291:G363,(ROUNDUP(((Index!K17-80)/(20/72))+1,0)),1)</f>
        <v>#VALUE!</v>
      </c>
      <c r="I154" s="48" t="e">
        <f>INDEX('R286'!G291:G363,(ROUNDUP(((Index!L17-80)/(20/72))+1,0)),1)</f>
        <v>#VALUE!</v>
      </c>
      <c r="J154" s="43"/>
      <c r="K154" s="48" t="s">
        <v>25</v>
      </c>
      <c r="L154" s="53"/>
      <c r="M154" s="43"/>
      <c r="N154" s="42"/>
      <c r="O154" s="42"/>
      <c r="P154" s="53"/>
      <c r="Q154" s="48">
        <v>-1</v>
      </c>
      <c r="R154" s="55">
        <v>1.25</v>
      </c>
      <c r="S154" s="56">
        <v>1.2699999999999999E-2</v>
      </c>
    </row>
    <row r="155" spans="2:19" ht="20.100000000000001" customHeight="1">
      <c r="B155" s="43"/>
      <c r="C155" s="43"/>
      <c r="D155" s="43"/>
      <c r="E155" s="42"/>
      <c r="F155" s="42"/>
      <c r="G155" s="43"/>
      <c r="H155" s="43"/>
      <c r="I155" s="53"/>
      <c r="J155" s="43"/>
      <c r="K155" s="57" t="s">
        <v>28</v>
      </c>
      <c r="L155" s="58">
        <f>(Index!D4*O2)*O148</f>
        <v>3.9407588479941671</v>
      </c>
      <c r="M155" s="43"/>
      <c r="N155" s="48">
        <f>100*(L160-C150)*(L160-C151)/((C149-C150)*(C149-C151))+90*(L160-C149)*(L160-C151)/((C150-C149)*(C150-C151))+80*(L160-C149)*(L160-C150)/((C151-C149)*(C151-C150))</f>
        <v>73.621683510354259</v>
      </c>
      <c r="O155" s="48">
        <f>100*(L161-C150)*(L161-C151)/((C149-C150)*(C149-C151))+90*(L161-C149)*(L161-C151)/((C150-C149)*(C150-C151))+80*(L161-C149)*(L161-C150)/((C151-C149)*(C151-C150))</f>
        <v>76.404396318265356</v>
      </c>
      <c r="P155" s="53"/>
      <c r="Q155" s="48">
        <v>-10</v>
      </c>
      <c r="R155" s="55">
        <f t="shared" ref="R155:R160" si="9">R154-0.05</f>
        <v>1.2</v>
      </c>
      <c r="S155" s="56">
        <v>1.2500000000000001E-2</v>
      </c>
    </row>
    <row r="156" spans="2:19" ht="20.100000000000001" customHeight="1">
      <c r="B156" s="43"/>
      <c r="C156" s="43"/>
      <c r="D156" s="43"/>
      <c r="E156" s="42"/>
      <c r="F156" s="42"/>
      <c r="G156" s="43"/>
      <c r="H156" s="43"/>
      <c r="I156" s="42"/>
      <c r="J156" s="43"/>
      <c r="K156" s="61" t="s">
        <v>30</v>
      </c>
      <c r="L156" s="62">
        <f>(L155*1)*1</f>
        <v>3.9407588479941671</v>
      </c>
      <c r="M156" s="43"/>
      <c r="N156" s="53"/>
      <c r="O156" s="43"/>
      <c r="P156" s="53"/>
      <c r="Q156" s="48">
        <v>-20</v>
      </c>
      <c r="R156" s="55">
        <f t="shared" si="9"/>
        <v>1.1499999999999999</v>
      </c>
      <c r="S156" s="56">
        <v>1.23E-2</v>
      </c>
    </row>
    <row r="157" spans="2:19" ht="20.100000000000001" customHeight="1">
      <c r="B157" s="43"/>
      <c r="C157" s="43"/>
      <c r="D157" s="43"/>
      <c r="E157" s="42"/>
      <c r="F157" s="43"/>
      <c r="G157" s="43"/>
      <c r="H157" s="43"/>
      <c r="I157" s="42"/>
      <c r="J157" s="43"/>
      <c r="K157" s="61" t="s">
        <v>32</v>
      </c>
      <c r="L157" s="62">
        <f>(L155*1)*1</f>
        <v>3.9407588479941671</v>
      </c>
      <c r="M157" s="43"/>
      <c r="N157" s="632" t="s">
        <v>121</v>
      </c>
      <c r="O157" s="632"/>
      <c r="P157" s="42"/>
      <c r="Q157" s="48">
        <v>-30</v>
      </c>
      <c r="R157" s="55">
        <f t="shared" si="9"/>
        <v>1.0999999999999999</v>
      </c>
      <c r="S157" s="56">
        <v>1.1350000000000001E-2</v>
      </c>
    </row>
    <row r="158" spans="2:19" ht="20.100000000000001" customHeight="1">
      <c r="B158" s="43"/>
      <c r="C158" s="43"/>
      <c r="D158" s="43"/>
      <c r="E158" s="53"/>
      <c r="F158" s="53"/>
      <c r="G158" s="43"/>
      <c r="H158" s="53"/>
      <c r="I158" s="42"/>
      <c r="J158" s="43"/>
      <c r="K158" s="61" t="s">
        <v>33</v>
      </c>
      <c r="L158" s="62">
        <v>1</v>
      </c>
      <c r="M158" s="42"/>
      <c r="N158" s="60">
        <f>H150/100*(O147*0.2165)*Link!$C$7*0.639</f>
        <v>2.0686632836611984</v>
      </c>
      <c r="O158" s="48">
        <f>I150/100*(O147*0.2165)*Link!$C$7*0.639</f>
        <v>2.156550894044976</v>
      </c>
      <c r="P158" s="42"/>
      <c r="Q158" s="48">
        <v>-40</v>
      </c>
      <c r="R158" s="55">
        <f t="shared" si="9"/>
        <v>1.0499999999999998</v>
      </c>
      <c r="S158" s="56">
        <v>1.115E-2</v>
      </c>
    </row>
    <row r="159" spans="2:19" ht="20.100000000000001" customHeight="1">
      <c r="B159" s="43"/>
      <c r="C159" s="43"/>
      <c r="D159" s="43"/>
      <c r="E159" s="53"/>
      <c r="F159" s="43"/>
      <c r="G159" s="43"/>
      <c r="H159" s="53"/>
      <c r="I159" s="42"/>
      <c r="J159" s="42"/>
      <c r="K159" s="61" t="s">
        <v>35</v>
      </c>
      <c r="L159" s="62">
        <v>1</v>
      </c>
      <c r="M159" s="53"/>
      <c r="N159" s="42"/>
      <c r="O159" s="42"/>
      <c r="P159" s="42"/>
      <c r="Q159" s="48">
        <v>-50</v>
      </c>
      <c r="R159" s="55">
        <f t="shared" si="9"/>
        <v>0.99999999999999978</v>
      </c>
      <c r="S159" s="56">
        <v>1.095E-2</v>
      </c>
    </row>
    <row r="160" spans="2:19" ht="20.100000000000001" customHeight="1">
      <c r="B160" s="43"/>
      <c r="C160" s="43"/>
      <c r="D160" s="43"/>
      <c r="E160" s="43"/>
      <c r="F160" s="43"/>
      <c r="G160" s="43"/>
      <c r="H160" s="43"/>
      <c r="I160" s="43"/>
      <c r="J160" s="42"/>
      <c r="K160" s="61" t="s">
        <v>36</v>
      </c>
      <c r="L160" s="62">
        <f>Index!$B$4+L152-L156</f>
        <v>240.71199885878946</v>
      </c>
      <c r="M160" s="42"/>
      <c r="N160" s="42"/>
      <c r="O160" s="42"/>
      <c r="P160" s="42"/>
      <c r="Q160" s="48">
        <v>-60</v>
      </c>
      <c r="R160" s="55">
        <f t="shared" si="9"/>
        <v>0.94999999999999973</v>
      </c>
      <c r="S160" s="56">
        <v>1.0749999999999999E-2</v>
      </c>
    </row>
    <row r="161" spans="2:19" ht="20.100000000000001" customHeight="1">
      <c r="B161" s="43"/>
      <c r="C161" s="43"/>
      <c r="D161" s="43"/>
      <c r="E161" s="43"/>
      <c r="F161" s="43"/>
      <c r="G161" s="43"/>
      <c r="H161" s="43"/>
      <c r="I161" s="43"/>
      <c r="J161" s="42"/>
      <c r="K161" s="63" t="s">
        <v>37</v>
      </c>
      <c r="L161" s="64">
        <f>Index!$B$4+L152+L157</f>
        <v>248.59351655477781</v>
      </c>
      <c r="M161" s="42"/>
      <c r="N161" s="42"/>
      <c r="O161" s="42"/>
      <c r="P161" s="42"/>
      <c r="Q161" s="48">
        <f>Index!$C$4</f>
        <v>4</v>
      </c>
      <c r="R161" s="68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1.2855348763943313</v>
      </c>
      <c r="S161" s="48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1.6066396227884815E-2</v>
      </c>
    </row>
    <row r="162" spans="2:19" ht="20.100000000000001" customHeight="1">
      <c r="B162" s="43"/>
      <c r="C162" s="43"/>
      <c r="D162" s="43"/>
      <c r="E162" s="43"/>
      <c r="F162" s="43"/>
      <c r="G162" s="43"/>
      <c r="H162" s="43"/>
      <c r="I162" s="43"/>
      <c r="J162" s="42"/>
      <c r="K162" s="42"/>
      <c r="L162" s="42"/>
      <c r="M162" s="42"/>
      <c r="N162" s="43"/>
      <c r="O162" s="43"/>
      <c r="P162" s="43"/>
    </row>
    <row r="163" spans="2:19" ht="20.100000000000001" customHeight="1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</row>
    <row r="165" spans="2:19" ht="20.100000000000001" customHeight="1">
      <c r="B165" s="626" t="s">
        <v>47</v>
      </c>
      <c r="C165" s="628"/>
      <c r="D165" s="628"/>
      <c r="E165" s="627"/>
      <c r="F165" s="43"/>
      <c r="G165" s="629" t="s">
        <v>47</v>
      </c>
      <c r="H165" s="630"/>
      <c r="I165" s="631"/>
      <c r="J165" s="43"/>
      <c r="K165" s="48" t="s">
        <v>7</v>
      </c>
      <c r="L165" s="53"/>
      <c r="M165" s="43"/>
      <c r="N165" s="48" t="s">
        <v>8</v>
      </c>
      <c r="O165" s="48">
        <f>O166/0.2165</f>
        <v>4.0280007721564015</v>
      </c>
      <c r="P165" s="42"/>
      <c r="Q165" s="48">
        <v>1</v>
      </c>
      <c r="R165" s="55">
        <v>0.62570000000000003</v>
      </c>
      <c r="S165" s="56">
        <v>1.2699999999999999E-2</v>
      </c>
    </row>
    <row r="166" spans="2:19" ht="20.100000000000001" customHeight="1">
      <c r="B166" s="54" t="s">
        <v>5</v>
      </c>
      <c r="C166" s="48" t="s">
        <v>9</v>
      </c>
      <c r="D166" s="54" t="s">
        <v>10</v>
      </c>
      <c r="E166" s="48" t="s">
        <v>7</v>
      </c>
      <c r="F166" s="43"/>
      <c r="G166" s="54" t="s">
        <v>10</v>
      </c>
      <c r="H166" s="54">
        <f>H167/0.2165</f>
        <v>28.493650628408101</v>
      </c>
      <c r="I166" s="48">
        <f>I167/0.2165</f>
        <v>29.341683006621508</v>
      </c>
      <c r="J166" s="43"/>
      <c r="K166" s="57" t="s">
        <v>11</v>
      </c>
      <c r="L166" s="58">
        <f>O166*$O$3*Index!$D$4</f>
        <v>3.3401918860814868</v>
      </c>
      <c r="M166" s="43"/>
      <c r="N166" s="48" t="s">
        <v>7</v>
      </c>
      <c r="O166" s="48">
        <f>IF(AND(O172&gt;(C172-0.0001),O172&lt;C168),(O174),IF(AND(O172&gt;(C168-0.0001),O172&lt;C167),(O175),IF(AND(O172&gt;(C167-0.0001),O172&lt;300),O174)))</f>
        <v>0.87206216717186091</v>
      </c>
      <c r="P166" s="42"/>
      <c r="Q166" s="48">
        <v>5</v>
      </c>
      <c r="R166" s="55">
        <f>R165+0.01</f>
        <v>0.63570000000000004</v>
      </c>
      <c r="S166" s="56">
        <v>1.3100000000000001E-2</v>
      </c>
    </row>
    <row r="167" spans="2:19" ht="20.100000000000001" customHeight="1">
      <c r="B167" s="59">
        <v>100</v>
      </c>
      <c r="C167" s="60">
        <v>269.10000000000002</v>
      </c>
      <c r="D167" s="60">
        <v>268</v>
      </c>
      <c r="E167" s="48">
        <f t="shared" ref="E167:E172" si="10">D167/45*0.2165</f>
        <v>1.2893777777777777</v>
      </c>
      <c r="F167" s="43"/>
      <c r="G167" s="48" t="s">
        <v>7</v>
      </c>
      <c r="H167" s="48">
        <f>L168+O171+B179</f>
        <v>6.1688753610503539</v>
      </c>
      <c r="I167" s="48">
        <f>L169+O171+C179</f>
        <v>6.3524743709335567</v>
      </c>
      <c r="J167" s="43"/>
      <c r="K167" s="61" t="s">
        <v>13</v>
      </c>
      <c r="L167" s="62">
        <f>IF(L170&gt;0,L166*O169,L166*O170)</f>
        <v>3.3030903248778731</v>
      </c>
      <c r="M167" s="43"/>
      <c r="N167" s="48" t="s">
        <v>14</v>
      </c>
      <c r="O167" s="48">
        <f>H175*POWER((1+(H174)),C167-O172)</f>
        <v>0.9737799061788357</v>
      </c>
      <c r="P167" s="42"/>
      <c r="Q167" s="48">
        <v>10</v>
      </c>
      <c r="R167" s="55">
        <f>R166+0.01</f>
        <v>0.64570000000000005</v>
      </c>
      <c r="S167" s="56">
        <v>1.3299999999999999E-2</v>
      </c>
    </row>
    <row r="168" spans="2:19" ht="20.100000000000001" customHeight="1">
      <c r="B168" s="59">
        <v>90</v>
      </c>
      <c r="C168" s="60">
        <v>232.9</v>
      </c>
      <c r="D168" s="60">
        <v>177</v>
      </c>
      <c r="E168" s="48">
        <f t="shared" si="10"/>
        <v>0.85156666666666658</v>
      </c>
      <c r="F168" s="42"/>
      <c r="G168" s="48" t="s">
        <v>5</v>
      </c>
      <c r="H168" s="48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90.959999341115278</v>
      </c>
      <c r="I168" s="48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92.590133871261429</v>
      </c>
      <c r="J168" s="43"/>
      <c r="K168" s="61" t="s">
        <v>15</v>
      </c>
      <c r="L168" s="62">
        <f>L167*L176</f>
        <v>3.2440067097671084</v>
      </c>
      <c r="M168" s="43"/>
      <c r="N168" s="48" t="s">
        <v>16</v>
      </c>
      <c r="O168" s="48">
        <f>I175*POWER((1+(I174)),C167-O172)</f>
        <v>0.63617672806752668</v>
      </c>
      <c r="P168" s="42"/>
      <c r="Q168" s="48">
        <v>15</v>
      </c>
      <c r="R168" s="55">
        <f>R167+0.01</f>
        <v>0.65570000000000006</v>
      </c>
      <c r="S168" s="56">
        <v>1.35E-2</v>
      </c>
    </row>
    <row r="169" spans="2:19" ht="20.100000000000001" customHeight="1">
      <c r="B169" s="59">
        <v>80</v>
      </c>
      <c r="C169" s="60">
        <v>197.6</v>
      </c>
      <c r="D169" s="60">
        <v>117</v>
      </c>
      <c r="E169" s="48">
        <f t="shared" si="10"/>
        <v>0.56290000000000007</v>
      </c>
      <c r="F169" s="42"/>
      <c r="G169" s="48" t="s">
        <v>17</v>
      </c>
      <c r="H169" s="48">
        <f>IF(N180=0,INDEX('R286'!E183:E363,(ROUNDDOWN(((H168-50)/(20/72)+1),0)),1),INDEX('R286'!E183:E363,(ROUNDUP(((H168-50)/(20/72))+1,0)),1))</f>
        <v>260.57777777777846</v>
      </c>
      <c r="I169" s="48">
        <f>IF(O180=0,INDEX('R286'!E183:E363,(ROUNDDOWN(((I168-50)/(20/72)+1),0)),1),INDEX('R286'!E183:E363,(ROUNDUP(((I168-50)/(20/72))+1,0)),1))</f>
        <v>265.344444444445</v>
      </c>
      <c r="J169" s="43"/>
      <c r="K169" s="61" t="s">
        <v>18</v>
      </c>
      <c r="L169" s="62">
        <f>L167/L177</f>
        <v>3.3751878500467907</v>
      </c>
      <c r="M169" s="43"/>
      <c r="N169" s="48" t="s">
        <v>19</v>
      </c>
      <c r="O169" s="48">
        <f>IF((O172&gt;0),((100+(L170/-H173))/100))</f>
        <v>0.98889238628528642</v>
      </c>
      <c r="P169" s="42"/>
      <c r="Q169" s="48">
        <v>20</v>
      </c>
      <c r="R169" s="55">
        <f>R168+0.01</f>
        <v>0.66570000000000007</v>
      </c>
      <c r="S169" s="56">
        <v>1.38E-2</v>
      </c>
    </row>
    <row r="170" spans="2:19" ht="20.100000000000001" customHeight="1">
      <c r="B170" s="59">
        <v>70</v>
      </c>
      <c r="C170" s="60">
        <v>165.4</v>
      </c>
      <c r="D170" s="60">
        <v>78</v>
      </c>
      <c r="E170" s="48">
        <f t="shared" si="10"/>
        <v>0.37526666666666669</v>
      </c>
      <c r="F170" s="42"/>
      <c r="G170" s="48" t="s">
        <v>39</v>
      </c>
      <c r="H170" s="48">
        <f>N181</f>
        <v>29</v>
      </c>
      <c r="I170" s="48">
        <f>O181</f>
        <v>29</v>
      </c>
      <c r="J170" s="43"/>
      <c r="K170" s="63" t="s">
        <v>21</v>
      </c>
      <c r="L170" s="64">
        <f>IF(Index!$C$4&gt;0,Index!$C$4*O167,Index!$C$4*O168)</f>
        <v>3.8951196247153428</v>
      </c>
      <c r="M170" s="43"/>
      <c r="N170" s="48" t="s">
        <v>22</v>
      </c>
      <c r="O170" s="48">
        <f>IF((O172&gt;0),((100+(L170/-I173))/100))</f>
        <v>0.98901276264262039</v>
      </c>
      <c r="P170" s="42"/>
      <c r="Q170" s="48">
        <f>Index!$C$4</f>
        <v>4</v>
      </c>
      <c r="R170" s="48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0.63347944862155414</v>
      </c>
      <c r="S170" s="48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1.3032144360902253E-2</v>
      </c>
    </row>
    <row r="171" spans="2:19" ht="20.100000000000001" customHeight="1">
      <c r="B171" s="59">
        <v>60</v>
      </c>
      <c r="C171" s="60">
        <v>136.80000000000001</v>
      </c>
      <c r="D171" s="60">
        <v>54</v>
      </c>
      <c r="E171" s="48">
        <f t="shared" si="10"/>
        <v>0.25979999999999998</v>
      </c>
      <c r="F171" s="42"/>
      <c r="G171" s="54" t="s">
        <v>20</v>
      </c>
      <c r="H171" s="54">
        <f>H166/4</f>
        <v>7.1234126571020253</v>
      </c>
      <c r="I171" s="48">
        <f>I166/4</f>
        <v>7.3354207516553771</v>
      </c>
      <c r="J171" s="43"/>
      <c r="K171" s="65"/>
      <c r="L171" s="65"/>
      <c r="M171" s="43"/>
      <c r="N171" s="48" t="s">
        <v>23</v>
      </c>
      <c r="O171" s="48">
        <f>O166/4.05*Link!$L$11</f>
        <v>0</v>
      </c>
      <c r="P171" s="42"/>
      <c r="Q171" s="43"/>
      <c r="S171" s="43"/>
    </row>
    <row r="172" spans="2:19" ht="20.100000000000001" customHeight="1">
      <c r="B172" s="54">
        <v>50</v>
      </c>
      <c r="C172" s="60">
        <v>111.6</v>
      </c>
      <c r="D172" s="60">
        <v>38</v>
      </c>
      <c r="E172" s="48">
        <f t="shared" si="10"/>
        <v>0.18282222222222222</v>
      </c>
      <c r="F172" s="42"/>
      <c r="G172" s="43"/>
      <c r="H172" s="43"/>
      <c r="I172" s="53"/>
      <c r="J172" s="43"/>
      <c r="K172" s="48" t="s">
        <v>25</v>
      </c>
      <c r="L172" s="53"/>
      <c r="M172" s="43"/>
      <c r="N172" s="48" t="s">
        <v>26</v>
      </c>
      <c r="O172" s="48">
        <f>'286'!$J$14</f>
        <v>235.09625</v>
      </c>
      <c r="P172" s="42"/>
      <c r="Q172" s="48">
        <v>-1</v>
      </c>
      <c r="R172" s="55">
        <v>0.60799999999999998</v>
      </c>
      <c r="S172" s="56">
        <v>1.2699999999999999E-2</v>
      </c>
    </row>
    <row r="173" spans="2:19" ht="20.100000000000001" customHeight="1">
      <c r="B173" s="43"/>
      <c r="C173" s="43"/>
      <c r="D173" s="43"/>
      <c r="E173" s="43"/>
      <c r="F173" s="42"/>
      <c r="G173" s="54" t="s">
        <v>24</v>
      </c>
      <c r="H173" s="48">
        <f>'inf 286'!O9</f>
        <v>3.506711454644599</v>
      </c>
      <c r="I173" s="48">
        <f>'inf 286'!P9</f>
        <v>3.5451310443376949</v>
      </c>
      <c r="J173" s="43"/>
      <c r="K173" s="57" t="s">
        <v>28</v>
      </c>
      <c r="L173" s="58">
        <f>O166*Index!$D$4*$O$2</f>
        <v>2.8027537796723188</v>
      </c>
      <c r="M173" s="43"/>
      <c r="N173" s="42"/>
      <c r="O173" s="42"/>
      <c r="P173" s="43"/>
      <c r="Q173" s="48">
        <v>-10</v>
      </c>
      <c r="R173" s="55">
        <f>R172-0.02</f>
        <v>0.58799999999999997</v>
      </c>
      <c r="S173" s="56">
        <v>1.26E-2</v>
      </c>
    </row>
    <row r="174" spans="2:19" ht="20.100000000000001" customHeight="1">
      <c r="B174" s="54">
        <v>97.5</v>
      </c>
      <c r="C174" s="60">
        <v>260.3</v>
      </c>
      <c r="D174" s="60">
        <v>242</v>
      </c>
      <c r="E174" s="54">
        <f>D174/45*0.2165</f>
        <v>1.1642888888888889</v>
      </c>
      <c r="F174" s="42"/>
      <c r="G174" s="54" t="s">
        <v>27</v>
      </c>
      <c r="H174" s="54">
        <f>IF(AND(Index!C4&gt;-0.9,Index!C4&lt;6),H177*S170,IF(AND(Index!C4&gt;5.999,Index!C4&lt;8.4),H178*S170,IF(AND(Index!C4&gt;8.399,Index!C4&lt;11),S170*H179,IF(AND(Index!C4&gt;10.999,Index!C4&lt;14.5),(H180*S170),IF(AND(Index!C4&gt;14.499,Index!C4&lt;16.9),H181*S170,IF(AND(Index!C4&gt;16.899,Index!C4&lt;30),(H181*1.008)*S170))))))</f>
        <v>1.272470029776108E-2</v>
      </c>
      <c r="I174" s="48" t="b">
        <f>IF(AND(Index!C4&lt;0.01,Index!C4&gt;-8.3),(S179*I177),IF(AND(Q179&lt;-8.299,Q179&gt;-13.5),(I178*S179),IF(AND(Q179&lt;-13.49,Q179&gt;-17.5),(I179*S179),IF(AND(Index!C4&lt;-17.49,Index!C4&gt;-30),(S179*I180),IF(AND(Index!C4&lt;-29.99,Index!C4&gt;-59),((S179*I181)))))))</f>
        <v>0</v>
      </c>
      <c r="J174" s="43"/>
      <c r="K174" s="61" t="s">
        <v>30</v>
      </c>
      <c r="L174" s="62">
        <f>$O$5*Index!$D$4*O166*0.99*(1-(L170*0.016))</f>
        <v>2.6017999916685186</v>
      </c>
      <c r="M174" s="42"/>
      <c r="N174" s="54" t="s">
        <v>12</v>
      </c>
      <c r="O174" s="54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0.87309760735597874</v>
      </c>
      <c r="P174" s="43"/>
      <c r="Q174" s="48">
        <v>-20</v>
      </c>
      <c r="R174" s="55">
        <f>R173-0.01</f>
        <v>0.57799999999999996</v>
      </c>
      <c r="S174" s="56">
        <v>1.23E-2</v>
      </c>
    </row>
    <row r="175" spans="2:19" ht="20.100000000000001" customHeight="1">
      <c r="B175" s="54">
        <v>95</v>
      </c>
      <c r="C175" s="60">
        <v>251.2</v>
      </c>
      <c r="D175" s="60">
        <v>218</v>
      </c>
      <c r="E175" s="54">
        <f>D175/45*0.2165</f>
        <v>1.0488222222222221</v>
      </c>
      <c r="F175" s="43"/>
      <c r="G175" s="54" t="s">
        <v>29</v>
      </c>
      <c r="H175" s="54">
        <f>R170</f>
        <v>0.63347944862155414</v>
      </c>
      <c r="I175" s="48">
        <f>R179</f>
        <v>0.63617672806752668</v>
      </c>
      <c r="J175" s="43"/>
      <c r="K175" s="61" t="s">
        <v>32</v>
      </c>
      <c r="L175" s="62">
        <f>O5*Index!D4*O166*1.27*(1-(L170*0.016))</f>
        <v>3.3376626155747666</v>
      </c>
      <c r="M175" s="42"/>
      <c r="N175" s="54" t="s">
        <v>40</v>
      </c>
      <c r="O175" s="54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0.87206216717186091</v>
      </c>
      <c r="P175" s="43"/>
      <c r="Q175" s="48">
        <v>-30</v>
      </c>
      <c r="R175" s="55">
        <f>R174-0.01</f>
        <v>0.56799999999999995</v>
      </c>
      <c r="S175" s="56">
        <v>1.1350000000000001E-2</v>
      </c>
    </row>
    <row r="176" spans="2:19" ht="20.100000000000001" customHeight="1">
      <c r="B176" s="54">
        <v>92.5</v>
      </c>
      <c r="C176" s="60">
        <v>242</v>
      </c>
      <c r="D176" s="60">
        <v>196</v>
      </c>
      <c r="E176" s="54">
        <f>D176/45*0.2165</f>
        <v>0.94297777777777769</v>
      </c>
      <c r="F176" s="43"/>
      <c r="J176" s="42"/>
      <c r="K176" s="61" t="s">
        <v>33</v>
      </c>
      <c r="L176" s="62">
        <f>(100+(L174*2.75/-4))/100</f>
        <v>0.98211262505727892</v>
      </c>
      <c r="M176" s="42"/>
      <c r="N176" s="43"/>
      <c r="O176" s="43"/>
      <c r="P176" s="43"/>
      <c r="Q176" s="48">
        <v>-40</v>
      </c>
      <c r="R176" s="55">
        <f>R175-0.01</f>
        <v>0.55799999999999994</v>
      </c>
      <c r="S176" s="56">
        <v>1.115E-2</v>
      </c>
    </row>
    <row r="177" spans="2:19" ht="20.100000000000001" customHeight="1">
      <c r="B177" s="43"/>
      <c r="C177" s="43"/>
      <c r="D177" s="43"/>
      <c r="E177" s="43"/>
      <c r="F177" s="43"/>
      <c r="G177" s="43"/>
      <c r="H177" s="54">
        <f>1.04*(O172-C169)*(O172-C171)/((C167-C169)*(C167-C171))+0.914*(O172-C167)*(O172-C171)/((C169-C167)*(C169-C171))+0.83*(O172-C167)*(O172-C169)/((C171-C167)*(C171-C169))</f>
        <v>0.97640878932683273</v>
      </c>
      <c r="I177" s="48">
        <f>1.1*(O172-C169)*(O172-C171)/((C167-C169)*(C167-C171))+0.911*(O172-C167)*(O172-C171)/((C169-C167)*(C169-C171))+0.772*(O172-C167)*(O172-C169)/((C171-C167)*(C171-C169))</f>
        <v>1.0066737881845376</v>
      </c>
      <c r="J177" s="43"/>
      <c r="K177" s="61" t="s">
        <v>35</v>
      </c>
      <c r="L177" s="62">
        <f>(100+(L175*4/-6.25))/100</f>
        <v>0.97863895926032141</v>
      </c>
      <c r="M177" s="43"/>
      <c r="N177" s="57" t="s">
        <v>43</v>
      </c>
      <c r="O177" s="46"/>
      <c r="P177" s="43"/>
      <c r="Q177" s="48">
        <v>-50</v>
      </c>
      <c r="R177" s="55">
        <f>R176-0.01</f>
        <v>0.54799999999999993</v>
      </c>
      <c r="S177" s="56">
        <v>1.095E-2</v>
      </c>
    </row>
    <row r="178" spans="2:19" ht="20.100000000000001" customHeight="1">
      <c r="B178" s="632" t="s">
        <v>121</v>
      </c>
      <c r="C178" s="632"/>
      <c r="D178" s="43"/>
      <c r="E178" s="43"/>
      <c r="F178" s="43"/>
      <c r="G178" s="43"/>
      <c r="H178" s="48">
        <f>1.1*(O172-C169)*(O172-C171)/((C167-C169)*(C167-C171))+0.912*(O172-C167)*(O172-C171)/((C169-C167)*(C169-C171))+0.835*(O172-C167)*(O172-C169)/((C171-C167)*(C171-C169))</f>
        <v>0.9974566554160933</v>
      </c>
      <c r="I178" s="54">
        <f>1*(O172-C169)*(O172-C171)/((C167-C169)*(C167-C171))+0.903*(O172-C167)*(O172-C171)/((C169-C167)*(C169-C171))+0.76*(O172-C167)*(O172-C169)/((C171-C167)*(C171-C169))</f>
        <v>0.96346132279533958</v>
      </c>
      <c r="J178" s="43"/>
      <c r="K178" s="61" t="s">
        <v>36</v>
      </c>
      <c r="L178" s="62">
        <f>O172+L170-L174</f>
        <v>236.38956963304682</v>
      </c>
      <c r="M178" s="43"/>
      <c r="N178" s="61">
        <f>MOD(H168,20/72)</f>
        <v>0.1266660077819407</v>
      </c>
      <c r="O178" s="62">
        <f>MOD(I168,20/72)</f>
        <v>9.0133871261424914E-2</v>
      </c>
      <c r="P178" s="43"/>
      <c r="Q178" s="48">
        <v>-60</v>
      </c>
      <c r="R178" s="55">
        <f>R177-0.01</f>
        <v>0.53799999999999992</v>
      </c>
      <c r="S178" s="56">
        <v>1.0749999999999999E-2</v>
      </c>
    </row>
    <row r="179" spans="2:19" ht="20.100000000000001" customHeight="1">
      <c r="B179" s="60">
        <f>H168/100*(O165*0.2165)*Link!$C$7*1.02</f>
        <v>2.924868651283246</v>
      </c>
      <c r="C179" s="48">
        <f>I168/100*(O165*0.2165)*Link!$C$7*1.02</f>
        <v>2.9772865208867656</v>
      </c>
      <c r="D179" s="43"/>
      <c r="E179" s="43"/>
      <c r="F179" s="43"/>
      <c r="G179" s="65"/>
      <c r="H179" s="48">
        <f>1.04*(O172-C169)*(O172-C171)/((C167-C169)*(C167-C171))+0.909*(O172-C167)*(O172-C171)/((C169-C167)*(C169-C171))+0.853*(O172-C167)*(O172-C169)/((C171-C167)*(C171-C169))</f>
        <v>0.96891874411754841</v>
      </c>
      <c r="I179" s="48">
        <f>1*(O172-C169)*(O172-C171)/((C167-C169)*(C167-C171))+0.9*(O172-C167)*(O172-C171)/((C169-C167)*(C169-C171))+0.752*(O172-C167)*(O172-C169)/((C171-C167)*(C171-C169))</f>
        <v>0.96242277039557611</v>
      </c>
      <c r="J179" s="43"/>
      <c r="K179" s="63" t="s">
        <v>37</v>
      </c>
      <c r="L179" s="64">
        <f>O172+L170+L175</f>
        <v>242.3290322402901</v>
      </c>
      <c r="M179" s="43"/>
      <c r="N179" s="61">
        <f>N178/(20/72)</f>
        <v>0.4559976280149865</v>
      </c>
      <c r="O179" s="62">
        <f>O178/(20/72)</f>
        <v>0.32448193654112967</v>
      </c>
      <c r="P179" s="43"/>
      <c r="Q179" s="48">
        <f>Index!$C$4</f>
        <v>4</v>
      </c>
      <c r="R179" s="68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0.63617672806752668</v>
      </c>
      <c r="S179" s="48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1.5491932227884805E-2</v>
      </c>
    </row>
    <row r="180" spans="2:19" ht="20.100000000000001" customHeight="1">
      <c r="B180" s="43"/>
      <c r="C180" s="43"/>
      <c r="D180" s="43"/>
      <c r="E180" s="43"/>
      <c r="F180" s="43"/>
      <c r="G180" s="43"/>
      <c r="H180" s="48">
        <f>1.03*(O172-C169)*(O172-C171)/((C167-C169)*(C167-C171))+0.924*(O172-C167)*(O172-C171)/((C169-C167)*(C169-C171))+0.8675*(O172-C167)*(O172-C169)/((C171-C167)*(C171-C169))</f>
        <v>0.97425710207910265</v>
      </c>
      <c r="I180" s="48">
        <f>1.13*(O172-C169)*(O172-C171)/((C167-C169)*(C167-C171))+0.886*(O172-C167)*(O172-C171)/((C169-C167)*(C169-C171))+0.721*(O172-C167)*(O172-C169)/((C171-C167)*(C171-C169))</f>
        <v>1.0072249678741356</v>
      </c>
      <c r="J180" s="43"/>
      <c r="K180" s="43"/>
      <c r="L180" s="43"/>
      <c r="M180" s="43"/>
      <c r="N180" s="61">
        <f>IF(N179&lt;0.288,ROUNDDOWN(N179,0),ROUNDUP(N179,0))</f>
        <v>1</v>
      </c>
      <c r="O180" s="62">
        <f>IF(O179&lt;0.288,ROUNDDOWN(O179,0),ROUNDUP(O179,0))</f>
        <v>1</v>
      </c>
      <c r="P180" s="43"/>
      <c r="Q180" s="43"/>
      <c r="R180" s="43"/>
      <c r="S180" s="43"/>
    </row>
    <row r="181" spans="2:19" ht="20.100000000000001" customHeight="1">
      <c r="B181" s="43"/>
      <c r="C181" s="43"/>
      <c r="D181" s="43"/>
      <c r="E181" s="43"/>
      <c r="F181" s="43"/>
      <c r="G181" s="43"/>
      <c r="H181" s="48">
        <f>1.04*(O172-C169)*(O172-C171)/((C167-C169)*(C167-C171))+0.927*(O172-C167)*(O172-C171)/((C169-C167)*(C169-C171))+0.8798*(O172-C167)*(O172-C169)/((C171-C167)*(C171-C169))</f>
        <v>0.97851042843296843</v>
      </c>
      <c r="I181" s="54">
        <f>1.2*(O172-C169)*(O172-C171)/((C167-C169)*(C167-C171))+0.85*(O172-C167)*(O172-C171)/((C169-C167)*(C169-C171))+0.64*(O172-C167)*(O172-C169)/((C171-C167)*(C171-C169))</f>
        <v>1.0196592277813672</v>
      </c>
      <c r="J181" s="43"/>
      <c r="K181" s="48" t="s">
        <v>31</v>
      </c>
      <c r="L181" s="48">
        <f>O172+L170</f>
        <v>238.99136962471533</v>
      </c>
      <c r="M181" s="43"/>
      <c r="N181" s="61">
        <f>IF(N178&lt;0.08,30,N182)</f>
        <v>29</v>
      </c>
      <c r="O181" s="62">
        <f>IF(O178&lt;0.08,30,O182)</f>
        <v>29</v>
      </c>
      <c r="P181" s="43"/>
      <c r="Q181" s="43"/>
      <c r="R181" s="43"/>
      <c r="S181" s="43"/>
    </row>
    <row r="182" spans="2:19" ht="20.100000000000001" customHeight="1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63">
        <f>IF(N178&gt;(20/72)-0.08,30,29)</f>
        <v>29</v>
      </c>
      <c r="O182" s="64">
        <f>IF(O178&gt;(20/72)-0.08,30,29)</f>
        <v>29</v>
      </c>
      <c r="P182" s="43"/>
      <c r="Q182" s="43"/>
      <c r="R182" s="43"/>
      <c r="S182" s="43"/>
    </row>
    <row r="183" spans="2:19" ht="20.100000000000001" customHeight="1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</row>
    <row r="185" spans="2:19" ht="20.100000000000001" customHeight="1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</row>
    <row r="186" spans="2:19" ht="20.100000000000001" customHeight="1">
      <c r="B186" s="626" t="s">
        <v>49</v>
      </c>
      <c r="C186" s="628"/>
      <c r="D186" s="628"/>
      <c r="E186" s="627"/>
      <c r="F186" s="43"/>
      <c r="G186" s="629" t="s">
        <v>49</v>
      </c>
      <c r="H186" s="630"/>
      <c r="I186" s="631"/>
      <c r="J186" s="43"/>
      <c r="K186" s="48" t="s">
        <v>7</v>
      </c>
      <c r="L186" s="53"/>
      <c r="M186" s="43"/>
      <c r="N186" s="48" t="s">
        <v>8</v>
      </c>
      <c r="O186" s="54">
        <f>O187/0.2165</f>
        <v>3.5907939850410666</v>
      </c>
      <c r="P186" s="43"/>
      <c r="Q186" s="48">
        <v>1</v>
      </c>
      <c r="R186" s="55">
        <v>0.6</v>
      </c>
      <c r="S186" s="56">
        <v>1.2699999999999999E-2</v>
      </c>
    </row>
    <row r="187" spans="2:19" ht="20.100000000000001" customHeight="1">
      <c r="B187" s="54" t="s">
        <v>5</v>
      </c>
      <c r="C187" s="48" t="s">
        <v>9</v>
      </c>
      <c r="D187" s="48" t="s">
        <v>10</v>
      </c>
      <c r="E187" s="54" t="s">
        <v>7</v>
      </c>
      <c r="F187" s="43"/>
      <c r="G187" s="54" t="s">
        <v>10</v>
      </c>
      <c r="H187" s="54">
        <f>H188/0.2165</f>
        <v>24.990330248304325</v>
      </c>
      <c r="I187" s="48">
        <f>I188/0.2165</f>
        <v>25.652986754014879</v>
      </c>
      <c r="J187" s="43"/>
      <c r="K187" s="57" t="s">
        <v>11</v>
      </c>
      <c r="L187" s="58">
        <f>O187*$O$3*Index!$D$4</f>
        <v>2.9776411703623848</v>
      </c>
      <c r="M187" s="43"/>
      <c r="N187" s="48" t="s">
        <v>12</v>
      </c>
      <c r="O187" s="48">
        <f>E188*(O193-C189)*(O193-C190)/((C188-C189)*(C188-C190))+E189*(O193-C188)*(O193-C190)/((C189-C188)*(C189-C190))+E190*(O193-C188)*(O193-C189)/((C190-C188)*(C190-C189))</f>
        <v>0.77740689776139094</v>
      </c>
      <c r="P187" s="43"/>
      <c r="Q187" s="48">
        <v>5</v>
      </c>
      <c r="R187" s="55">
        <f>R186+0.01</f>
        <v>0.61</v>
      </c>
      <c r="S187" s="56">
        <v>1.3100000000000001E-2</v>
      </c>
    </row>
    <row r="188" spans="2:19" ht="20.100000000000001" customHeight="1">
      <c r="B188" s="59">
        <v>100</v>
      </c>
      <c r="C188" s="60">
        <v>281.8</v>
      </c>
      <c r="D188" s="60">
        <v>274</v>
      </c>
      <c r="E188" s="54">
        <f>D188/45*0.2165</f>
        <v>1.3182444444444443</v>
      </c>
      <c r="F188" s="43"/>
      <c r="G188" s="48" t="s">
        <v>7</v>
      </c>
      <c r="H188" s="48">
        <f>L189+O192+B194</f>
        <v>5.4104064987578866</v>
      </c>
      <c r="I188" s="48">
        <f>L190+O192+C194</f>
        <v>5.5538716322442214</v>
      </c>
      <c r="J188" s="43"/>
      <c r="K188" s="61" t="s">
        <v>13</v>
      </c>
      <c r="L188" s="62">
        <f>IF(L191&gt;0,L187*O190,L187*O191)</f>
        <v>2.9440465978937467</v>
      </c>
      <c r="M188" s="43"/>
      <c r="N188" s="48" t="s">
        <v>14</v>
      </c>
      <c r="O188" s="48">
        <f>H196*POWER(H195,(C188-O193))</f>
        <v>1.0387828989994619</v>
      </c>
      <c r="P188" s="42"/>
      <c r="Q188" s="48">
        <v>10</v>
      </c>
      <c r="R188" s="55">
        <f>R187+0.01</f>
        <v>0.62</v>
      </c>
      <c r="S188" s="56">
        <v>1.3299999999999999E-2</v>
      </c>
    </row>
    <row r="189" spans="2:19" ht="20.100000000000001" customHeight="1">
      <c r="B189" s="59">
        <v>90</v>
      </c>
      <c r="C189" s="60">
        <v>245.4</v>
      </c>
      <c r="D189" s="60">
        <v>182</v>
      </c>
      <c r="E189" s="54">
        <f>D189/45*0.2165</f>
        <v>0.87562222222222219</v>
      </c>
      <c r="F189" s="43"/>
      <c r="G189" s="48" t="s">
        <v>5</v>
      </c>
      <c r="H189" s="48">
        <f>IF(L199&lt;=C189,80+(L199-C190)/((C189-C190)/10),90+(L199-C189)/((C188-C189)/10))</f>
        <v>87.637338459579993</v>
      </c>
      <c r="I189" s="48">
        <f>IF(L200&lt;=C189,80+(L200-C190)/((C189-C190)/10),90+(L200-C189)/((C188-C189)/10))</f>
        <v>89.09183105466937</v>
      </c>
      <c r="J189" s="43"/>
      <c r="K189" s="61" t="s">
        <v>15</v>
      </c>
      <c r="L189" s="62">
        <f>L188*L197</f>
        <v>2.8982537498909138</v>
      </c>
      <c r="M189" s="43"/>
      <c r="N189" s="48" t="s">
        <v>16</v>
      </c>
      <c r="O189" s="48">
        <f>I196*POWER(I195,(C188-O193))</f>
        <v>1.1579573306159163</v>
      </c>
      <c r="P189" s="42"/>
      <c r="Q189" s="48">
        <v>15</v>
      </c>
      <c r="R189" s="55">
        <f>R188+0.01</f>
        <v>0.63</v>
      </c>
      <c r="S189" s="56">
        <v>1.35E-2</v>
      </c>
    </row>
    <row r="190" spans="2:19" ht="20.100000000000001" customHeight="1">
      <c r="B190" s="59">
        <v>80</v>
      </c>
      <c r="C190" s="60">
        <v>209.8</v>
      </c>
      <c r="D190" s="60">
        <v>122</v>
      </c>
      <c r="E190" s="54">
        <f>D190/45*0.2165</f>
        <v>0.58695555555555556</v>
      </c>
      <c r="F190" s="43"/>
      <c r="G190" s="48" t="s">
        <v>17</v>
      </c>
      <c r="H190" s="48">
        <f>IF(N200=0,INDEX('R286'!F255:F363,(ROUNDDOWN(((H189-70)/(20/72)+1),0)),1),INDEX('R286'!F255:F363,(ROUNDUP(((H189-70)/(20/72))+1,0)),1))</f>
        <v>265.08888888888828</v>
      </c>
      <c r="I190" s="48">
        <f>IF(O200=0,INDEX('R286'!F255:F363,(ROUNDDOWN(((I189-70)/(20/72)+1),0)),1),INDEX('R286'!F255:F363,(ROUNDUP(((I189-70)/(20/72))+1,0)),1))</f>
        <v>269.28333333333279</v>
      </c>
      <c r="J190" s="43"/>
      <c r="K190" s="61" t="s">
        <v>18</v>
      </c>
      <c r="L190" s="62">
        <f>L188/L198</f>
        <v>3.0000253810963042</v>
      </c>
      <c r="M190" s="43"/>
      <c r="N190" s="48" t="s">
        <v>19</v>
      </c>
      <c r="O190" s="48">
        <f>IF((O193&gt;0),((100+(L191/-H194))/100))</f>
        <v>0.98871772300738658</v>
      </c>
      <c r="P190" s="42"/>
      <c r="Q190" s="48">
        <v>20</v>
      </c>
      <c r="R190" s="55">
        <f>R189+0.01</f>
        <v>0.64</v>
      </c>
      <c r="S190" s="56">
        <v>1.38E-2</v>
      </c>
    </row>
    <row r="191" spans="2:19" ht="20.100000000000001" customHeight="1">
      <c r="B191" s="43"/>
      <c r="C191" s="43"/>
      <c r="D191" s="43"/>
      <c r="E191" s="43"/>
      <c r="F191" s="43"/>
      <c r="G191" s="48" t="s">
        <v>39</v>
      </c>
      <c r="H191" s="48">
        <f>N201</f>
        <v>29</v>
      </c>
      <c r="I191" s="48">
        <f>O201</f>
        <v>30</v>
      </c>
      <c r="J191" s="43"/>
      <c r="K191" s="63" t="s">
        <v>21</v>
      </c>
      <c r="L191" s="64">
        <f>IF(Index!$C$4&gt;0,Index!$C$4*O188,Index!$C$4*O189)</f>
        <v>4.1551315959978474</v>
      </c>
      <c r="M191" s="43"/>
      <c r="N191" s="48" t="s">
        <v>22</v>
      </c>
      <c r="O191" s="48">
        <f>IF((O193&gt;0),((100+(L191/-I194))/100))</f>
        <v>0.98831371079038566</v>
      </c>
      <c r="P191" s="42"/>
      <c r="Q191" s="48">
        <f>Index!$C$4</f>
        <v>4</v>
      </c>
      <c r="R191" s="48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0.60777944862155375</v>
      </c>
      <c r="S191" s="48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1.3032144360902253E-2</v>
      </c>
    </row>
    <row r="192" spans="2:19" ht="20.100000000000001" customHeight="1">
      <c r="B192" s="43"/>
      <c r="C192" s="43"/>
      <c r="D192" s="43"/>
      <c r="E192" s="43"/>
      <c r="F192" s="42"/>
      <c r="G192" s="54" t="s">
        <v>20</v>
      </c>
      <c r="H192" s="54">
        <f>H187/4</f>
        <v>6.2475825620760812</v>
      </c>
      <c r="I192" s="48">
        <f>I187/4</f>
        <v>6.4132466885037198</v>
      </c>
      <c r="J192" s="43"/>
      <c r="K192" s="53"/>
      <c r="L192" s="53"/>
      <c r="M192" s="43"/>
      <c r="N192" s="48" t="s">
        <v>23</v>
      </c>
      <c r="O192" s="48">
        <f>O187/4.05*Link!$L$11</f>
        <v>0</v>
      </c>
      <c r="P192" s="42"/>
      <c r="Q192" s="43"/>
      <c r="S192" s="43"/>
    </row>
    <row r="193" spans="2:19" ht="20.100000000000001" customHeight="1">
      <c r="B193" s="632" t="s">
        <v>121</v>
      </c>
      <c r="C193" s="632"/>
      <c r="D193" s="43"/>
      <c r="E193" s="43"/>
      <c r="F193" s="43"/>
      <c r="G193" s="43"/>
      <c r="H193" s="43"/>
      <c r="I193" s="53"/>
      <c r="J193" s="43"/>
      <c r="K193" s="48" t="s">
        <v>25</v>
      </c>
      <c r="L193" s="53"/>
      <c r="M193" s="43"/>
      <c r="N193" s="48" t="s">
        <v>26</v>
      </c>
      <c r="O193" s="48">
        <f>'286'!$J$14</f>
        <v>235.09625</v>
      </c>
      <c r="P193" s="42"/>
      <c r="Q193" s="48">
        <v>-1</v>
      </c>
      <c r="R193" s="55">
        <v>0.6</v>
      </c>
      <c r="S193" s="56">
        <v>1.2699999999999999E-2</v>
      </c>
    </row>
    <row r="194" spans="2:19" ht="20.100000000000001" customHeight="1">
      <c r="B194" s="60">
        <f>H189/100*(O186*0.2165)*Link!$C$7*1.02</f>
        <v>2.5121527488669728</v>
      </c>
      <c r="C194" s="48">
        <f>I189/100*(O186*0.2165)*Link!$C$7*1.02</f>
        <v>2.5538462511479172</v>
      </c>
      <c r="D194" s="43"/>
      <c r="E194" s="43"/>
      <c r="F194" s="43"/>
      <c r="G194" s="54" t="s">
        <v>24</v>
      </c>
      <c r="H194" s="48">
        <f>'inf 286'!C31</f>
        <v>3.6828838706213678</v>
      </c>
      <c r="I194" s="48">
        <f>'inf 286'!D31</f>
        <v>3.5555611550152175</v>
      </c>
      <c r="J194" s="43"/>
      <c r="K194" s="57" t="s">
        <v>28</v>
      </c>
      <c r="L194" s="58">
        <f>O187*Index!$D$4*$O$2</f>
        <v>2.4985376078293617</v>
      </c>
      <c r="M194" s="43"/>
      <c r="N194" s="43"/>
      <c r="O194" s="42"/>
      <c r="P194" s="42"/>
      <c r="Q194" s="48">
        <v>-10</v>
      </c>
      <c r="R194" s="55">
        <f t="shared" ref="R194:R199" si="11">R193-0.01</f>
        <v>0.59</v>
      </c>
      <c r="S194" s="56">
        <v>1.2500000000000001E-2</v>
      </c>
    </row>
    <row r="195" spans="2:19" ht="20.100000000000001" customHeight="1">
      <c r="B195" s="43"/>
      <c r="C195" s="43"/>
      <c r="D195" s="43"/>
      <c r="E195" s="43"/>
      <c r="F195" s="43"/>
      <c r="G195" s="54" t="s">
        <v>27</v>
      </c>
      <c r="H195" s="48">
        <f>(1+(H197*S191))</f>
        <v>1.0115425505722482</v>
      </c>
      <c r="I195" s="48">
        <f>(1+(I197*S200))</f>
        <v>1.0139216249756058</v>
      </c>
      <c r="J195" s="43"/>
      <c r="K195" s="61" t="s">
        <v>30</v>
      </c>
      <c r="L195" s="62">
        <f>$O$5*Index!$D$4*O187*0.97*(1-(L191*0.016))</f>
        <v>2.2624566798930692</v>
      </c>
      <c r="M195" s="42"/>
      <c r="N195" s="54" t="s">
        <v>31</v>
      </c>
      <c r="O195" s="48">
        <f>O193+L191</f>
        <v>239.25138159599786</v>
      </c>
      <c r="P195" s="42"/>
      <c r="Q195" s="48">
        <v>-20</v>
      </c>
      <c r="R195" s="55">
        <f t="shared" si="11"/>
        <v>0.57999999999999996</v>
      </c>
      <c r="S195" s="56">
        <v>1.23E-2</v>
      </c>
    </row>
    <row r="196" spans="2:19" ht="20.100000000000001" customHeight="1">
      <c r="B196" s="43"/>
      <c r="C196" s="43"/>
      <c r="D196" s="43"/>
      <c r="E196" s="43"/>
      <c r="F196" s="43"/>
      <c r="G196" s="54" t="s">
        <v>29</v>
      </c>
      <c r="H196" s="48">
        <f>R191</f>
        <v>0.60777944862155375</v>
      </c>
      <c r="I196" s="48">
        <f>R200</f>
        <v>0.60710697527886726</v>
      </c>
      <c r="J196" s="43"/>
      <c r="K196" s="61" t="s">
        <v>32</v>
      </c>
      <c r="L196" s="62">
        <f>$O$5*Index!$D$4*O187*1.25*(1-(L191*0.016))</f>
        <v>2.915536958625089</v>
      </c>
      <c r="M196" s="42"/>
      <c r="N196" s="43"/>
      <c r="O196" s="43"/>
      <c r="P196" s="53"/>
      <c r="Q196" s="48">
        <v>-30</v>
      </c>
      <c r="R196" s="55">
        <f t="shared" si="11"/>
        <v>0.56999999999999995</v>
      </c>
      <c r="S196" s="56">
        <v>1.1350000000000001E-2</v>
      </c>
    </row>
    <row r="197" spans="2:19" ht="20.100000000000001" customHeight="1">
      <c r="B197" s="43"/>
      <c r="C197" s="43"/>
      <c r="D197" s="43"/>
      <c r="E197" s="43"/>
      <c r="F197" s="43"/>
      <c r="G197" s="54">
        <v>180</v>
      </c>
      <c r="H197" s="54">
        <f>1.04*(O193-C189)*(O193-C190)/((C188-C189)*(C188-C190))+0.914*(O193-C188)*(O193-C190)/((C189-C188)*(C189-C190))+0.83*(O193-C188)*(O193-C189)/((C190-C188)*(C190-C189))</f>
        <v>0.88569848925837513</v>
      </c>
      <c r="I197" s="54">
        <f>1*(O193-C189)*(O193-C190)/((C188-C189)*(C188-C190))+0.903*(O193-C188)*(O193-C190)/((C189-C188)*(C189-C190))+0.76*(O193-C188)*(O193-C189)/((C190-C188)*(C190-C189))</f>
        <v>0.86650576633006082</v>
      </c>
      <c r="J197" s="43"/>
      <c r="K197" s="61" t="s">
        <v>33</v>
      </c>
      <c r="L197" s="62">
        <f>(100+(L195*2.75/-4))/100</f>
        <v>0.98444561032573519</v>
      </c>
      <c r="M197" s="42"/>
      <c r="N197" s="57" t="s">
        <v>43</v>
      </c>
      <c r="O197" s="58"/>
      <c r="P197" s="53"/>
      <c r="Q197" s="48">
        <v>-40</v>
      </c>
      <c r="R197" s="55">
        <f t="shared" si="11"/>
        <v>0.55999999999999994</v>
      </c>
      <c r="S197" s="56">
        <v>1.115E-2</v>
      </c>
    </row>
    <row r="198" spans="2:19" ht="20.100000000000001" customHeight="1">
      <c r="B198" s="43"/>
      <c r="C198" s="43"/>
      <c r="D198" s="43"/>
      <c r="E198" s="43"/>
      <c r="F198" s="43"/>
      <c r="G198" s="43"/>
      <c r="H198" s="43"/>
      <c r="I198" s="43"/>
      <c r="J198" s="42"/>
      <c r="K198" s="61" t="s">
        <v>35</v>
      </c>
      <c r="L198" s="62">
        <f>(100+(L196*4/-6.25))/100</f>
        <v>0.98134056346479936</v>
      </c>
      <c r="M198" s="42"/>
      <c r="N198" s="61">
        <f>MOD(H189,20/72)</f>
        <v>0.13733845957998947</v>
      </c>
      <c r="O198" s="62">
        <f>MOD(I189,20/72)</f>
        <v>0.20294216578047752</v>
      </c>
      <c r="P198" s="53"/>
      <c r="Q198" s="48">
        <v>-50</v>
      </c>
      <c r="R198" s="55">
        <f t="shared" si="11"/>
        <v>0.54999999999999993</v>
      </c>
      <c r="S198" s="56">
        <v>1.095E-2</v>
      </c>
    </row>
    <row r="199" spans="2:19" ht="20.100000000000001" customHeight="1">
      <c r="B199" s="43"/>
      <c r="C199" s="43"/>
      <c r="D199" s="43"/>
      <c r="E199" s="43"/>
      <c r="F199" s="43"/>
      <c r="G199" s="43"/>
      <c r="H199" s="43"/>
      <c r="I199" s="43"/>
      <c r="J199" s="43"/>
      <c r="K199" s="61" t="s">
        <v>36</v>
      </c>
      <c r="L199" s="62">
        <f>O193+L191-L195</f>
        <v>236.98892491610479</v>
      </c>
      <c r="M199" s="42"/>
      <c r="N199" s="61">
        <f>N198/(20/72)</f>
        <v>0.49441845448796207</v>
      </c>
      <c r="O199" s="62">
        <f>O198/(20/72)</f>
        <v>0.73059179680971909</v>
      </c>
      <c r="P199" s="53"/>
      <c r="Q199" s="48">
        <v>-60</v>
      </c>
      <c r="R199" s="55">
        <f t="shared" si="11"/>
        <v>0.53999999999999992</v>
      </c>
      <c r="S199" s="56">
        <v>1.0749999999999999E-2</v>
      </c>
    </row>
    <row r="200" spans="2:19" ht="20.100000000000001" customHeight="1">
      <c r="B200" s="43"/>
      <c r="C200" s="43"/>
      <c r="D200" s="43"/>
      <c r="E200" s="43"/>
      <c r="F200" s="43"/>
      <c r="G200" s="43"/>
      <c r="H200" s="43"/>
      <c r="I200" s="43"/>
      <c r="J200" s="43"/>
      <c r="K200" s="63" t="s">
        <v>37</v>
      </c>
      <c r="L200" s="64">
        <f>O193+L191+L196</f>
        <v>242.16691855462295</v>
      </c>
      <c r="M200" s="43"/>
      <c r="N200" s="61">
        <f>IF(N199&lt;0.288,ROUNDDOWN(N199,0),ROUNDUP(N199,0))</f>
        <v>1</v>
      </c>
      <c r="O200" s="62">
        <f>IF(O199&lt;0.288,ROUNDDOWN(O199,0),ROUNDUP(O199,0))</f>
        <v>1</v>
      </c>
      <c r="P200" s="53"/>
      <c r="Q200" s="48">
        <f>Index!$C$4</f>
        <v>4</v>
      </c>
      <c r="R200" s="68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0.60710697527886726</v>
      </c>
      <c r="S200" s="48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1.6066396227884815E-2</v>
      </c>
    </row>
    <row r="201" spans="2:19" ht="20.100000000000001" customHeight="1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61">
        <f>IF(N198&lt;0.08,30,N202)</f>
        <v>29</v>
      </c>
      <c r="O201" s="62">
        <f>IF(O198&lt;0.08,30,O202)</f>
        <v>30</v>
      </c>
      <c r="P201" s="43"/>
      <c r="Q201" s="42"/>
      <c r="R201" s="42"/>
      <c r="S201" s="42"/>
    </row>
    <row r="202" spans="2:19" ht="20.100000000000001" customHeight="1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63">
        <f>IF(N198&gt;(20/72)-0.08,30,29)</f>
        <v>29</v>
      </c>
      <c r="O202" s="64">
        <f>IF(O198&gt;(20/72)-0.08,30,29)</f>
        <v>30</v>
      </c>
      <c r="P202" s="43"/>
      <c r="Q202" s="43"/>
      <c r="R202" s="43"/>
      <c r="S202" s="43"/>
    </row>
    <row r="203" spans="2:19" ht="20.100000000000001" customHeight="1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</row>
    <row r="204" spans="2:19" ht="20.100000000000001" customHeight="1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</row>
    <row r="206" spans="2:19" ht="20.100000000000001" customHeight="1">
      <c r="B206" s="626" t="s">
        <v>68</v>
      </c>
      <c r="C206" s="628"/>
      <c r="D206" s="628"/>
      <c r="E206" s="627"/>
      <c r="F206" s="43"/>
      <c r="G206" s="629" t="s">
        <v>68</v>
      </c>
      <c r="H206" s="630"/>
      <c r="I206" s="631"/>
      <c r="J206" s="43"/>
      <c r="K206" s="48" t="s">
        <v>7</v>
      </c>
      <c r="L206" s="53"/>
      <c r="M206" s="43"/>
      <c r="N206" s="48" t="s">
        <v>8</v>
      </c>
      <c r="O206" s="54">
        <f>O207/0.2165</f>
        <v>3.3533256548829589</v>
      </c>
      <c r="P206" s="43"/>
      <c r="Q206" s="48">
        <v>1</v>
      </c>
      <c r="R206" s="55">
        <v>0.61</v>
      </c>
      <c r="S206" s="56">
        <v>1.2699999999999999E-2</v>
      </c>
    </row>
    <row r="207" spans="2:19" ht="20.100000000000001" customHeight="1">
      <c r="B207" s="54" t="s">
        <v>5</v>
      </c>
      <c r="C207" s="48" t="s">
        <v>9</v>
      </c>
      <c r="D207" s="48" t="s">
        <v>10</v>
      </c>
      <c r="E207" s="54" t="s">
        <v>7</v>
      </c>
      <c r="F207" s="43"/>
      <c r="G207" s="54" t="s">
        <v>10</v>
      </c>
      <c r="H207" s="54">
        <f>H208/0.2165</f>
        <v>23.122308588479811</v>
      </c>
      <c r="I207" s="48">
        <f>I208/0.2165</f>
        <v>23.696228540696701</v>
      </c>
      <c r="J207" s="43"/>
      <c r="K207" s="57" t="s">
        <v>11</v>
      </c>
      <c r="L207" s="58">
        <f>O207*$O$3*Index!$D$4</f>
        <v>2.7807221938124389</v>
      </c>
      <c r="M207" s="43"/>
      <c r="N207" s="48" t="s">
        <v>12</v>
      </c>
      <c r="O207" s="48">
        <f>E208*(O213-C209)*(O213-C210)/((C208-C209)*(C208-C210))+E209*(O213-C208)*(O213-C210)/((C209-C208)*(C209-C210))+E210*(O213-C208)*(O213-C209)/((C210-C208)*(C210-C209))</f>
        <v>0.72599500428216057</v>
      </c>
      <c r="P207" s="43"/>
      <c r="Q207" s="48">
        <v>5</v>
      </c>
      <c r="R207" s="55">
        <f>R206+0.01</f>
        <v>0.62</v>
      </c>
      <c r="S207" s="56">
        <v>1.3100000000000001E-2</v>
      </c>
    </row>
    <row r="208" spans="2:19" ht="20.100000000000001" customHeight="1">
      <c r="B208" s="59">
        <v>100</v>
      </c>
      <c r="C208" s="60">
        <v>288.3</v>
      </c>
      <c r="D208" s="60">
        <v>274</v>
      </c>
      <c r="E208" s="54">
        <f>D208/45*0.2165</f>
        <v>1.3182444444444443</v>
      </c>
      <c r="F208" s="43"/>
      <c r="G208" s="48" t="s">
        <v>7</v>
      </c>
      <c r="H208" s="48">
        <f>L209+O212+B214</f>
        <v>5.0059798094058792</v>
      </c>
      <c r="I208" s="48">
        <f>L210+O212+C214</f>
        <v>5.1302334790608359</v>
      </c>
      <c r="J208" s="43"/>
      <c r="K208" s="61" t="s">
        <v>13</v>
      </c>
      <c r="L208" s="62">
        <f>IF(L211&gt;0,L207*O210,L207*O211)</f>
        <v>2.7465867638672701</v>
      </c>
      <c r="M208" s="43"/>
      <c r="N208" s="48" t="s">
        <v>14</v>
      </c>
      <c r="O208" s="48">
        <f>H216*POWER(H215,(C208-O213))</f>
        <v>1.1248795169756802</v>
      </c>
      <c r="P208" s="42"/>
      <c r="Q208" s="48">
        <v>10</v>
      </c>
      <c r="R208" s="55">
        <f>R207+0.01</f>
        <v>0.63</v>
      </c>
      <c r="S208" s="56">
        <v>1.3299999999999999E-2</v>
      </c>
    </row>
    <row r="209" spans="2:19" ht="20.100000000000001" customHeight="1">
      <c r="B209" s="59">
        <v>90</v>
      </c>
      <c r="C209" s="60">
        <v>252</v>
      </c>
      <c r="D209" s="60">
        <v>183</v>
      </c>
      <c r="E209" s="54">
        <f>D209/45*0.2165</f>
        <v>0.88043333333333329</v>
      </c>
      <c r="F209" s="43"/>
      <c r="G209" s="48" t="s">
        <v>5</v>
      </c>
      <c r="H209" s="48">
        <f>IF(L219&lt;=C209,80+(L219-C210)/((C209-C210)/10),90+(L219-C209)/((C208-C209)/10))</f>
        <v>85.913510717378244</v>
      </c>
      <c r="I209" s="48">
        <f>IF(L220&lt;=C209,80+(L220-C210)/((C209-C210)/10),90+(L220-C209)/((C208-C209)/10))</f>
        <v>87.263796499117063</v>
      </c>
      <c r="J209" s="43"/>
      <c r="K209" s="61" t="s">
        <v>15</v>
      </c>
      <c r="L209" s="62">
        <f>L208*L217</f>
        <v>2.7061083079098234</v>
      </c>
      <c r="M209" s="43"/>
      <c r="N209" s="48" t="s">
        <v>16</v>
      </c>
      <c r="O209" s="48">
        <f>I216*POWER(I215,(C208-O213))</f>
        <v>1.2194709394660666</v>
      </c>
      <c r="P209" s="42"/>
      <c r="Q209" s="48">
        <v>15</v>
      </c>
      <c r="R209" s="55">
        <f>R208+0.01</f>
        <v>0.64</v>
      </c>
      <c r="S209" s="56">
        <v>1.35E-2</v>
      </c>
    </row>
    <row r="210" spans="2:19" ht="20.100000000000001" customHeight="1">
      <c r="B210" s="59">
        <v>80</v>
      </c>
      <c r="C210" s="60">
        <v>216.4</v>
      </c>
      <c r="D210" s="60">
        <v>123</v>
      </c>
      <c r="E210" s="54">
        <f>D210/45*0.2165</f>
        <v>0.59176666666666666</v>
      </c>
      <c r="F210" s="43"/>
      <c r="G210" s="48" t="s">
        <v>17</v>
      </c>
      <c r="H210" s="48">
        <f>IF(N220=0,INDEX('R286'!G255:G363,(ROUNDDOWN(((H209-70)/(20/72)+1),0)),1),INDEX('R286'!G255:G363,(ROUNDUP(((H209-70)/(20/72))+1,0)),1))</f>
        <v>268.66666666666629</v>
      </c>
      <c r="I210" s="48">
        <f>IF(O220=0,INDEX('R286'!G255:G363,(ROUNDDOWN(((I209-70)/(20/72)+1),0)),1),INDEX('R286'!G255:G363,(ROUNDUP(((I209-70)/(20/72))+1,0)),1))</f>
        <v>272.13333333333298</v>
      </c>
      <c r="J210" s="43"/>
      <c r="K210" s="61" t="s">
        <v>18</v>
      </c>
      <c r="L210" s="62">
        <f>L208/L218</f>
        <v>2.7942153486775934</v>
      </c>
      <c r="M210" s="43"/>
      <c r="N210" s="48" t="s">
        <v>19</v>
      </c>
      <c r="O210" s="48">
        <f>IF((O213&gt;0),((100+(L211/-H214))/100))</f>
        <v>0.98772425738136449</v>
      </c>
      <c r="P210" s="42"/>
      <c r="Q210" s="48">
        <v>20</v>
      </c>
      <c r="R210" s="55">
        <f>R209+0.01</f>
        <v>0.65</v>
      </c>
      <c r="S210" s="56">
        <v>1.38E-2</v>
      </c>
    </row>
    <row r="211" spans="2:19" ht="20.100000000000001" customHeight="1">
      <c r="B211" s="43"/>
      <c r="C211" s="43"/>
      <c r="D211" s="43"/>
      <c r="E211" s="43"/>
      <c r="F211" s="43"/>
      <c r="G211" s="48" t="s">
        <v>39</v>
      </c>
      <c r="H211" s="48">
        <f>N221</f>
        <v>29</v>
      </c>
      <c r="I211" s="48">
        <f>O221</f>
        <v>30</v>
      </c>
      <c r="J211" s="43"/>
      <c r="K211" s="63" t="s">
        <v>21</v>
      </c>
      <c r="L211" s="64">
        <f>IF(Index!$C$4&gt;0,Index!$C$4*O208,Index!$C$4*O209)</f>
        <v>4.4995180679027209</v>
      </c>
      <c r="M211" s="43"/>
      <c r="N211" s="48" t="s">
        <v>22</v>
      </c>
      <c r="O211" s="48">
        <f>IF((O213&gt;0),((100+(L211/-I214))/100))</f>
        <v>0.98717042238644226</v>
      </c>
      <c r="P211" s="42"/>
      <c r="Q211" s="48">
        <f>Index!$C$4</f>
        <v>4</v>
      </c>
      <c r="R211" s="48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0.61777944862155387</v>
      </c>
      <c r="S211" s="48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1.3032144360902253E-2</v>
      </c>
    </row>
    <row r="212" spans="2:19" ht="20.100000000000001" customHeight="1">
      <c r="B212" s="43"/>
      <c r="C212" s="43"/>
      <c r="D212" s="43"/>
      <c r="E212" s="43"/>
      <c r="F212" s="42"/>
      <c r="G212" s="54" t="s">
        <v>20</v>
      </c>
      <c r="H212" s="54">
        <f>H207/4</f>
        <v>5.7805771471199527</v>
      </c>
      <c r="I212" s="48">
        <f>I207/4</f>
        <v>5.9240571351741753</v>
      </c>
      <c r="J212" s="43"/>
      <c r="K212" s="53"/>
      <c r="L212" s="53"/>
      <c r="M212" s="43"/>
      <c r="N212" s="48" t="s">
        <v>23</v>
      </c>
      <c r="O212" s="48">
        <f>O207/4.05*Link!$L$11</f>
        <v>0</v>
      </c>
      <c r="P212" s="42"/>
      <c r="Q212" s="43"/>
      <c r="S212" s="43"/>
    </row>
    <row r="213" spans="2:19" ht="20.100000000000001" customHeight="1">
      <c r="B213" s="632" t="s">
        <v>121</v>
      </c>
      <c r="C213" s="632"/>
      <c r="D213" s="43"/>
      <c r="E213" s="43"/>
      <c r="F213" s="43"/>
      <c r="G213" s="43"/>
      <c r="H213" s="43"/>
      <c r="I213" s="53"/>
      <c r="J213" s="43"/>
      <c r="K213" s="48" t="s">
        <v>25</v>
      </c>
      <c r="L213" s="53"/>
      <c r="M213" s="43"/>
      <c r="N213" s="48" t="s">
        <v>26</v>
      </c>
      <c r="O213" s="48">
        <f>'286'!$J$14</f>
        <v>235.09625</v>
      </c>
      <c r="P213" s="42"/>
      <c r="Q213" s="48">
        <v>-1</v>
      </c>
      <c r="R213" s="55">
        <v>0.59</v>
      </c>
      <c r="S213" s="56">
        <v>1.2699999999999999E-2</v>
      </c>
    </row>
    <row r="214" spans="2:19" ht="20.100000000000001" customHeight="1">
      <c r="B214" s="60">
        <f>H209/100*(O206*0.2165)*Link!$C$7*1.02</f>
        <v>2.2998715014960562</v>
      </c>
      <c r="C214" s="48">
        <f>I209/100*(O206*0.2165)*Link!$C$7*1.02</f>
        <v>2.336018130383243</v>
      </c>
      <c r="D214" s="43"/>
      <c r="E214" s="43"/>
      <c r="F214" s="43"/>
      <c r="G214" s="54" t="s">
        <v>24</v>
      </c>
      <c r="H214" s="48">
        <f>'inf 286'!C37</f>
        <v>3.6653734178754549</v>
      </c>
      <c r="I214" s="48">
        <f>'inf 286'!D37</f>
        <v>3.5071443530205095</v>
      </c>
      <c r="J214" s="43"/>
      <c r="K214" s="57" t="s">
        <v>28</v>
      </c>
      <c r="L214" s="58">
        <f>O207*Index!$D$4*$O$2</f>
        <v>2.3333029672344945</v>
      </c>
      <c r="M214" s="43"/>
      <c r="N214" s="43"/>
      <c r="O214" s="42"/>
      <c r="P214" s="42"/>
      <c r="Q214" s="48">
        <v>-10</v>
      </c>
      <c r="R214" s="55">
        <f t="shared" ref="R214:R219" si="12">R213-0.01</f>
        <v>0.57999999999999996</v>
      </c>
      <c r="S214" s="56">
        <v>1.2500000000000001E-2</v>
      </c>
    </row>
    <row r="215" spans="2:19" ht="20.100000000000001" customHeight="1">
      <c r="B215" s="43"/>
      <c r="C215" s="43"/>
      <c r="D215" s="43"/>
      <c r="E215" s="43"/>
      <c r="F215" s="43"/>
      <c r="G215" s="54" t="s">
        <v>27</v>
      </c>
      <c r="H215" s="48">
        <f>(1+(H217*S211))</f>
        <v>1.0113279183297137</v>
      </c>
      <c r="I215" s="48">
        <f>(1+(I217*S220))</f>
        <v>1.0135120101930843</v>
      </c>
      <c r="J215" s="43"/>
      <c r="K215" s="61" t="s">
        <v>30</v>
      </c>
      <c r="L215" s="62">
        <f>$O$5*Index!$D$4*O207*0.99*(1-(L211*0.016))</f>
        <v>2.1436699140361815</v>
      </c>
      <c r="M215" s="42"/>
      <c r="N215" s="54" t="s">
        <v>31</v>
      </c>
      <c r="O215" s="48">
        <f>O213+L211</f>
        <v>239.59576806790272</v>
      </c>
      <c r="P215" s="42"/>
      <c r="Q215" s="48">
        <v>-20</v>
      </c>
      <c r="R215" s="55">
        <f t="shared" si="12"/>
        <v>0.56999999999999995</v>
      </c>
      <c r="S215" s="56">
        <v>1.23E-2</v>
      </c>
    </row>
    <row r="216" spans="2:19" ht="20.100000000000001" customHeight="1">
      <c r="B216" s="43"/>
      <c r="C216" s="43"/>
      <c r="D216" s="43"/>
      <c r="E216" s="43"/>
      <c r="F216" s="43"/>
      <c r="G216" s="54" t="s">
        <v>29</v>
      </c>
      <c r="H216" s="48">
        <f>R211</f>
        <v>0.61777944862155387</v>
      </c>
      <c r="I216" s="48">
        <f>R220</f>
        <v>0.59710697527886514</v>
      </c>
      <c r="J216" s="43"/>
      <c r="K216" s="61" t="s">
        <v>32</v>
      </c>
      <c r="L216" s="62">
        <f>$O$5*Index!$D$4*O207*1.23*(1-(L211*0.016))</f>
        <v>2.6633474689540435</v>
      </c>
      <c r="M216" s="42"/>
      <c r="N216" s="43"/>
      <c r="O216" s="43"/>
      <c r="P216" s="53"/>
      <c r="Q216" s="48">
        <v>-30</v>
      </c>
      <c r="R216" s="55">
        <f t="shared" si="12"/>
        <v>0.55999999999999994</v>
      </c>
      <c r="S216" s="56">
        <v>1.1350000000000001E-2</v>
      </c>
    </row>
    <row r="217" spans="2:19" ht="20.100000000000001" customHeight="1">
      <c r="B217" s="43"/>
      <c r="C217" s="43"/>
      <c r="D217" s="43"/>
      <c r="E217" s="43"/>
      <c r="F217" s="43"/>
      <c r="G217" s="54">
        <v>180</v>
      </c>
      <c r="H217" s="54">
        <f>1.04*(O213-C209)*(O213-C210)/((C208-C209)*(C208-C210))+0.914*(O213-C208)*(O213-C210)/((C209-C208)*(C209-C210))+0.83*(O213-C208)*(O213-C209)/((C210-C208)*(C210-C209))</f>
        <v>0.86922903982698263</v>
      </c>
      <c r="I217" s="54">
        <f>1*(O213-C209)*(O213-C210)/((C208-C209)*(C208-C210))+0.903*(O213-C208)*(O213-C210)/((C209-C208)*(C209-C210))+0.76*(O213-C208)*(O213-C209)/((C210-C208)*(C210-C209))</f>
        <v>0.84101064118118396</v>
      </c>
      <c r="J217" s="43"/>
      <c r="K217" s="61" t="s">
        <v>33</v>
      </c>
      <c r="L217" s="62">
        <f>(100+(L215*2.75/-4))/100</f>
        <v>0.98526226934100125</v>
      </c>
      <c r="M217" s="42"/>
      <c r="N217" s="57" t="s">
        <v>43</v>
      </c>
      <c r="O217" s="58"/>
      <c r="P217" s="53"/>
      <c r="Q217" s="48">
        <v>-40</v>
      </c>
      <c r="R217" s="55">
        <f t="shared" si="12"/>
        <v>0.54999999999999993</v>
      </c>
      <c r="S217" s="56">
        <v>1.115E-2</v>
      </c>
    </row>
    <row r="218" spans="2:19" ht="20.100000000000001" customHeight="1">
      <c r="B218" s="43"/>
      <c r="C218" s="43"/>
      <c r="D218" s="43"/>
      <c r="E218" s="43"/>
      <c r="F218" s="43"/>
      <c r="G218" s="43"/>
      <c r="H218" s="43"/>
      <c r="I218" s="43"/>
      <c r="J218" s="42"/>
      <c r="K218" s="61" t="s">
        <v>35</v>
      </c>
      <c r="L218" s="62">
        <f>(100+(L216*4/-6.25))/100</f>
        <v>0.98295457619869409</v>
      </c>
      <c r="M218" s="42"/>
      <c r="N218" s="61">
        <f>MOD(H209,20/72)</f>
        <v>8.0177384044907263E-2</v>
      </c>
      <c r="O218" s="62">
        <f>MOD(I209,20/72)</f>
        <v>4.1574276894837281E-2</v>
      </c>
      <c r="P218" s="53"/>
      <c r="Q218" s="48">
        <v>-50</v>
      </c>
      <c r="R218" s="55">
        <f t="shared" si="12"/>
        <v>0.53999999999999992</v>
      </c>
      <c r="S218" s="56">
        <v>1.095E-2</v>
      </c>
    </row>
    <row r="219" spans="2:19" ht="20.100000000000001" customHeight="1">
      <c r="B219" s="43"/>
      <c r="C219" s="43"/>
      <c r="D219" s="43"/>
      <c r="E219" s="43"/>
      <c r="F219" s="43"/>
      <c r="G219" s="43"/>
      <c r="H219" s="43"/>
      <c r="I219" s="43"/>
      <c r="J219" s="43"/>
      <c r="K219" s="61" t="s">
        <v>36</v>
      </c>
      <c r="L219" s="62">
        <f>O213+L211-L215</f>
        <v>237.45209815386653</v>
      </c>
      <c r="M219" s="42"/>
      <c r="N219" s="61">
        <f>N218/(20/72)</f>
        <v>0.28863858256166613</v>
      </c>
      <c r="O219" s="62">
        <f>O218/(20/72)</f>
        <v>0.14966739682141419</v>
      </c>
      <c r="P219" s="53"/>
      <c r="Q219" s="48">
        <v>-60</v>
      </c>
      <c r="R219" s="55">
        <f t="shared" si="12"/>
        <v>0.52999999999999992</v>
      </c>
      <c r="S219" s="56">
        <v>1.0749999999999999E-2</v>
      </c>
    </row>
    <row r="220" spans="2:19" ht="20.100000000000001" customHeight="1">
      <c r="B220" s="43"/>
      <c r="C220" s="43"/>
      <c r="D220" s="43"/>
      <c r="E220" s="43"/>
      <c r="F220" s="43"/>
      <c r="G220" s="43"/>
      <c r="H220" s="43"/>
      <c r="I220" s="43"/>
      <c r="J220" s="43"/>
      <c r="K220" s="63" t="s">
        <v>37</v>
      </c>
      <c r="L220" s="64">
        <f>O213+L211+L216</f>
        <v>242.25911553685677</v>
      </c>
      <c r="M220" s="43"/>
      <c r="N220" s="61">
        <f>IF(N219&lt;0.288,ROUNDDOWN(N219,0),ROUNDUP(N219,0))</f>
        <v>1</v>
      </c>
      <c r="O220" s="62">
        <f>IF(O219&lt;0.288,ROUNDDOWN(O219,0),ROUNDUP(O219,0))</f>
        <v>0</v>
      </c>
      <c r="P220" s="53"/>
      <c r="Q220" s="48">
        <f>Index!$C$4</f>
        <v>4</v>
      </c>
      <c r="R220" s="68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0.59710697527886514</v>
      </c>
      <c r="S220" s="48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1.6066396227884815E-2</v>
      </c>
    </row>
    <row r="221" spans="2:19" ht="20.100000000000001" customHeight="1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61">
        <f>IF(N218&lt;0.08,30,N222)</f>
        <v>29</v>
      </c>
      <c r="O221" s="62">
        <f>IF(O218&lt;0.08,30,O222)</f>
        <v>30</v>
      </c>
      <c r="P221" s="43"/>
      <c r="Q221" s="42"/>
      <c r="R221" s="42"/>
      <c r="S221" s="42"/>
    </row>
    <row r="222" spans="2:19" ht="20.100000000000001" customHeight="1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63">
        <f>IF(N218&gt;(20/72)-0.08,30,29)</f>
        <v>29</v>
      </c>
      <c r="O222" s="64">
        <f>IF(O218&gt;(20/72)-0.08,30,29)</f>
        <v>29</v>
      </c>
      <c r="P222" s="43"/>
      <c r="Q222" s="43"/>
      <c r="R222" s="43"/>
      <c r="S222" s="43"/>
    </row>
    <row r="223" spans="2:19" ht="20.100000000000001" customHeight="1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</row>
    <row r="226" spans="2:20" ht="20.100000000000001" customHeight="1">
      <c r="B226" s="626" t="s">
        <v>69</v>
      </c>
      <c r="C226" s="628"/>
      <c r="D226" s="628"/>
      <c r="E226" s="627"/>
      <c r="F226" s="43"/>
      <c r="G226" s="629" t="s">
        <v>69</v>
      </c>
      <c r="H226" s="630"/>
      <c r="I226" s="631"/>
      <c r="J226" s="43"/>
      <c r="K226" s="48" t="s">
        <v>7</v>
      </c>
      <c r="L226" s="53"/>
      <c r="M226" s="43"/>
      <c r="N226" s="48" t="s">
        <v>8</v>
      </c>
      <c r="O226" s="54">
        <f>O227/0.2165</f>
        <v>5.092312694100583</v>
      </c>
      <c r="P226" s="43"/>
      <c r="Q226" s="48">
        <v>1</v>
      </c>
      <c r="R226" s="55">
        <v>0.59</v>
      </c>
      <c r="S226" s="56">
        <v>1.32E-2</v>
      </c>
      <c r="T226" s="43"/>
    </row>
    <row r="227" spans="2:20" ht="20.100000000000001" customHeight="1">
      <c r="B227" s="54" t="s">
        <v>5</v>
      </c>
      <c r="C227" s="48" t="s">
        <v>9</v>
      </c>
      <c r="D227" s="48" t="s">
        <v>10</v>
      </c>
      <c r="E227" s="54" t="s">
        <v>7</v>
      </c>
      <c r="F227" s="43"/>
      <c r="G227" s="54" t="s">
        <v>10</v>
      </c>
      <c r="H227" s="54">
        <f>H228/0.2165</f>
        <v>34.07137773622177</v>
      </c>
      <c r="I227" s="48">
        <f>I228/0.2165</f>
        <v>35.436011168977899</v>
      </c>
      <c r="J227" s="43"/>
      <c r="K227" s="57" t="s">
        <v>11</v>
      </c>
      <c r="L227" s="58">
        <f>O227*$O$3*Index!$D$4</f>
        <v>4.2227652139000318</v>
      </c>
      <c r="M227" s="43"/>
      <c r="N227" s="48" t="s">
        <v>12</v>
      </c>
      <c r="O227" s="48">
        <f>E228*(O233-C229)*(O233-C230)/((C228-C229)*(C228-C230))+E229*(O233-C228)*(O233-C230)/((C229-C228)*(C229-C230))+E230*(O233-C228)*(O233-C229)/((C230-C228)*(C230-C229))</f>
        <v>1.1024856982727762</v>
      </c>
      <c r="P227" s="43"/>
      <c r="Q227" s="48">
        <v>5</v>
      </c>
      <c r="R227" s="55">
        <f>R226+0.01</f>
        <v>0.6</v>
      </c>
      <c r="S227" s="56">
        <v>1.3599999999999999E-2</v>
      </c>
      <c r="T227" s="43"/>
    </row>
    <row r="228" spans="2:20" ht="20.100000000000001" customHeight="1">
      <c r="B228" s="59">
        <v>100</v>
      </c>
      <c r="C228" s="60">
        <v>251.4</v>
      </c>
      <c r="D228" s="60">
        <v>276</v>
      </c>
      <c r="E228" s="54">
        <f>D228/45*0.2165</f>
        <v>1.3278666666666668</v>
      </c>
      <c r="F228" s="43"/>
      <c r="G228" s="48" t="s">
        <v>7</v>
      </c>
      <c r="H228" s="48">
        <f>L229+O232+B234</f>
        <v>7.3764532798920133</v>
      </c>
      <c r="I228" s="48">
        <f>L230+O232+C234</f>
        <v>7.6718964180837155</v>
      </c>
      <c r="J228" s="43"/>
      <c r="K228" s="61" t="s">
        <v>13</v>
      </c>
      <c r="L228" s="62">
        <f>IF(L231&gt;0,L227*O230,L227*O231)</f>
        <v>4.1804495836598621</v>
      </c>
      <c r="M228" s="43"/>
      <c r="N228" s="48" t="s">
        <v>14</v>
      </c>
      <c r="O228" s="48">
        <f>H236*POWER(H235,(C228-O233))</f>
        <v>0.73985822974802518</v>
      </c>
      <c r="P228" s="42"/>
      <c r="Q228" s="48">
        <v>10</v>
      </c>
      <c r="R228" s="55">
        <f>R227+0.01</f>
        <v>0.61</v>
      </c>
      <c r="S228" s="56">
        <v>1.38E-2</v>
      </c>
      <c r="T228" s="43"/>
    </row>
    <row r="229" spans="2:20" ht="20.100000000000001" customHeight="1">
      <c r="B229" s="59">
        <v>90</v>
      </c>
      <c r="C229" s="60">
        <v>218.4</v>
      </c>
      <c r="D229" s="60">
        <v>188</v>
      </c>
      <c r="E229" s="54">
        <f>D229/45*0.2165</f>
        <v>0.9044888888888889</v>
      </c>
      <c r="F229" s="43"/>
      <c r="G229" s="48" t="s">
        <v>5</v>
      </c>
      <c r="H229" s="48">
        <f>IF(L239&lt;=C229,80+(L239-C230)/((C229-C230)/10),90+(L239-C229)/((C228-C229)/10))</f>
        <v>94.943605187252729</v>
      </c>
      <c r="I229" s="48">
        <f>IF(L240&lt;=C229,80+(L240-C230)/((C229-C230)/10),90+(L240-C229)/((C228-C229)/10))</f>
        <v>97.265568385416756</v>
      </c>
      <c r="J229" s="43"/>
      <c r="K229" s="61" t="s">
        <v>15</v>
      </c>
      <c r="L229" s="62">
        <f>L228*L237</f>
        <v>4.0844046851174554</v>
      </c>
      <c r="M229" s="43"/>
      <c r="N229" s="48" t="s">
        <v>16</v>
      </c>
      <c r="O229" s="48">
        <f>I236*POWER(I235,(C228-O233))</f>
        <v>0.80459771477718778</v>
      </c>
      <c r="P229" s="42"/>
      <c r="Q229" s="48">
        <v>15</v>
      </c>
      <c r="R229" s="55">
        <f>R228+0.01</f>
        <v>0.62</v>
      </c>
      <c r="S229" s="56">
        <v>1.4E-2</v>
      </c>
      <c r="T229" s="43"/>
    </row>
    <row r="230" spans="2:20" ht="20.100000000000001" customHeight="1">
      <c r="B230" s="59">
        <v>80</v>
      </c>
      <c r="C230" s="60">
        <v>186.8</v>
      </c>
      <c r="D230" s="60">
        <v>129</v>
      </c>
      <c r="E230" s="54">
        <f>D230/45*0.2165</f>
        <v>0.62063333333333337</v>
      </c>
      <c r="F230" s="43"/>
      <c r="G230" s="48" t="s">
        <v>17</v>
      </c>
      <c r="H230" s="48">
        <f>IF(N240=0,INDEX('R286'!H255:H363,(ROUNDDOWN(((H229-70)/(20/72)+1),0)),1),INDEX('R286'!H255:H363,(ROUNDUP(((H229-70)/(20/72))+1,0)),1))</f>
        <v>252.70000000000016</v>
      </c>
      <c r="I230" s="48">
        <f>IF(O240=0,INDEX('R286'!H255:H363,(ROUNDDOWN(((I229-70)/(20/72)+1),0)),1),INDEX('R286'!H255:H363,(ROUNDUP(((I229-70)/(20/72))+1,0)),1))</f>
        <v>258.6111111111112</v>
      </c>
      <c r="J230" s="43"/>
      <c r="K230" s="61" t="s">
        <v>18</v>
      </c>
      <c r="L230" s="62">
        <f>L228/L238</f>
        <v>4.299336706540859</v>
      </c>
      <c r="M230" s="43"/>
      <c r="N230" s="48" t="s">
        <v>19</v>
      </c>
      <c r="O230" s="48">
        <f>IF((O233&gt;0),((100+(L231/-H234))/100))</f>
        <v>0.98997916576065381</v>
      </c>
      <c r="P230" s="42"/>
      <c r="Q230" s="48">
        <v>20</v>
      </c>
      <c r="R230" s="55">
        <f>R229+0.01</f>
        <v>0.63</v>
      </c>
      <c r="S230" s="56">
        <v>1.43E-2</v>
      </c>
      <c r="T230" s="43"/>
    </row>
    <row r="231" spans="2:20" ht="20.100000000000001" customHeight="1">
      <c r="B231" s="43"/>
      <c r="C231" s="43"/>
      <c r="D231" s="43"/>
      <c r="E231" s="43"/>
      <c r="F231" s="43"/>
      <c r="G231" s="48" t="s">
        <v>39</v>
      </c>
      <c r="H231" s="48">
        <f>N241</f>
        <v>30</v>
      </c>
      <c r="I231" s="48">
        <f>O241</f>
        <v>30</v>
      </c>
      <c r="J231" s="43"/>
      <c r="K231" s="63" t="s">
        <v>21</v>
      </c>
      <c r="L231" s="64">
        <f>IF(Index!$C$4&gt;0,Index!$C$4*O228,Index!$C$4*O229)</f>
        <v>2.9594329189921007</v>
      </c>
      <c r="M231" s="43"/>
      <c r="N231" s="48" t="s">
        <v>22</v>
      </c>
      <c r="O231" s="48">
        <f>IF((O233&gt;0),((100+(L231/-I234))/100))</f>
        <v>0.98970093088761646</v>
      </c>
      <c r="P231" s="42"/>
      <c r="Q231" s="48">
        <f>Index!$C$4</f>
        <v>4</v>
      </c>
      <c r="R231" s="48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0.59777944862155385</v>
      </c>
      <c r="S231" s="48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1.3532144360902254E-2</v>
      </c>
      <c r="T231" s="43"/>
    </row>
    <row r="232" spans="2:20" ht="20.100000000000001" customHeight="1">
      <c r="B232" s="43"/>
      <c r="C232" s="43"/>
      <c r="D232" s="43"/>
      <c r="E232" s="43"/>
      <c r="F232" s="42"/>
      <c r="G232" s="54" t="s">
        <v>20</v>
      </c>
      <c r="H232" s="54">
        <f>H227/4</f>
        <v>8.5178444340554424</v>
      </c>
      <c r="I232" s="48">
        <f>I227/4</f>
        <v>8.8590027922444747</v>
      </c>
      <c r="J232" s="43"/>
      <c r="K232" s="53"/>
      <c r="L232" s="53"/>
      <c r="M232" s="43"/>
      <c r="N232" s="48" t="s">
        <v>23</v>
      </c>
      <c r="O232" s="48">
        <f>O227/4.05*Link!$L$11</f>
        <v>0</v>
      </c>
      <c r="P232" s="42"/>
      <c r="Q232" s="43"/>
      <c r="S232" s="43"/>
      <c r="T232" s="43"/>
    </row>
    <row r="233" spans="2:20" ht="20.100000000000001" customHeight="1">
      <c r="B233" s="632" t="s">
        <v>121</v>
      </c>
      <c r="C233" s="632"/>
      <c r="D233" s="43"/>
      <c r="E233" s="43"/>
      <c r="F233" s="43"/>
      <c r="G233" s="43"/>
      <c r="H233" s="43"/>
      <c r="I233" s="53"/>
      <c r="J233" s="43"/>
      <c r="K233" s="48" t="s">
        <v>25</v>
      </c>
      <c r="L233" s="53"/>
      <c r="M233" s="43"/>
      <c r="N233" s="48" t="s">
        <v>26</v>
      </c>
      <c r="O233" s="48">
        <f>'286'!$J$14</f>
        <v>235.09625</v>
      </c>
      <c r="P233" s="42"/>
      <c r="Q233" s="48">
        <v>-1</v>
      </c>
      <c r="R233" s="55">
        <v>0.62</v>
      </c>
      <c r="S233" s="56">
        <v>1.2699999999999999E-2</v>
      </c>
      <c r="T233" s="43"/>
    </row>
    <row r="234" spans="2:20" ht="20.100000000000001" customHeight="1">
      <c r="B234" s="60">
        <f>H229/100*(O226*0.2165)*Link!$C$7*0.87</f>
        <v>3.2920485947745584</v>
      </c>
      <c r="C234" s="48">
        <f>I229/100*(O226*0.2165)*Link!$C$7*0.87</f>
        <v>3.3725597115428565</v>
      </c>
      <c r="D234" s="43"/>
      <c r="E234" s="43"/>
      <c r="F234" s="43"/>
      <c r="G234" s="54" t="s">
        <v>24</v>
      </c>
      <c r="H234" s="48">
        <f>'inf 286'!G31</f>
        <v>2.9532799847861462</v>
      </c>
      <c r="I234" s="48">
        <f>'inf 286'!H31</f>
        <v>2.8734955428483127</v>
      </c>
      <c r="J234" s="43"/>
      <c r="K234" s="57" t="s">
        <v>28</v>
      </c>
      <c r="L234" s="58">
        <f>O227*Index!$D$4*$O$2</f>
        <v>3.5433207335317656</v>
      </c>
      <c r="M234" s="43"/>
      <c r="N234" s="43"/>
      <c r="O234" s="42"/>
      <c r="P234" s="42"/>
      <c r="Q234" s="48">
        <v>-10</v>
      </c>
      <c r="R234" s="55">
        <f t="shared" ref="R234:R239" si="13">R233-0.01</f>
        <v>0.61</v>
      </c>
      <c r="S234" s="56">
        <v>1.2500000000000001E-2</v>
      </c>
      <c r="T234" s="43"/>
    </row>
    <row r="235" spans="2:20" ht="20.100000000000001" customHeight="1">
      <c r="B235" s="43"/>
      <c r="C235" s="43"/>
      <c r="D235" s="43"/>
      <c r="E235" s="43"/>
      <c r="F235" s="43"/>
      <c r="G235" s="54" t="s">
        <v>27</v>
      </c>
      <c r="H235" s="48">
        <f>(1+(H237*S231))</f>
        <v>1.0131649023157807</v>
      </c>
      <c r="I235" s="48">
        <f>(1+(I237*S240))</f>
        <v>1.0154038118860733</v>
      </c>
      <c r="J235" s="43"/>
      <c r="K235" s="61" t="s">
        <v>30</v>
      </c>
      <c r="L235" s="62">
        <f>$O$5*Index!$D$4*O227*0.99*(1-(L231*0.016))</f>
        <v>3.3417858010580868</v>
      </c>
      <c r="M235" s="42"/>
      <c r="N235" s="54" t="s">
        <v>31</v>
      </c>
      <c r="O235" s="48">
        <f>O233+L231</f>
        <v>238.05568291899209</v>
      </c>
      <c r="P235" s="42"/>
      <c r="Q235" s="48">
        <v>-20</v>
      </c>
      <c r="R235" s="55">
        <f t="shared" si="13"/>
        <v>0.6</v>
      </c>
      <c r="S235" s="56">
        <v>1.23E-2</v>
      </c>
      <c r="T235" s="43"/>
    </row>
    <row r="236" spans="2:20" ht="20.100000000000001" customHeight="1">
      <c r="B236" s="43"/>
      <c r="C236" s="43"/>
      <c r="D236" s="43"/>
      <c r="E236" s="43"/>
      <c r="F236" s="43"/>
      <c r="G236" s="54" t="s">
        <v>29</v>
      </c>
      <c r="H236" s="48">
        <f>R231</f>
        <v>0.59777944862155385</v>
      </c>
      <c r="I236" s="48">
        <f>R240</f>
        <v>0.62710697527886872</v>
      </c>
      <c r="J236" s="43"/>
      <c r="K236" s="61" t="s">
        <v>32</v>
      </c>
      <c r="L236" s="62">
        <f>$O$5*Index!$D$4*O227*1.28*(1-(L231*0.016))</f>
        <v>4.3206927528831827</v>
      </c>
      <c r="M236" s="42"/>
      <c r="N236" s="43"/>
      <c r="O236" s="43"/>
      <c r="P236" s="53"/>
      <c r="Q236" s="48">
        <v>-30</v>
      </c>
      <c r="R236" s="55">
        <f t="shared" si="13"/>
        <v>0.59</v>
      </c>
      <c r="S236" s="56">
        <v>1.1350000000000001E-2</v>
      </c>
      <c r="T236" s="43"/>
    </row>
    <row r="237" spans="2:20" ht="20.100000000000001" customHeight="1">
      <c r="B237" s="43"/>
      <c r="C237" s="43"/>
      <c r="D237" s="43"/>
      <c r="E237" s="43"/>
      <c r="F237" s="43"/>
      <c r="G237" s="54">
        <v>180</v>
      </c>
      <c r="H237" s="54">
        <f>1.04*(O233-C229)*(O233-C230)/((C228-C229)*(C228-C230))+0.914*(O233-C228)*(O233-C230)/((C229-C228)*(C229-C230))+0.83*(O233-C228)*(O233-C229)/((C230-C228)*(C230-C229))</f>
        <v>0.97286150403607941</v>
      </c>
      <c r="I237" s="54">
        <f>1*(O233-C229)*(O233-C230)/((C228-C229)*(C228-C230))+0.903*(O233-C228)*(O233-C230)/((C229-C228)*(C229-C230))+0.76*(O233-C228)*(O233-C229)/((C230-C228)*(C230-C229))</f>
        <v>0.95875961650556563</v>
      </c>
      <c r="J237" s="43"/>
      <c r="K237" s="61" t="s">
        <v>33</v>
      </c>
      <c r="L237" s="62">
        <f>(100+(L235*2.75/-4))/100</f>
        <v>0.97702522261772573</v>
      </c>
      <c r="M237" s="42"/>
      <c r="N237" s="57" t="s">
        <v>43</v>
      </c>
      <c r="O237" s="58"/>
      <c r="P237" s="53"/>
      <c r="Q237" s="48">
        <v>-40</v>
      </c>
      <c r="R237" s="55">
        <f t="shared" si="13"/>
        <v>0.57999999999999996</v>
      </c>
      <c r="S237" s="56">
        <v>1.115E-2</v>
      </c>
      <c r="T237" s="43"/>
    </row>
    <row r="238" spans="2:20" ht="20.100000000000001" customHeight="1">
      <c r="B238" s="43"/>
      <c r="C238" s="43"/>
      <c r="D238" s="43"/>
      <c r="E238" s="43"/>
      <c r="F238" s="43"/>
      <c r="G238" s="43"/>
      <c r="H238" s="43"/>
      <c r="I238" s="43"/>
      <c r="J238" s="42"/>
      <c r="K238" s="61" t="s">
        <v>35</v>
      </c>
      <c r="L238" s="62">
        <f>(100+(L236*4/-6.25))/100</f>
        <v>0.97234756638154762</v>
      </c>
      <c r="M238" s="42"/>
      <c r="N238" s="61">
        <f>MOD(H229,20/72)</f>
        <v>0.22138296503050225</v>
      </c>
      <c r="O238" s="62">
        <f>MOD(I229,20/72)</f>
        <v>4.3346163194529774E-2</v>
      </c>
      <c r="P238" s="53"/>
      <c r="Q238" s="48">
        <v>-50</v>
      </c>
      <c r="R238" s="55">
        <f t="shared" si="13"/>
        <v>0.56999999999999995</v>
      </c>
      <c r="S238" s="56">
        <v>1.095E-2</v>
      </c>
      <c r="T238" s="43"/>
    </row>
    <row r="239" spans="2:20" ht="20.100000000000001" customHeight="1">
      <c r="B239" s="43"/>
      <c r="C239" s="43"/>
      <c r="D239" s="43"/>
      <c r="E239" s="43"/>
      <c r="F239" s="43"/>
      <c r="G239" s="43"/>
      <c r="H239" s="43"/>
      <c r="I239" s="43"/>
      <c r="J239" s="43"/>
      <c r="K239" s="61" t="s">
        <v>36</v>
      </c>
      <c r="L239" s="62">
        <f>O233+L231-L235</f>
        <v>234.71389711793401</v>
      </c>
      <c r="M239" s="42"/>
      <c r="N239" s="61">
        <f>N238/(20/72)</f>
        <v>0.79697867410980805</v>
      </c>
      <c r="O239" s="62">
        <f>O238/(20/72)</f>
        <v>0.15604618750030719</v>
      </c>
      <c r="P239" s="53"/>
      <c r="Q239" s="48">
        <v>-60</v>
      </c>
      <c r="R239" s="55">
        <f t="shared" si="13"/>
        <v>0.55999999999999994</v>
      </c>
      <c r="S239" s="56">
        <v>1.0749999999999999E-2</v>
      </c>
      <c r="T239" s="43"/>
    </row>
    <row r="240" spans="2:20" ht="20.100000000000001" customHeight="1">
      <c r="B240" s="43"/>
      <c r="C240" s="43"/>
      <c r="D240" s="43"/>
      <c r="E240" s="43"/>
      <c r="F240" s="43"/>
      <c r="G240" s="43"/>
      <c r="H240" s="43"/>
      <c r="I240" s="43"/>
      <c r="J240" s="43"/>
      <c r="K240" s="63" t="s">
        <v>37</v>
      </c>
      <c r="L240" s="64">
        <f>O233+L231+L236</f>
        <v>242.37637567187528</v>
      </c>
      <c r="M240" s="43"/>
      <c r="N240" s="61">
        <f>IF(N239&lt;0.288,ROUNDDOWN(N239,0),ROUNDUP(N239,0))</f>
        <v>1</v>
      </c>
      <c r="O240" s="62">
        <f>IF(O239&lt;0.288,ROUNDDOWN(O239,0),ROUNDUP(O239,0))</f>
        <v>0</v>
      </c>
      <c r="P240" s="53"/>
      <c r="Q240" s="48">
        <f>Index!$C$4</f>
        <v>4</v>
      </c>
      <c r="R240" s="68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0.62710697527886872</v>
      </c>
      <c r="S240" s="48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1.6066396227884815E-2</v>
      </c>
      <c r="T240" s="43"/>
    </row>
    <row r="241" spans="2:20" ht="20.100000000000001" customHeight="1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61">
        <f>IF(N238&lt;0.08,30,N242)</f>
        <v>30</v>
      </c>
      <c r="O241" s="62">
        <f>IF(O238&lt;0.08,30,O242)</f>
        <v>30</v>
      </c>
      <c r="P241" s="43"/>
      <c r="Q241" s="42"/>
      <c r="R241" s="42"/>
      <c r="S241" s="42"/>
      <c r="T241" s="43"/>
    </row>
    <row r="242" spans="2:20" ht="20.100000000000001" customHeight="1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63">
        <f>IF(N238&gt;(20/72)-0.08,30,29)</f>
        <v>30</v>
      </c>
      <c r="O242" s="64">
        <f>IF(O238&gt;(20/72)-0.08,30,29)</f>
        <v>29</v>
      </c>
      <c r="P242" s="43"/>
      <c r="Q242" s="43"/>
      <c r="R242" s="43"/>
      <c r="S242" s="43"/>
      <c r="T242" s="43"/>
    </row>
    <row r="243" spans="2:20" ht="20.100000000000001" customHeight="1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</row>
    <row r="244" spans="2:20" ht="20.100000000000001" customHeight="1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</row>
    <row r="245" spans="2:20" ht="20.100000000000001" customHeight="1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</row>
    <row r="246" spans="2:20" ht="20.100000000000001" customHeight="1">
      <c r="B246" s="626" t="s">
        <v>70</v>
      </c>
      <c r="C246" s="628"/>
      <c r="D246" s="628"/>
      <c r="E246" s="627"/>
      <c r="F246" s="43"/>
      <c r="G246" s="629" t="s">
        <v>70</v>
      </c>
      <c r="H246" s="630"/>
      <c r="I246" s="631"/>
      <c r="J246" s="43"/>
      <c r="K246" s="48" t="s">
        <v>7</v>
      </c>
      <c r="L246" s="53"/>
      <c r="M246" s="43"/>
      <c r="N246" s="48" t="s">
        <v>8</v>
      </c>
      <c r="O246" s="54">
        <f>O247/0.2165</f>
        <v>6.3486988016254875</v>
      </c>
      <c r="P246" s="43"/>
      <c r="Q246" s="48">
        <v>1</v>
      </c>
      <c r="R246" s="55">
        <v>0.56999999999999995</v>
      </c>
      <c r="S246" s="56">
        <v>1.37E-2</v>
      </c>
      <c r="T246" s="43"/>
    </row>
    <row r="247" spans="2:20" ht="20.100000000000001" customHeight="1">
      <c r="B247" s="54" t="s">
        <v>5</v>
      </c>
      <c r="C247" s="48" t="s">
        <v>9</v>
      </c>
      <c r="D247" s="48" t="s">
        <v>10</v>
      </c>
      <c r="E247" s="54" t="s">
        <v>7</v>
      </c>
      <c r="F247" s="43"/>
      <c r="G247" s="54" t="s">
        <v>10</v>
      </c>
      <c r="H247" s="54">
        <f>H248/0.2165</f>
        <v>41.122821885553591</v>
      </c>
      <c r="I247" s="48">
        <f>I248/0.2165</f>
        <v>43.261307053323527</v>
      </c>
      <c r="J247" s="43"/>
      <c r="K247" s="57" t="s">
        <v>11</v>
      </c>
      <c r="L247" s="58">
        <f>O247*$O$3*Index!$D$4</f>
        <v>5.2646147366580784</v>
      </c>
      <c r="M247" s="43"/>
      <c r="N247" s="48" t="s">
        <v>12</v>
      </c>
      <c r="O247" s="48">
        <f>E248*(O253-C249)*(O253-C250)/((C248-C249)*(C248-C250))+E249*(O253-C248)*(O253-C250)/((C249-C248)*(C249-C250))+E250*(O253-C248)*(O253-C249)/((C250-C248)*(C250-C249))</f>
        <v>1.374493290551918</v>
      </c>
      <c r="P247" s="43"/>
      <c r="Q247" s="48">
        <v>5</v>
      </c>
      <c r="R247" s="55">
        <f>R246+0.01</f>
        <v>0.57999999999999996</v>
      </c>
      <c r="S247" s="56">
        <v>1.41E-2</v>
      </c>
    </row>
    <row r="248" spans="2:20" ht="20.100000000000001" customHeight="1">
      <c r="B248" s="59">
        <v>100</v>
      </c>
      <c r="C248" s="60">
        <v>233</v>
      </c>
      <c r="D248" s="60">
        <v>279</v>
      </c>
      <c r="E248" s="54">
        <f>D248/45*0.2165</f>
        <v>1.3423</v>
      </c>
      <c r="F248" s="43"/>
      <c r="G248" s="48" t="s">
        <v>7</v>
      </c>
      <c r="H248" s="48">
        <f>L249+O252+B254</f>
        <v>8.903090938222352</v>
      </c>
      <c r="I248" s="48">
        <f>L250+O252+C254</f>
        <v>9.3660729770445439</v>
      </c>
      <c r="J248" s="43"/>
      <c r="K248" s="61" t="s">
        <v>13</v>
      </c>
      <c r="L248" s="62">
        <f>IF(L251&gt;0,L247*O250,L247*O251)</f>
        <v>5.2271134579912681</v>
      </c>
      <c r="M248" s="43"/>
      <c r="N248" s="48" t="s">
        <v>14</v>
      </c>
      <c r="O248" s="48">
        <f>H256*POWER(H255,(C248-O253))</f>
        <v>0.56033079557262344</v>
      </c>
      <c r="P248" s="42"/>
      <c r="Q248" s="48">
        <v>10</v>
      </c>
      <c r="R248" s="55">
        <f>R247+0.01</f>
        <v>0.59</v>
      </c>
      <c r="S248" s="56">
        <v>1.43E-2</v>
      </c>
    </row>
    <row r="249" spans="2:20" ht="20.100000000000001" customHeight="1">
      <c r="B249" s="59">
        <v>90</v>
      </c>
      <c r="C249" s="60">
        <v>202.8</v>
      </c>
      <c r="D249" s="60">
        <v>195</v>
      </c>
      <c r="E249" s="54">
        <f>D249/45*0.2165</f>
        <v>0.93816666666666659</v>
      </c>
      <c r="F249" s="43"/>
      <c r="G249" s="48" t="s">
        <v>5</v>
      </c>
      <c r="H249" s="48">
        <f>IF(L259&lt;=C249,80+(L259-C250)/((C249-C250)/10),90+(L259-C249)/((C248-C249)/10))</f>
        <v>100.04008149164767</v>
      </c>
      <c r="I249" s="48">
        <f>IF(L260&lt;=C249,80+(L260-C250)/((C249-C250)/10),90+(L260-C249)/((C248-C249)/10))</f>
        <v>103.24147170703264</v>
      </c>
      <c r="J249" s="43"/>
      <c r="K249" s="61" t="s">
        <v>15</v>
      </c>
      <c r="L249" s="62">
        <f>L248*L257</f>
        <v>5.0755866331403503</v>
      </c>
      <c r="M249" s="43"/>
      <c r="N249" s="48" t="s">
        <v>16</v>
      </c>
      <c r="O249" s="48">
        <f>I256*POWER(I255,(C248-O253))</f>
        <v>0.56772741847027031</v>
      </c>
      <c r="P249" s="42"/>
      <c r="Q249" s="48">
        <v>15</v>
      </c>
      <c r="R249" s="55">
        <f>R248+0.01</f>
        <v>0.6</v>
      </c>
      <c r="S249" s="56">
        <v>1.4500000000000001E-2</v>
      </c>
    </row>
    <row r="250" spans="2:20" ht="20.100000000000001" customHeight="1">
      <c r="B250" s="59">
        <v>80</v>
      </c>
      <c r="C250" s="60">
        <v>174.3</v>
      </c>
      <c r="D250" s="60">
        <v>137</v>
      </c>
      <c r="E250" s="54">
        <f>D250/45*0.2165</f>
        <v>0.65912222222222216</v>
      </c>
      <c r="F250" s="43"/>
      <c r="G250" s="48" t="s">
        <v>17</v>
      </c>
      <c r="H250" s="48">
        <f>IF(N260=0,INDEX('R286'!K255:K363,(ROUNDDOWN(((H249-70)/(20/72)+1),0)),1),INDEX('R286'!K255:K363,(ROUNDUP(((H249-70)/(20/72))+1,0)),1))</f>
        <v>246</v>
      </c>
      <c r="I250" s="48" t="e">
        <f>IF(O260=0,INDEX('R286'!K255:K363,(ROUNDDOWN(((I249-70)/(20/72)+1),0)),1),INDEX('R286'!K255:K363,(ROUNDUP(((I249-70)/(20/72))+1,0)),1))</f>
        <v>#REF!</v>
      </c>
      <c r="J250" s="43"/>
      <c r="K250" s="61" t="s">
        <v>18</v>
      </c>
      <c r="L250" s="62">
        <f>L248/L258</f>
        <v>5.4160844171625664</v>
      </c>
      <c r="M250" s="43"/>
      <c r="N250" s="48" t="s">
        <v>19</v>
      </c>
      <c r="O250" s="48">
        <f>IF((O253&gt;0),((100+(L251/-H254))/100))</f>
        <v>0.99287672877453215</v>
      </c>
      <c r="P250" s="42"/>
      <c r="Q250" s="48">
        <v>20</v>
      </c>
      <c r="R250" s="55">
        <f>R249+0.01</f>
        <v>0.61</v>
      </c>
      <c r="S250" s="56">
        <v>1.4800000000000001E-2</v>
      </c>
    </row>
    <row r="251" spans="2:20" ht="20.100000000000001" customHeight="1">
      <c r="B251" s="43"/>
      <c r="C251" s="43"/>
      <c r="D251" s="43"/>
      <c r="E251" s="43"/>
      <c r="F251" s="43"/>
      <c r="G251" s="48" t="s">
        <v>39</v>
      </c>
      <c r="H251" s="48">
        <f>N261</f>
        <v>30</v>
      </c>
      <c r="I251" s="48">
        <f>O261</f>
        <v>29</v>
      </c>
      <c r="J251" s="43"/>
      <c r="K251" s="63" t="s">
        <v>21</v>
      </c>
      <c r="L251" s="64">
        <f>IF(Index!$C$4&gt;0,Index!$C$4*O248,Index!$C$4*O249)</f>
        <v>2.2413231822904938</v>
      </c>
      <c r="M251" s="43"/>
      <c r="N251" s="48" t="s">
        <v>22</v>
      </c>
      <c r="O251" s="48">
        <f>IF((O253&gt;0),((100+(L251/-I254))/100))</f>
        <v>0.99293893007701328</v>
      </c>
      <c r="P251" s="42"/>
      <c r="Q251" s="48">
        <f>Index!$C$4</f>
        <v>4</v>
      </c>
      <c r="R251" s="48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0.57777944862155373</v>
      </c>
      <c r="S251" s="48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1.4032144360902256E-2</v>
      </c>
    </row>
    <row r="252" spans="2:20" ht="20.100000000000001" customHeight="1">
      <c r="B252" s="43"/>
      <c r="C252" s="43"/>
      <c r="D252" s="43"/>
      <c r="E252" s="43"/>
      <c r="F252" s="42"/>
      <c r="G252" s="54" t="s">
        <v>20</v>
      </c>
      <c r="H252" s="54">
        <f>H247/4</f>
        <v>10.280705471388398</v>
      </c>
      <c r="I252" s="48">
        <f>I247/4</f>
        <v>10.815326763330882</v>
      </c>
      <c r="J252" s="43"/>
      <c r="K252" s="53"/>
      <c r="L252" s="53"/>
      <c r="M252" s="43"/>
      <c r="N252" s="48" t="s">
        <v>23</v>
      </c>
      <c r="O252" s="48">
        <f>O247/4.05*Link!$L$11</f>
        <v>0</v>
      </c>
      <c r="P252" s="42"/>
      <c r="Q252" s="43"/>
      <c r="S252" s="43"/>
    </row>
    <row r="253" spans="2:20" ht="20.100000000000001" customHeight="1">
      <c r="B253" s="632" t="s">
        <v>121</v>
      </c>
      <c r="C253" s="632"/>
      <c r="D253" s="43"/>
      <c r="E253" s="43"/>
      <c r="F253" s="43"/>
      <c r="G253" s="43"/>
      <c r="H253" s="43"/>
      <c r="I253" s="53"/>
      <c r="J253" s="43"/>
      <c r="K253" s="48" t="s">
        <v>25</v>
      </c>
      <c r="L253" s="53"/>
      <c r="M253" s="43"/>
      <c r="N253" s="48" t="s">
        <v>26</v>
      </c>
      <c r="O253" s="48">
        <f>'286'!$J$14</f>
        <v>235.09625</v>
      </c>
      <c r="P253" s="42"/>
      <c r="Q253" s="48">
        <v>-1</v>
      </c>
      <c r="R253" s="55">
        <v>0.57999999999999996</v>
      </c>
      <c r="S253" s="56">
        <v>1.2699999999999999E-2</v>
      </c>
    </row>
    <row r="254" spans="2:20" ht="20.100000000000001" customHeight="1">
      <c r="B254" s="60">
        <f>H249/100*(O246*0.2165)*Link!$C$7*0.77</f>
        <v>3.8275043050820012</v>
      </c>
      <c r="C254" s="48">
        <f>I249/100*(O246*0.2165)*Link!$C$7*0.77</f>
        <v>3.9499885598819771</v>
      </c>
      <c r="D254" s="43"/>
      <c r="E254" s="43"/>
      <c r="F254" s="43"/>
      <c r="G254" s="54" t="s">
        <v>24</v>
      </c>
      <c r="H254" s="48">
        <f>'inf 286'!G37</f>
        <v>3.1464801933655013</v>
      </c>
      <c r="I254" s="48">
        <f>'inf 286'!H37</f>
        <v>3.1741976877952527</v>
      </c>
      <c r="J254" s="43"/>
      <c r="K254" s="57" t="s">
        <v>28</v>
      </c>
      <c r="L254" s="58">
        <f>O247*Index!$D$4*$O$2</f>
        <v>4.417536283820267</v>
      </c>
      <c r="M254" s="43"/>
      <c r="N254" s="43"/>
      <c r="O254" s="42"/>
      <c r="P254" s="42"/>
      <c r="Q254" s="48">
        <v>-10</v>
      </c>
      <c r="R254" s="55">
        <f t="shared" ref="R254:R259" si="14">R253-0.01</f>
        <v>0.56999999999999995</v>
      </c>
      <c r="S254" s="56">
        <v>1.2500000000000001E-2</v>
      </c>
    </row>
    <row r="255" spans="2:20" ht="20.100000000000001" customHeight="1">
      <c r="B255" s="43"/>
      <c r="C255" s="43"/>
      <c r="D255" s="43"/>
      <c r="E255" s="43"/>
      <c r="F255" s="43"/>
      <c r="G255" s="54" t="s">
        <v>27</v>
      </c>
      <c r="H255" s="48">
        <f>(1+(H257*S251))</f>
        <v>1.0147359767015633</v>
      </c>
      <c r="I255" s="48">
        <f>(1+(I257*S260))</f>
        <v>1.0161411128774354</v>
      </c>
      <c r="J255" s="43"/>
      <c r="K255" s="61" t="s">
        <v>30</v>
      </c>
      <c r="L255" s="62">
        <f>$O$5*Index!$D$4*O247*0.99*(1-(L251*0.016))</f>
        <v>4.2165270775145371</v>
      </c>
      <c r="M255" s="42"/>
      <c r="N255" s="54" t="s">
        <v>31</v>
      </c>
      <c r="O255" s="48">
        <f>O253+L251</f>
        <v>237.3375731822905</v>
      </c>
      <c r="P255" s="42"/>
      <c r="Q255" s="48">
        <v>-20</v>
      </c>
      <c r="R255" s="55">
        <f t="shared" si="14"/>
        <v>0.55999999999999994</v>
      </c>
      <c r="S255" s="56">
        <v>1.23E-2</v>
      </c>
    </row>
    <row r="256" spans="2:20" ht="20.100000000000001" customHeight="1">
      <c r="B256" s="43"/>
      <c r="C256" s="43"/>
      <c r="D256" s="43"/>
      <c r="E256" s="43"/>
      <c r="F256" s="43"/>
      <c r="G256" s="54" t="s">
        <v>29</v>
      </c>
      <c r="H256" s="48">
        <f>R251</f>
        <v>0.57777944862155373</v>
      </c>
      <c r="I256" s="48">
        <f>R260</f>
        <v>0.58710697527886591</v>
      </c>
      <c r="J256" s="43"/>
      <c r="K256" s="61" t="s">
        <v>32</v>
      </c>
      <c r="L256" s="62">
        <f>$O$5*Index!$D$4*O247*1.28*(1-(L251*0.016))</f>
        <v>5.4516713729480895</v>
      </c>
      <c r="M256" s="42"/>
      <c r="N256" s="43"/>
      <c r="O256" s="43"/>
      <c r="P256" s="53"/>
      <c r="Q256" s="48">
        <v>-30</v>
      </c>
      <c r="R256" s="55">
        <f t="shared" si="14"/>
        <v>0.54999999999999993</v>
      </c>
      <c r="S256" s="56">
        <v>1.1350000000000001E-2</v>
      </c>
    </row>
    <row r="257" spans="2:19" ht="20.100000000000001" customHeight="1">
      <c r="B257" s="43"/>
      <c r="C257" s="43"/>
      <c r="D257" s="43"/>
      <c r="E257" s="43"/>
      <c r="F257" s="43"/>
      <c r="G257" s="54">
        <v>180</v>
      </c>
      <c r="H257" s="54">
        <f>1.04*(O253-C249)*(O253-C250)/((C248-C249)*(C248-C250))+0.914*(O253-C248)*(O253-C250)/((C249-C248)*(C249-C250))+0.83*(O253-C248)*(O253-C249)/((C250-C248)*(C250-C249))</f>
        <v>1.0501585732414562</v>
      </c>
      <c r="I257" s="54">
        <f>1*(O253-C249)*(O253-C250)/((C248-C249)*(C248-C250))+0.903*(O253-C248)*(O253-C250)/((C249-C248)*(C249-C250))+0.76*(O253-C248)*(O253-C249)/((C250-C248)*(C250-C249))</f>
        <v>1.0046504921508752</v>
      </c>
      <c r="J257" s="43"/>
      <c r="K257" s="61" t="s">
        <v>33</v>
      </c>
      <c r="L257" s="62">
        <f>(100+(L255*2.75/-4))/100</f>
        <v>0.97101137634208756</v>
      </c>
      <c r="M257" s="42"/>
      <c r="N257" s="57" t="s">
        <v>43</v>
      </c>
      <c r="O257" s="58"/>
      <c r="P257" s="53"/>
      <c r="Q257" s="48">
        <v>-40</v>
      </c>
      <c r="R257" s="55">
        <f t="shared" si="14"/>
        <v>0.53999999999999992</v>
      </c>
      <c r="S257" s="56">
        <v>1.115E-2</v>
      </c>
    </row>
    <row r="258" spans="2:19" ht="20.100000000000001" customHeight="1">
      <c r="B258" s="43"/>
      <c r="C258" s="43"/>
      <c r="D258" s="43"/>
      <c r="E258" s="43"/>
      <c r="F258" s="43"/>
      <c r="G258" s="43"/>
      <c r="H258" s="43"/>
      <c r="I258" s="43"/>
      <c r="J258" s="42"/>
      <c r="K258" s="61" t="s">
        <v>35</v>
      </c>
      <c r="L258" s="62">
        <f>(100+(L256*4/-6.25))/100</f>
        <v>0.96510930321313226</v>
      </c>
      <c r="M258" s="42"/>
      <c r="N258" s="61">
        <f>MOD(H249,20/72)</f>
        <v>4.0081491647664613E-2</v>
      </c>
      <c r="O258" s="62">
        <f>MOD(I249,20/72)</f>
        <v>0.18591615147708451</v>
      </c>
      <c r="P258" s="53"/>
      <c r="Q258" s="48">
        <v>-50</v>
      </c>
      <c r="R258" s="55">
        <f t="shared" si="14"/>
        <v>0.52999999999999992</v>
      </c>
      <c r="S258" s="56">
        <v>1.095E-2</v>
      </c>
    </row>
    <row r="259" spans="2:19" ht="20.100000000000001" customHeight="1">
      <c r="B259" s="43"/>
      <c r="C259" s="43"/>
      <c r="D259" s="43"/>
      <c r="E259" s="43"/>
      <c r="F259" s="43"/>
      <c r="G259" s="43"/>
      <c r="H259" s="43"/>
      <c r="I259" s="43"/>
      <c r="J259" s="43"/>
      <c r="K259" s="61" t="s">
        <v>36</v>
      </c>
      <c r="L259" s="62">
        <f>O253+L251-L255</f>
        <v>233.12104610477596</v>
      </c>
      <c r="M259" s="42"/>
      <c r="N259" s="61">
        <f>N258/(20/72)</f>
        <v>0.14429336993159261</v>
      </c>
      <c r="O259" s="62">
        <f>O258/(20/72)</f>
        <v>0.6692981453175042</v>
      </c>
      <c r="P259" s="53"/>
      <c r="Q259" s="48">
        <v>-60</v>
      </c>
      <c r="R259" s="55">
        <f t="shared" si="14"/>
        <v>0.51999999999999991</v>
      </c>
      <c r="S259" s="56">
        <v>1.0749999999999999E-2</v>
      </c>
    </row>
    <row r="260" spans="2:19" ht="20.100000000000001" customHeight="1">
      <c r="B260" s="43"/>
      <c r="C260" s="43"/>
      <c r="D260" s="43"/>
      <c r="E260" s="43"/>
      <c r="F260" s="43"/>
      <c r="G260" s="43"/>
      <c r="H260" s="43"/>
      <c r="I260" s="43"/>
      <c r="J260" s="43"/>
      <c r="K260" s="63" t="s">
        <v>37</v>
      </c>
      <c r="L260" s="64">
        <f>O253+L251+L256</f>
        <v>242.78924455523858</v>
      </c>
      <c r="M260" s="43"/>
      <c r="N260" s="61">
        <f>IF(N259&lt;0.288,ROUNDDOWN(N259,0),ROUNDUP(N259,0))</f>
        <v>0</v>
      </c>
      <c r="O260" s="62">
        <f>IF(O259&lt;0.288,ROUNDDOWN(O259,0),ROUNDUP(O259,0))</f>
        <v>1</v>
      </c>
      <c r="P260" s="53"/>
      <c r="Q260" s="48">
        <f>Index!$C$4</f>
        <v>4</v>
      </c>
      <c r="R260" s="68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0.58710697527886591</v>
      </c>
      <c r="S260" s="48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1.6066396227884815E-2</v>
      </c>
    </row>
    <row r="261" spans="2:19" ht="20.100000000000001" customHeight="1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61">
        <f>IF(N258&lt;0.08,30,N262)</f>
        <v>30</v>
      </c>
      <c r="O261" s="62">
        <f>IF(O258&lt;0.08,30,O262)</f>
        <v>29</v>
      </c>
      <c r="P261" s="43"/>
      <c r="Q261" s="42"/>
      <c r="R261" s="42"/>
      <c r="S261" s="42"/>
    </row>
    <row r="262" spans="2:19" ht="20.100000000000001" customHeight="1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63">
        <f>IF(N258&gt;(20/72)-0.08,30,29)</f>
        <v>29</v>
      </c>
      <c r="O262" s="64">
        <f>IF(O258&gt;(20/72)-0.08,30,29)</f>
        <v>29</v>
      </c>
      <c r="P262" s="43"/>
      <c r="Q262" s="43"/>
      <c r="R262" s="43"/>
      <c r="S262" s="43"/>
    </row>
    <row r="263" spans="2:19" ht="20.100000000000001" customHeight="1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</row>
    <row r="266" spans="2:19" ht="20.100000000000001" customHeight="1">
      <c r="B266" s="626" t="s">
        <v>71</v>
      </c>
      <c r="C266" s="628"/>
      <c r="D266" s="628"/>
      <c r="E266" s="627"/>
      <c r="F266" s="43"/>
      <c r="G266" s="629" t="s">
        <v>71</v>
      </c>
      <c r="H266" s="630"/>
      <c r="I266" s="631"/>
      <c r="J266" s="43"/>
      <c r="K266" s="48" t="s">
        <v>7</v>
      </c>
      <c r="L266" s="53"/>
      <c r="M266" s="43"/>
      <c r="N266" s="48" t="s">
        <v>8</v>
      </c>
      <c r="O266" s="54">
        <f>O267/0.2165</f>
        <v>2.51156004428482</v>
      </c>
      <c r="P266" s="43"/>
      <c r="Q266" s="48">
        <v>1</v>
      </c>
      <c r="R266" s="55">
        <v>0.59</v>
      </c>
      <c r="S266" s="56">
        <v>1.2699999999999999E-2</v>
      </c>
    </row>
    <row r="267" spans="2:19" ht="20.100000000000001" customHeight="1">
      <c r="B267" s="54" t="s">
        <v>5</v>
      </c>
      <c r="C267" s="48" t="s">
        <v>9</v>
      </c>
      <c r="D267" s="48" t="s">
        <v>10</v>
      </c>
      <c r="E267" s="54" t="s">
        <v>7</v>
      </c>
      <c r="F267" s="43"/>
      <c r="G267" s="54" t="s">
        <v>10</v>
      </c>
      <c r="H267" s="54">
        <f>H268/0.2165</f>
        <v>16.379798051995891</v>
      </c>
      <c r="I267" s="48">
        <f>I268/0.2165</f>
        <v>16.695995456852952</v>
      </c>
      <c r="J267" s="43"/>
      <c r="K267" s="57" t="s">
        <v>11</v>
      </c>
      <c r="L267" s="58">
        <f>O267*$O$3*Index!$D$4</f>
        <v>2.082693861261474</v>
      </c>
      <c r="M267" s="43"/>
      <c r="N267" s="48" t="s">
        <v>12</v>
      </c>
      <c r="O267" s="48">
        <f>E268*(O273-C269)*(O273-C270)/((C268-C269)*(C268-C270))+E269*(O273-C268)*(O273-C270)/((C269-C268)*(C269-C270))+E270*(O273-C268)*(O273-C269)/((C270-C268)*(C270-C269))</f>
        <v>0.54375274958766351</v>
      </c>
      <c r="P267" s="43"/>
      <c r="Q267" s="48">
        <v>5</v>
      </c>
      <c r="R267" s="55">
        <f>R266+0.01</f>
        <v>0.6</v>
      </c>
      <c r="S267" s="56">
        <v>1.3100000000000001E-2</v>
      </c>
    </row>
    <row r="268" spans="2:19" ht="20.100000000000001" customHeight="1">
      <c r="B268" s="59">
        <v>100</v>
      </c>
      <c r="C268" s="60">
        <v>322.2</v>
      </c>
      <c r="D268" s="60">
        <v>275</v>
      </c>
      <c r="E268" s="54">
        <f>D268/45*0.2165</f>
        <v>1.3230555555555554</v>
      </c>
      <c r="F268" s="43"/>
      <c r="G268" s="48" t="s">
        <v>7</v>
      </c>
      <c r="H268" s="48">
        <f>L269+O272+B274</f>
        <v>3.5462262782571106</v>
      </c>
      <c r="I268" s="48">
        <f>L270+O272+C274</f>
        <v>3.6146830164086641</v>
      </c>
      <c r="J268" s="43"/>
      <c r="K268" s="61" t="s">
        <v>13</v>
      </c>
      <c r="L268" s="62">
        <f>IF(L271&gt;0,L267*O270,L267*O271)</f>
        <v>2.0314794344503389</v>
      </c>
      <c r="M268" s="43"/>
      <c r="N268" s="48" t="s">
        <v>14</v>
      </c>
      <c r="O268" s="48">
        <f>H276*POWER(H275,(C268-O273))</f>
        <v>1.4826923711507201</v>
      </c>
      <c r="P268" s="42"/>
      <c r="Q268" s="48">
        <v>10</v>
      </c>
      <c r="R268" s="55">
        <f>R267+0.01</f>
        <v>0.61</v>
      </c>
      <c r="S268" s="56">
        <v>1.3299999999999999E-2</v>
      </c>
    </row>
    <row r="269" spans="2:19" ht="20.100000000000001" customHeight="1">
      <c r="B269" s="59">
        <v>90</v>
      </c>
      <c r="C269" s="60">
        <v>286.3</v>
      </c>
      <c r="D269" s="60">
        <v>189</v>
      </c>
      <c r="E269" s="54">
        <f>D269/45*0.2165</f>
        <v>0.9093</v>
      </c>
      <c r="F269" s="43"/>
      <c r="G269" s="48" t="s">
        <v>5</v>
      </c>
      <c r="H269" s="48">
        <f>IF(L279&lt;=C269,80+(L279-C270)/((C269-C270)/10),90+(L279-C269)/((C268-C269)/10))</f>
        <v>76.651072497419804</v>
      </c>
      <c r="I269" s="48">
        <f>IF(L280&lt;=C269,80+(L280-C270)/((C269-C270)/10),90+(L280-C269)/((C268-C269)/10))</f>
        <v>77.665018022201465</v>
      </c>
      <c r="J269" s="43"/>
      <c r="K269" s="61" t="s">
        <v>15</v>
      </c>
      <c r="L269" s="62">
        <f>L268*L277</f>
        <v>2.009387977763966</v>
      </c>
      <c r="M269" s="43"/>
      <c r="N269" s="48" t="s">
        <v>16</v>
      </c>
      <c r="O269" s="48">
        <f>I276*POWER(I275,(C268-O273))</f>
        <v>1.406653326898585</v>
      </c>
      <c r="P269" s="42"/>
      <c r="Q269" s="48">
        <v>15</v>
      </c>
      <c r="R269" s="55">
        <f>R268+0.01</f>
        <v>0.62</v>
      </c>
      <c r="S269" s="56">
        <v>1.35E-2</v>
      </c>
    </row>
    <row r="270" spans="2:19" ht="20.100000000000001" customHeight="1">
      <c r="B270" s="59">
        <v>80</v>
      </c>
      <c r="C270" s="60">
        <v>251.2</v>
      </c>
      <c r="D270" s="60">
        <v>131</v>
      </c>
      <c r="E270" s="54">
        <f>D270/45*0.2165</f>
        <v>0.63025555555555557</v>
      </c>
      <c r="F270" s="43"/>
      <c r="G270" s="48" t="s">
        <v>17</v>
      </c>
      <c r="H270" s="48">
        <f>IF(N280=0,INDEX('R286'!F255:F363,(ROUNDDOWN(((H269-70)/(20/72)+1),0)),1),INDEX('R286'!F255:F363,(ROUNDUP(((H269-70)/(20/72))+1,0)),1))</f>
        <v>231.53333333333217</v>
      </c>
      <c r="I270" s="48">
        <f>IF(O280=0,INDEX('R286'!F255:F363,(ROUNDDOWN(((I269-70)/(20/72)+1),0)),1),INDEX('R286'!F255:F363,(ROUNDUP(((I269-70)/(20/72))+1,0)),1))</f>
        <v>234.88888888888778</v>
      </c>
      <c r="J270" s="43"/>
      <c r="K270" s="61" t="s">
        <v>18</v>
      </c>
      <c r="L270" s="62">
        <f>L268/L278</f>
        <v>2.0575153158650434</v>
      </c>
      <c r="M270" s="43"/>
      <c r="N270" s="48" t="s">
        <v>19</v>
      </c>
      <c r="O270" s="48">
        <f>IF((O273&gt;0),((100+(L271/-H274))/100))</f>
        <v>0.97540952716876261</v>
      </c>
      <c r="P270" s="42"/>
      <c r="Q270" s="48">
        <v>20</v>
      </c>
      <c r="R270" s="55">
        <f>R269+0.01</f>
        <v>0.63</v>
      </c>
      <c r="S270" s="56">
        <v>1.38E-2</v>
      </c>
    </row>
    <row r="271" spans="2:19" ht="20.100000000000001" customHeight="1">
      <c r="B271" s="43"/>
      <c r="C271" s="43"/>
      <c r="D271" s="43"/>
      <c r="E271" s="43"/>
      <c r="F271" s="43"/>
      <c r="G271" s="48" t="s">
        <v>39</v>
      </c>
      <c r="H271" s="48">
        <f>N281</f>
        <v>30</v>
      </c>
      <c r="I271" s="48">
        <f>O281</f>
        <v>29</v>
      </c>
      <c r="J271" s="43"/>
      <c r="K271" s="63" t="s">
        <v>21</v>
      </c>
      <c r="L271" s="64">
        <f>IF(Index!$C$4&gt;0,Index!$C$4*O268,Index!$C$4*O269)</f>
        <v>5.9307694846028802</v>
      </c>
      <c r="M271" s="43"/>
      <c r="N271" s="48" t="s">
        <v>22</v>
      </c>
      <c r="O271" s="48">
        <f>IF((O273&gt;0),((100+(L271/-I274))/100))</f>
        <v>0.97540952716876261</v>
      </c>
      <c r="P271" s="42"/>
      <c r="Q271" s="48">
        <f>Index!$C$4</f>
        <v>4</v>
      </c>
      <c r="R271" s="48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0.59777944862155385</v>
      </c>
      <c r="S271" s="48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1.3032144360902253E-2</v>
      </c>
    </row>
    <row r="272" spans="2:19" ht="20.100000000000001" customHeight="1">
      <c r="B272" s="43"/>
      <c r="C272" s="43"/>
      <c r="D272" s="43"/>
      <c r="E272" s="43"/>
      <c r="F272" s="42"/>
      <c r="G272" s="54" t="s">
        <v>20</v>
      </c>
      <c r="H272" s="54">
        <f>H267/4</f>
        <v>4.0949495129989728</v>
      </c>
      <c r="I272" s="48">
        <f>I267/4</f>
        <v>4.173998864213238</v>
      </c>
      <c r="J272" s="43"/>
      <c r="K272" s="53"/>
      <c r="L272" s="53"/>
      <c r="M272" s="43"/>
      <c r="N272" s="48" t="s">
        <v>23</v>
      </c>
      <c r="O272" s="48">
        <f>O267/4.05*Link!$L$11</f>
        <v>0</v>
      </c>
      <c r="P272" s="42"/>
      <c r="Q272" s="43"/>
      <c r="S272" s="43"/>
    </row>
    <row r="273" spans="2:19" ht="20.100000000000001" customHeight="1">
      <c r="B273" s="632" t="s">
        <v>121</v>
      </c>
      <c r="C273" s="632"/>
      <c r="D273" s="43"/>
      <c r="E273" s="43"/>
      <c r="F273" s="43"/>
      <c r="G273" s="43"/>
      <c r="H273" s="43"/>
      <c r="I273" s="53"/>
      <c r="J273" s="43"/>
      <c r="K273" s="48" t="s">
        <v>25</v>
      </c>
      <c r="L273" s="53"/>
      <c r="M273" s="43"/>
      <c r="N273" s="48" t="s">
        <v>26</v>
      </c>
      <c r="O273" s="48">
        <f>'286'!$J$14</f>
        <v>235.09625</v>
      </c>
      <c r="P273" s="42"/>
      <c r="Q273" s="48">
        <v>-1</v>
      </c>
      <c r="R273" s="55">
        <v>0.54</v>
      </c>
      <c r="S273" s="56">
        <v>1.2699999999999999E-2</v>
      </c>
    </row>
    <row r="274" spans="2:19" ht="20.100000000000001" customHeight="1">
      <c r="B274" s="60">
        <f>H269/100*(O266*0.2165)*Link!$C$7*1.02</f>
        <v>1.5368383004931447</v>
      </c>
      <c r="C274" s="48">
        <f>I269/100*(O266*0.2165)*Link!$C$7*1.02</f>
        <v>1.5571677005436209</v>
      </c>
      <c r="D274" s="43"/>
      <c r="E274" s="43"/>
      <c r="F274" s="43"/>
      <c r="G274" s="54" t="s">
        <v>24</v>
      </c>
      <c r="H274" s="48">
        <f>'inf 286'!K31</f>
        <v>2.4118159603132927</v>
      </c>
      <c r="I274" s="48">
        <f>'inf 286'!L31</f>
        <v>2.4118159603132927</v>
      </c>
      <c r="J274" s="43"/>
      <c r="K274" s="57" t="s">
        <v>28</v>
      </c>
      <c r="L274" s="58">
        <f>O267*Index!$D$4*$O$2</f>
        <v>1.7475876508396881</v>
      </c>
      <c r="M274" s="43"/>
      <c r="N274" s="43"/>
      <c r="O274" s="42"/>
      <c r="P274" s="42"/>
      <c r="Q274" s="48">
        <v>-10</v>
      </c>
      <c r="R274" s="55">
        <f t="shared" ref="R274:R279" si="15">R273-0.01</f>
        <v>0.53</v>
      </c>
      <c r="S274" s="56">
        <v>1.2500000000000001E-2</v>
      </c>
    </row>
    <row r="275" spans="2:19" ht="20.100000000000001" customHeight="1">
      <c r="B275" s="43"/>
      <c r="C275" s="43"/>
      <c r="D275" s="43"/>
      <c r="E275" s="43"/>
      <c r="F275" s="43"/>
      <c r="G275" s="54" t="s">
        <v>27</v>
      </c>
      <c r="H275" s="48">
        <f>(1+(H277*S271))</f>
        <v>1.0104834324011416</v>
      </c>
      <c r="I275" s="48">
        <f>(1+(I277*S280))</f>
        <v>1.0109003541120356</v>
      </c>
      <c r="J275" s="43"/>
      <c r="K275" s="61" t="s">
        <v>30</v>
      </c>
      <c r="L275" s="62">
        <f>$O$5*Index!$D$4*O267*1*(1-(L271*0.016))</f>
        <v>1.5817550186593865</v>
      </c>
      <c r="M275" s="42"/>
      <c r="N275" s="54" t="s">
        <v>31</v>
      </c>
      <c r="O275" s="48">
        <f>O273+L271</f>
        <v>241.02701948460287</v>
      </c>
      <c r="P275" s="42"/>
      <c r="Q275" s="48">
        <v>-20</v>
      </c>
      <c r="R275" s="55">
        <f t="shared" si="15"/>
        <v>0.52</v>
      </c>
      <c r="S275" s="56">
        <v>1.23E-2</v>
      </c>
    </row>
    <row r="276" spans="2:19" ht="20.100000000000001" customHeight="1">
      <c r="B276" s="43"/>
      <c r="C276" s="43"/>
      <c r="D276" s="43"/>
      <c r="E276" s="43"/>
      <c r="F276" s="43"/>
      <c r="G276" s="54" t="s">
        <v>29</v>
      </c>
      <c r="H276" s="48">
        <f>R271</f>
        <v>0.59777944862155385</v>
      </c>
      <c r="I276" s="48">
        <f>R280</f>
        <v>0.54710697527886554</v>
      </c>
      <c r="J276" s="43"/>
      <c r="K276" s="61" t="s">
        <v>32</v>
      </c>
      <c r="L276" s="62">
        <f>$O$5*Index!$D$4*O267*1.25*(1-(L271*0.016))</f>
        <v>1.9771937733242329</v>
      </c>
      <c r="M276" s="42"/>
      <c r="N276" s="43"/>
      <c r="O276" s="43"/>
      <c r="P276" s="53"/>
      <c r="Q276" s="48">
        <v>-30</v>
      </c>
      <c r="R276" s="55">
        <f t="shared" si="15"/>
        <v>0.51</v>
      </c>
      <c r="S276" s="56">
        <v>1.1350000000000001E-2</v>
      </c>
    </row>
    <row r="277" spans="2:19" ht="20.100000000000001" customHeight="1">
      <c r="B277" s="43"/>
      <c r="C277" s="43"/>
      <c r="D277" s="43"/>
      <c r="E277" s="43"/>
      <c r="F277" s="43"/>
      <c r="G277" s="54">
        <v>180</v>
      </c>
      <c r="H277" s="54">
        <f>1.04*(O273-C269)*(O273-C270)/((C268-C269)*(C268-C270))+0.914*(O273-C268)*(O273-C270)/((C269-C268)*(C269-C270))+0.83*(O273-C268)*(O273-C269)/((C270-C268)*(C270-C269))</f>
        <v>0.80442881162312396</v>
      </c>
      <c r="I277" s="54">
        <f>1*(O273-C269)*(O273-C270)/((C268-C269)*(C268-C270))+0.903*(O273-C268)*(O273-C270)/((C269-C268)*(C269-C270))+0.76*(O273-C268)*(O273-C269)/((C270-C268)*(C270-C269))</f>
        <v>0.67845669666213138</v>
      </c>
      <c r="J277" s="43"/>
      <c r="K277" s="61" t="s">
        <v>33</v>
      </c>
      <c r="L277" s="62">
        <f>(100+(L275*2.75/-4))/100</f>
        <v>0.98912543424671673</v>
      </c>
      <c r="M277" s="42"/>
      <c r="N277" s="57" t="s">
        <v>43</v>
      </c>
      <c r="O277" s="58"/>
      <c r="P277" s="53"/>
      <c r="Q277" s="48">
        <v>-40</v>
      </c>
      <c r="R277" s="55">
        <f t="shared" si="15"/>
        <v>0.5</v>
      </c>
      <c r="S277" s="56">
        <v>1.115E-2</v>
      </c>
    </row>
    <row r="278" spans="2:19" ht="20.100000000000001" customHeight="1">
      <c r="B278" s="43"/>
      <c r="C278" s="43"/>
      <c r="D278" s="43"/>
      <c r="E278" s="43"/>
      <c r="F278" s="43"/>
      <c r="G278" s="43"/>
      <c r="H278" s="43"/>
      <c r="I278" s="43"/>
      <c r="J278" s="42"/>
      <c r="K278" s="61" t="s">
        <v>35</v>
      </c>
      <c r="L278" s="62">
        <f>(100+(L276*4/-6.25))/100</f>
        <v>0.98734595985072493</v>
      </c>
      <c r="M278" s="42"/>
      <c r="N278" s="61">
        <f>MOD(H269,20/72)</f>
        <v>0.26218360853091183</v>
      </c>
      <c r="O278" s="62">
        <f>MOD(I269,20/72)</f>
        <v>0.165018022201462</v>
      </c>
      <c r="P278" s="53"/>
      <c r="Q278" s="48">
        <v>-50</v>
      </c>
      <c r="R278" s="55">
        <f t="shared" si="15"/>
        <v>0.49</v>
      </c>
      <c r="S278" s="56">
        <v>1.095E-2</v>
      </c>
    </row>
    <row r="279" spans="2:19" ht="20.100000000000001" customHeight="1">
      <c r="B279" s="43"/>
      <c r="C279" s="43"/>
      <c r="D279" s="43"/>
      <c r="E279" s="43"/>
      <c r="F279" s="43"/>
      <c r="G279" s="43"/>
      <c r="H279" s="43"/>
      <c r="I279" s="43"/>
      <c r="J279" s="43"/>
      <c r="K279" s="61" t="s">
        <v>36</v>
      </c>
      <c r="L279" s="62">
        <f>O273+L271-L275</f>
        <v>239.4452644659435</v>
      </c>
      <c r="M279" s="42"/>
      <c r="N279" s="61">
        <f>N278/(20/72)</f>
        <v>0.94386099071128249</v>
      </c>
      <c r="O279" s="62">
        <f>O278/(20/72)</f>
        <v>0.59406487992526313</v>
      </c>
      <c r="P279" s="53"/>
      <c r="Q279" s="48">
        <v>-60</v>
      </c>
      <c r="R279" s="55">
        <f t="shared" si="15"/>
        <v>0.48</v>
      </c>
      <c r="S279" s="56">
        <v>1.0749999999999999E-2</v>
      </c>
    </row>
    <row r="280" spans="2:19" ht="20.100000000000001" customHeight="1">
      <c r="B280" s="43"/>
      <c r="C280" s="43"/>
      <c r="D280" s="43"/>
      <c r="E280" s="43"/>
      <c r="F280" s="43"/>
      <c r="G280" s="43"/>
      <c r="H280" s="43"/>
      <c r="I280" s="43"/>
      <c r="J280" s="43"/>
      <c r="K280" s="63" t="s">
        <v>37</v>
      </c>
      <c r="L280" s="64">
        <f>O273+L271+L276</f>
        <v>243.00421325792712</v>
      </c>
      <c r="M280" s="43"/>
      <c r="N280" s="61">
        <f>IF(N279&lt;0.288,ROUNDDOWN(N279,0),ROUNDUP(N279,0))</f>
        <v>1</v>
      </c>
      <c r="O280" s="62">
        <f>IF(O279&lt;0.288,ROUNDDOWN(O279,0),ROUNDUP(O279,0))</f>
        <v>1</v>
      </c>
      <c r="P280" s="53"/>
      <c r="Q280" s="48">
        <f>Index!$C$4</f>
        <v>4</v>
      </c>
      <c r="R280" s="68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0.54710697527886554</v>
      </c>
      <c r="S280" s="48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1.6066396227884815E-2</v>
      </c>
    </row>
    <row r="281" spans="2:19" ht="20.100000000000001" customHeight="1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61">
        <f>IF(N278&lt;0.08,30,N282)</f>
        <v>30</v>
      </c>
      <c r="O281" s="62">
        <f>IF(O278&lt;0.08,30,O282)</f>
        <v>29</v>
      </c>
      <c r="P281" s="43"/>
      <c r="Q281" s="42"/>
      <c r="R281" s="42"/>
      <c r="S281" s="42"/>
    </row>
    <row r="282" spans="2:19" ht="20.100000000000001" customHeight="1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63">
        <f>IF(N278&gt;(20/72)-0.08,30,29)</f>
        <v>30</v>
      </c>
      <c r="O282" s="64">
        <f>IF(O278&gt;(20/72)-0.08,30,29)</f>
        <v>29</v>
      </c>
      <c r="P282" s="43"/>
      <c r="Q282" s="43"/>
      <c r="R282" s="43"/>
      <c r="S282" s="43"/>
    </row>
    <row r="286" spans="2:19" ht="20.100000000000001" customHeight="1">
      <c r="B286" s="626" t="s">
        <v>72</v>
      </c>
      <c r="C286" s="628"/>
      <c r="D286" s="628"/>
      <c r="E286" s="627"/>
      <c r="F286" s="43"/>
      <c r="G286" s="629" t="s">
        <v>72</v>
      </c>
      <c r="H286" s="630"/>
      <c r="I286" s="631"/>
      <c r="J286" s="43"/>
      <c r="K286" s="48" t="s">
        <v>7</v>
      </c>
      <c r="L286" s="53"/>
      <c r="M286" s="43"/>
      <c r="N286" s="48" t="s">
        <v>8</v>
      </c>
      <c r="O286" s="54">
        <f>O287/0.2165</f>
        <v>2.4304058443992411</v>
      </c>
      <c r="P286" s="43"/>
      <c r="Q286" s="48">
        <v>1</v>
      </c>
      <c r="R286" s="55">
        <v>0.59</v>
      </c>
      <c r="S286" s="56">
        <v>1.2699999999999999E-2</v>
      </c>
    </row>
    <row r="287" spans="2:19" ht="20.100000000000001" customHeight="1">
      <c r="B287" s="54" t="s">
        <v>5</v>
      </c>
      <c r="C287" s="48" t="s">
        <v>9</v>
      </c>
      <c r="D287" s="48" t="s">
        <v>10</v>
      </c>
      <c r="E287" s="54" t="s">
        <v>7</v>
      </c>
      <c r="F287" s="43"/>
      <c r="G287" s="54" t="s">
        <v>10</v>
      </c>
      <c r="H287" s="54">
        <f>H288/0.2165</f>
        <v>15.665137190496678</v>
      </c>
      <c r="I287" s="48">
        <f>I288/0.2165</f>
        <v>15.95899866052123</v>
      </c>
      <c r="J287" s="43"/>
      <c r="K287" s="57" t="s">
        <v>11</v>
      </c>
      <c r="L287" s="58">
        <f>O287*$O$3*Index!$D$4</f>
        <v>2.0153973001850654</v>
      </c>
      <c r="M287" s="43"/>
      <c r="N287" s="48" t="s">
        <v>12</v>
      </c>
      <c r="O287" s="48">
        <f>E288*(O293-C289)*(O293-C290)/((C288-C289)*(C288-C290))+E289*(O293-C288)*(O293-C290)/((C289-C288)*(C289-C290))+E290*(O293-C288)*(O293-C289)/((C290-C288)*(C290-C289))</f>
        <v>0.52618286531243574</v>
      </c>
      <c r="P287" s="43"/>
      <c r="Q287" s="48">
        <v>5</v>
      </c>
      <c r="R287" s="55">
        <f>R286+0.01</f>
        <v>0.6</v>
      </c>
      <c r="S287" s="56">
        <v>1.3100000000000001E-2</v>
      </c>
    </row>
    <row r="288" spans="2:19" ht="20.100000000000001" customHeight="1">
      <c r="B288" s="59">
        <v>100</v>
      </c>
      <c r="C288" s="60">
        <v>329.1</v>
      </c>
      <c r="D288" s="60">
        <v>275</v>
      </c>
      <c r="E288" s="54">
        <f>D288/45*0.2165</f>
        <v>1.3230555555555554</v>
      </c>
      <c r="F288" s="43"/>
      <c r="G288" s="48" t="s">
        <v>7</v>
      </c>
      <c r="H288" s="48">
        <f>L289+O292+B294</f>
        <v>3.3915022017425307</v>
      </c>
      <c r="I288" s="48">
        <f>L290+O292+C294</f>
        <v>3.4551232100028462</v>
      </c>
      <c r="J288" s="43"/>
      <c r="K288" s="61" t="s">
        <v>13</v>
      </c>
      <c r="L288" s="62">
        <f>IF(L291&gt;0,L287*O290,L287*O291)</f>
        <v>1.9614010312738184</v>
      </c>
      <c r="M288" s="43"/>
      <c r="N288" s="48" t="s">
        <v>14</v>
      </c>
      <c r="O288" s="48">
        <f>H296*POWER(H295,(C288-O293))</f>
        <v>1.5762828590679461</v>
      </c>
      <c r="P288" s="42"/>
      <c r="Q288" s="48">
        <v>10</v>
      </c>
      <c r="R288" s="55">
        <f>R287+0.01</f>
        <v>0.61</v>
      </c>
      <c r="S288" s="56">
        <v>1.3299999999999999E-2</v>
      </c>
    </row>
    <row r="289" spans="2:19" ht="20.100000000000001" customHeight="1">
      <c r="B289" s="59">
        <v>90</v>
      </c>
      <c r="C289" s="60">
        <v>293.2</v>
      </c>
      <c r="D289" s="60">
        <v>190</v>
      </c>
      <c r="E289" s="54">
        <f>D289/45*0.2165</f>
        <v>0.9141111111111111</v>
      </c>
      <c r="F289" s="43"/>
      <c r="G289" s="48" t="s">
        <v>5</v>
      </c>
      <c r="H289" s="48">
        <f>IF(L299&lt;=C289,80+(L299-C290)/((C289-C290)/10),90+(L299-C289)/((C288-C289)/10))</f>
        <v>74.765961702675071</v>
      </c>
      <c r="I289" s="48">
        <f>IF(L300&lt;=C289,80+(L300-C290)/((C289-C290)/10),90+(L300-C289)/((C288-C289)/10))</f>
        <v>75.743435937830895</v>
      </c>
      <c r="J289" s="43"/>
      <c r="K289" s="61" t="s">
        <v>15</v>
      </c>
      <c r="L289" s="62">
        <f>L288*L297</f>
        <v>1.9408974394805372</v>
      </c>
      <c r="M289" s="43"/>
      <c r="N289" s="48" t="s">
        <v>16</v>
      </c>
      <c r="O289" s="48">
        <f>I296*POWER(I295,(C288-O293))</f>
        <v>2.1905953971798895</v>
      </c>
      <c r="P289" s="42"/>
      <c r="Q289" s="48">
        <v>15</v>
      </c>
      <c r="R289" s="55">
        <f>R288+0.01</f>
        <v>0.62</v>
      </c>
      <c r="S289" s="56">
        <v>1.35E-2</v>
      </c>
    </row>
    <row r="290" spans="2:19" ht="20.100000000000001" customHeight="1">
      <c r="B290" s="59">
        <v>80</v>
      </c>
      <c r="C290" s="60">
        <v>258.2</v>
      </c>
      <c r="D290" s="60">
        <v>133</v>
      </c>
      <c r="E290" s="54">
        <f>D290/45*0.2165</f>
        <v>0.63987777777777777</v>
      </c>
      <c r="F290" s="43"/>
      <c r="G290" s="48" t="s">
        <v>17</v>
      </c>
      <c r="H290" s="48">
        <f>IF(N300=0,INDEX('R286'!G255:G363,(ROUNDDOWN(((H289-70)/(20/72)+1),0)),1),INDEX('R286'!G255:G363,(ROUNDUP(((H289-70)/(20/72))+1,0)),1))</f>
        <v>233.13333333333264</v>
      </c>
      <c r="I290" s="48">
        <f>IF(O300=0,INDEX('R286'!G255:G363,(ROUNDDOWN(((I289-70)/(20/72)+1),0)),1),INDEX('R286'!G255:G363,(ROUNDUP(((I289-70)/(20/72))+1,0)),1))</f>
        <v>236.59999999999934</v>
      </c>
      <c r="J290" s="43"/>
      <c r="K290" s="61" t="s">
        <v>18</v>
      </c>
      <c r="L290" s="62">
        <f>L288/L298</f>
        <v>1.9855535505040032</v>
      </c>
      <c r="M290" s="43"/>
      <c r="N290" s="48" t="s">
        <v>19</v>
      </c>
      <c r="O290" s="48">
        <f>IF((O293&gt;0),((100+(L291/-H294))/100))</f>
        <v>0.97320812680145563</v>
      </c>
      <c r="P290" s="42"/>
      <c r="Q290" s="48">
        <v>20</v>
      </c>
      <c r="R290" s="55">
        <f>R289+0.01</f>
        <v>0.63</v>
      </c>
      <c r="S290" s="56">
        <v>1.38E-2</v>
      </c>
    </row>
    <row r="291" spans="2:19" ht="20.100000000000001" customHeight="1">
      <c r="B291" s="43"/>
      <c r="C291" s="43"/>
      <c r="D291" s="43"/>
      <c r="E291" s="43"/>
      <c r="F291" s="43"/>
      <c r="G291" s="48" t="s">
        <v>39</v>
      </c>
      <c r="H291" s="48">
        <f>N301</f>
        <v>30</v>
      </c>
      <c r="I291" s="48">
        <f>O301</f>
        <v>29</v>
      </c>
      <c r="J291" s="43"/>
      <c r="K291" s="63" t="s">
        <v>21</v>
      </c>
      <c r="L291" s="64">
        <f>IF(Index!$C$4&gt;0,Index!$C$4*O288,Index!$C$4*O289)</f>
        <v>6.3051314362717843</v>
      </c>
      <c r="M291" s="43"/>
      <c r="N291" s="48" t="s">
        <v>22</v>
      </c>
      <c r="O291" s="48">
        <f>IF((O293&gt;0),((100+(L291/-I294))/100))</f>
        <v>0.97320812680145563</v>
      </c>
      <c r="P291" s="42"/>
      <c r="Q291" s="48">
        <f>Index!$C$4</f>
        <v>4</v>
      </c>
      <c r="R291" s="48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0.59777944862155385</v>
      </c>
      <c r="S291" s="48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1.3032144360902253E-2</v>
      </c>
    </row>
    <row r="292" spans="2:19" ht="20.100000000000001" customHeight="1">
      <c r="B292" s="43"/>
      <c r="C292" s="43"/>
      <c r="D292" s="43"/>
      <c r="E292" s="43"/>
      <c r="F292" s="42"/>
      <c r="G292" s="54" t="s">
        <v>20</v>
      </c>
      <c r="H292" s="54">
        <f>H287/4</f>
        <v>3.9162842976241694</v>
      </c>
      <c r="I292" s="48">
        <f>I287/4</f>
        <v>3.9897496651303075</v>
      </c>
      <c r="J292" s="43"/>
      <c r="K292" s="53"/>
      <c r="L292" s="53"/>
      <c r="M292" s="43"/>
      <c r="N292" s="48" t="s">
        <v>23</v>
      </c>
      <c r="O292" s="48">
        <f>O287/4.05*Link!$L$11</f>
        <v>0</v>
      </c>
      <c r="P292" s="42"/>
      <c r="Q292" s="43"/>
      <c r="S292" s="43"/>
    </row>
    <row r="293" spans="2:19" ht="20.100000000000001" customHeight="1">
      <c r="B293" s="632" t="s">
        <v>121</v>
      </c>
      <c r="C293" s="632"/>
      <c r="D293" s="43"/>
      <c r="E293" s="43"/>
      <c r="F293" s="43"/>
      <c r="G293" s="43"/>
      <c r="H293" s="43"/>
      <c r="I293" s="53"/>
      <c r="J293" s="43"/>
      <c r="K293" s="48" t="s">
        <v>25</v>
      </c>
      <c r="L293" s="53"/>
      <c r="M293" s="43"/>
      <c r="N293" s="48" t="s">
        <v>26</v>
      </c>
      <c r="O293" s="48">
        <f>'286'!$J$14</f>
        <v>235.09625</v>
      </c>
      <c r="P293" s="42"/>
      <c r="Q293" s="48">
        <v>-1</v>
      </c>
      <c r="R293" s="55">
        <v>0.54</v>
      </c>
      <c r="S293" s="56">
        <v>1.2699999999999999E-2</v>
      </c>
    </row>
    <row r="294" spans="2:19" ht="20.100000000000001" customHeight="1">
      <c r="B294" s="60">
        <f>H289/100*(O286*0.2165)*Link!$C$7*1.02</f>
        <v>1.4506047622619935</v>
      </c>
      <c r="C294" s="48">
        <f>I289/100*(O286*0.2165)*Link!$C$7*1.02</f>
        <v>1.469569659498843</v>
      </c>
      <c r="D294" s="43"/>
      <c r="E294" s="43"/>
      <c r="F294" s="43"/>
      <c r="G294" s="54" t="s">
        <v>24</v>
      </c>
      <c r="H294" s="48">
        <f>'inf 286'!K37</f>
        <v>2.3533746183205801</v>
      </c>
      <c r="I294" s="48">
        <f>'inf 286'!L37</f>
        <v>2.3533746183205801</v>
      </c>
      <c r="J294" s="43"/>
      <c r="K294" s="57" t="s">
        <v>28</v>
      </c>
      <c r="L294" s="58">
        <f>O287*Index!$D$4*$O$2</f>
        <v>1.6911191312609744</v>
      </c>
      <c r="M294" s="43"/>
      <c r="N294" s="43"/>
      <c r="O294" s="42"/>
      <c r="P294" s="42"/>
      <c r="Q294" s="48">
        <v>-10</v>
      </c>
      <c r="R294" s="55">
        <f>R293-0.01</f>
        <v>0.53</v>
      </c>
      <c r="S294" s="56">
        <v>1.2500000000000001E-2</v>
      </c>
    </row>
    <row r="295" spans="2:19" ht="20.100000000000001" customHeight="1">
      <c r="B295" s="43"/>
      <c r="C295" s="43"/>
      <c r="D295" s="43"/>
      <c r="E295" s="43"/>
      <c r="F295" s="43"/>
      <c r="G295" s="54" t="s">
        <v>27</v>
      </c>
      <c r="H295" s="48">
        <f>(1+(H297*S291))</f>
        <v>1.0103678905356401</v>
      </c>
      <c r="I295" s="48">
        <f>(1+(I297*S300))</f>
        <v>1.0102729276813061</v>
      </c>
      <c r="J295" s="43"/>
      <c r="K295" s="61" t="s">
        <v>30</v>
      </c>
      <c r="L295" s="62">
        <f>$O$5*Index!$D$4*O287*1*(1-(L291*0.016))</f>
        <v>1.520515476909067</v>
      </c>
      <c r="M295" s="42"/>
      <c r="N295" s="54" t="s">
        <v>31</v>
      </c>
      <c r="O295" s="48">
        <f>O293+L291</f>
        <v>241.40138143627178</v>
      </c>
      <c r="P295" s="42"/>
      <c r="Q295" s="48">
        <v>-20</v>
      </c>
      <c r="R295" s="55">
        <v>0.6</v>
      </c>
      <c r="S295" s="56">
        <v>1.23E-2</v>
      </c>
    </row>
    <row r="296" spans="2:19" ht="20.100000000000001" customHeight="1">
      <c r="B296" s="43"/>
      <c r="C296" s="43"/>
      <c r="D296" s="43"/>
      <c r="E296" s="43"/>
      <c r="F296" s="43"/>
      <c r="G296" s="54" t="s">
        <v>29</v>
      </c>
      <c r="H296" s="48">
        <f>R291</f>
        <v>0.59777944862155385</v>
      </c>
      <c r="I296" s="48">
        <f>R300</f>
        <v>0.8381201529695762</v>
      </c>
      <c r="J296" s="43"/>
      <c r="K296" s="61" t="s">
        <v>32</v>
      </c>
      <c r="L296" s="62">
        <f>$O$5*Index!$D$4*O287*1.25*(1-(L291*0.016))</f>
        <v>1.9006443461363336</v>
      </c>
      <c r="M296" s="42"/>
      <c r="N296" s="43"/>
      <c r="O296" s="43"/>
      <c r="P296" s="53"/>
      <c r="Q296" s="48">
        <v>-30</v>
      </c>
      <c r="R296" s="55">
        <v>0.59</v>
      </c>
      <c r="S296" s="56">
        <v>1.1350000000000001E-2</v>
      </c>
    </row>
    <row r="297" spans="2:19" ht="20.100000000000001" customHeight="1">
      <c r="B297" s="43"/>
      <c r="C297" s="43"/>
      <c r="D297" s="43"/>
      <c r="E297" s="43"/>
      <c r="F297" s="43"/>
      <c r="G297" s="54">
        <v>180</v>
      </c>
      <c r="H297" s="54">
        <f>1.04*(O293-C289)*(O293-C290)/((C288-C289)*(C288-C290))+0.914*(O293-C288)*(O293-C290)/((C289-C288)*(C289-C290))+0.83*(O293-C288)*(O293-C289)/((C290-C288)*(C290-C289))</f>
        <v>0.79556289805573743</v>
      </c>
      <c r="I297" s="54">
        <f>1*(O293-C289)*(O293-C290)/((C288-C289)*(C288-C290))+0.903*(O293-C288)*(O293-C290)/((C289-C288)*(C289-C290))+0.76*(O293-C288)*(O293-C289)/((C290-C288)*(C290-C289))</f>
        <v>0.63940460172869207</v>
      </c>
      <c r="J297" s="43"/>
      <c r="K297" s="61" t="s">
        <v>33</v>
      </c>
      <c r="L297" s="62">
        <f>(100+(L295*2.75/-4))/100</f>
        <v>0.98954645609625014</v>
      </c>
      <c r="M297" s="42"/>
      <c r="N297" s="57" t="s">
        <v>43</v>
      </c>
      <c r="O297" s="58"/>
      <c r="P297" s="53"/>
      <c r="Q297" s="48">
        <v>-40</v>
      </c>
      <c r="R297" s="55">
        <v>0.57999999999999996</v>
      </c>
      <c r="S297" s="56">
        <v>1.115E-2</v>
      </c>
    </row>
    <row r="298" spans="2:19" ht="20.100000000000001" customHeight="1">
      <c r="B298" s="43"/>
      <c r="C298" s="43"/>
      <c r="D298" s="43"/>
      <c r="E298" s="43"/>
      <c r="F298" s="43"/>
      <c r="G298" s="43"/>
      <c r="H298" s="43"/>
      <c r="I298" s="43"/>
      <c r="J298" s="42"/>
      <c r="K298" s="61" t="s">
        <v>35</v>
      </c>
      <c r="L298" s="62">
        <f>(100+(L296*4/-6.25))/100</f>
        <v>0.98783587618472746</v>
      </c>
      <c r="M298" s="42"/>
      <c r="N298" s="61">
        <f>MOD(H289,20/72)</f>
        <v>4.373948045284537E-2</v>
      </c>
      <c r="O298" s="62">
        <f>MOD(I289,20/72)</f>
        <v>0.18788038227533654</v>
      </c>
      <c r="P298" s="53"/>
      <c r="Q298" s="48">
        <v>-50</v>
      </c>
      <c r="R298" s="55">
        <v>0.56999999999999995</v>
      </c>
      <c r="S298" s="56">
        <v>1.095E-2</v>
      </c>
    </row>
    <row r="299" spans="2:19" ht="20.100000000000001" customHeight="1">
      <c r="B299" s="43"/>
      <c r="C299" s="43"/>
      <c r="D299" s="43"/>
      <c r="E299" s="43"/>
      <c r="F299" s="43"/>
      <c r="G299" s="43"/>
      <c r="H299" s="43"/>
      <c r="I299" s="43"/>
      <c r="J299" s="43"/>
      <c r="K299" s="61" t="s">
        <v>36</v>
      </c>
      <c r="L299" s="62">
        <f>O293+L291-L295</f>
        <v>239.88086595936272</v>
      </c>
      <c r="M299" s="42"/>
      <c r="N299" s="61">
        <f>N298/(20/72)</f>
        <v>0.15746212963024334</v>
      </c>
      <c r="O299" s="62">
        <f>O298/(20/72)</f>
        <v>0.67636937619121151</v>
      </c>
      <c r="P299" s="53"/>
      <c r="Q299" s="48">
        <v>-60</v>
      </c>
      <c r="R299" s="55">
        <v>0.56000000000000005</v>
      </c>
      <c r="S299" s="56">
        <v>1.0749999999999999E-2</v>
      </c>
    </row>
    <row r="300" spans="2:19" ht="20.100000000000001" customHeight="1">
      <c r="B300" s="43"/>
      <c r="C300" s="43"/>
      <c r="D300" s="43"/>
      <c r="E300" s="43"/>
      <c r="F300" s="43"/>
      <c r="G300" s="43"/>
      <c r="H300" s="43"/>
      <c r="I300" s="43"/>
      <c r="J300" s="43"/>
      <c r="K300" s="63" t="s">
        <v>37</v>
      </c>
      <c r="L300" s="64">
        <f>O293+L291+L296</f>
        <v>243.30202578240812</v>
      </c>
      <c r="M300" s="43"/>
      <c r="N300" s="61">
        <f>IF(N299&lt;0.288,ROUNDDOWN(N299,0),ROUNDUP(N299,0))</f>
        <v>0</v>
      </c>
      <c r="O300" s="62">
        <f>IF(O299&lt;0.288,ROUNDDOWN(O299,0),ROUNDUP(O299,0))</f>
        <v>1</v>
      </c>
      <c r="P300" s="53"/>
      <c r="Q300" s="48">
        <f>Index!$C$4</f>
        <v>4</v>
      </c>
      <c r="R300" s="68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0.8381201529695762</v>
      </c>
      <c r="S300" s="48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1.6066396227884815E-2</v>
      </c>
    </row>
    <row r="301" spans="2:19" ht="20.100000000000001" customHeight="1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61">
        <f>IF(N298&lt;0.08,30,N302)</f>
        <v>30</v>
      </c>
      <c r="O301" s="62">
        <f>IF(O298&lt;0.08,30,O302)</f>
        <v>29</v>
      </c>
      <c r="P301" s="43"/>
      <c r="Q301" s="42"/>
      <c r="R301" s="42"/>
      <c r="S301" s="42"/>
    </row>
    <row r="302" spans="2:19" ht="20.100000000000001" customHeight="1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63">
        <f>IF(N298&gt;(20/72)-0.08,30,29)</f>
        <v>29</v>
      </c>
      <c r="O302" s="64">
        <f>IF(O298&gt;(20/72)-0.08,30,29)</f>
        <v>29</v>
      </c>
      <c r="P302" s="43"/>
      <c r="Q302" s="43"/>
      <c r="R302" s="43"/>
      <c r="S302" s="43"/>
    </row>
    <row r="306" spans="2:19" ht="20.100000000000001" customHeight="1">
      <c r="B306" s="626" t="s">
        <v>74</v>
      </c>
      <c r="C306" s="628"/>
      <c r="D306" s="628"/>
      <c r="E306" s="627"/>
      <c r="F306" s="43"/>
      <c r="G306" s="629" t="s">
        <v>74</v>
      </c>
      <c r="H306" s="630"/>
      <c r="I306" s="631"/>
      <c r="J306" s="43"/>
      <c r="K306" s="48" t="s">
        <v>7</v>
      </c>
      <c r="L306" s="53"/>
      <c r="M306" s="43"/>
      <c r="N306" s="48" t="s">
        <v>8</v>
      </c>
      <c r="O306" s="54" t="e">
        <f>O307/0.2165</f>
        <v>#DIV/0!</v>
      </c>
      <c r="P306" s="43"/>
      <c r="Q306" s="48">
        <v>1</v>
      </c>
      <c r="R306" s="55"/>
      <c r="S306" s="56">
        <v>1.2699999999999999E-2</v>
      </c>
    </row>
    <row r="307" spans="2:19" ht="20.100000000000001" customHeight="1">
      <c r="B307" s="54" t="s">
        <v>5</v>
      </c>
      <c r="C307" s="48" t="s">
        <v>9</v>
      </c>
      <c r="D307" s="48" t="s">
        <v>10</v>
      </c>
      <c r="E307" s="54" t="s">
        <v>7</v>
      </c>
      <c r="F307" s="43"/>
      <c r="G307" s="54" t="s">
        <v>10</v>
      </c>
      <c r="H307" s="54" t="e">
        <f>H308/0.2165</f>
        <v>#DIV/0!</v>
      </c>
      <c r="I307" s="48" t="e">
        <f>I308/0.2165</f>
        <v>#DIV/0!</v>
      </c>
      <c r="J307" s="43"/>
      <c r="K307" s="57" t="s">
        <v>11</v>
      </c>
      <c r="L307" s="58" t="e">
        <f>O307*$O$3*Index!$D$4</f>
        <v>#DIV/0!</v>
      </c>
      <c r="M307" s="43"/>
      <c r="N307" s="48" t="s">
        <v>12</v>
      </c>
      <c r="O307" s="48" t="e">
        <f>E308*(O313-C309)*(O313-C310)/((C308-C309)*(C308-C310))+E309*(O313-C308)*(O313-C310)/((C309-C308)*(C309-C310))+E310*(O313-C308)*(O313-C309)/((C310-C308)*(C310-C309))</f>
        <v>#DIV/0!</v>
      </c>
      <c r="P307" s="43"/>
      <c r="Q307" s="48">
        <v>5</v>
      </c>
      <c r="R307" s="55"/>
      <c r="S307" s="56">
        <v>1.3100000000000001E-2</v>
      </c>
    </row>
    <row r="308" spans="2:19" ht="20.100000000000001" customHeight="1">
      <c r="B308" s="59">
        <v>100</v>
      </c>
      <c r="C308" s="48"/>
      <c r="D308" s="48"/>
      <c r="E308" s="54">
        <f>D308/45*0.2165</f>
        <v>0</v>
      </c>
      <c r="F308" s="43"/>
      <c r="G308" s="48" t="s">
        <v>7</v>
      </c>
      <c r="H308" s="48" t="e">
        <f>L309+O312</f>
        <v>#DIV/0!</v>
      </c>
      <c r="I308" s="48" t="e">
        <f>L310+O312</f>
        <v>#DIV/0!</v>
      </c>
      <c r="J308" s="43"/>
      <c r="K308" s="61" t="s">
        <v>13</v>
      </c>
      <c r="L308" s="62" t="e">
        <f>IF(L311&gt;0,L307*O310,L307*O311)</f>
        <v>#DIV/0!</v>
      </c>
      <c r="M308" s="43"/>
      <c r="N308" s="48" t="s">
        <v>14</v>
      </c>
      <c r="O308" s="48" t="e">
        <f>H316*POWER(H315,(C308-O313))</f>
        <v>#DIV/0!</v>
      </c>
      <c r="P308" s="42"/>
      <c r="Q308" s="48">
        <v>10</v>
      </c>
      <c r="R308" s="55"/>
      <c r="S308" s="56">
        <v>1.3299999999999999E-2</v>
      </c>
    </row>
    <row r="309" spans="2:19" ht="20.100000000000001" customHeight="1">
      <c r="B309" s="59">
        <v>90</v>
      </c>
      <c r="C309" s="48"/>
      <c r="D309" s="48"/>
      <c r="E309" s="54">
        <f>D309/45*0.2165</f>
        <v>0</v>
      </c>
      <c r="F309" s="43"/>
      <c r="G309" s="48" t="s">
        <v>5</v>
      </c>
      <c r="H309" s="48" t="e">
        <f>IF(L319&lt;=C309,80+(L319-C310)/((C309-C310)/10),90+(L319-C309)/((C308-C309)/10))</f>
        <v>#DIV/0!</v>
      </c>
      <c r="I309" s="48" t="e">
        <f>IF(L320&lt;=C309,80+(L320-C310)/((C309-C310)/10),90+(L320-C309)/((C308-C309)/10))</f>
        <v>#DIV/0!</v>
      </c>
      <c r="J309" s="43"/>
      <c r="K309" s="61" t="s">
        <v>15</v>
      </c>
      <c r="L309" s="62" t="e">
        <f>L308*L317</f>
        <v>#DIV/0!</v>
      </c>
      <c r="M309" s="43"/>
      <c r="N309" s="48" t="s">
        <v>16</v>
      </c>
      <c r="O309" s="48" t="e">
        <f>I316*POWER(I315,(C308-O313))</f>
        <v>#DIV/0!</v>
      </c>
      <c r="P309" s="42"/>
      <c r="Q309" s="48">
        <v>15</v>
      </c>
      <c r="R309" s="55"/>
      <c r="S309" s="56">
        <v>1.35E-2</v>
      </c>
    </row>
    <row r="310" spans="2:19" ht="20.100000000000001" customHeight="1">
      <c r="B310" s="59">
        <v>80</v>
      </c>
      <c r="C310" s="48"/>
      <c r="D310" s="48"/>
      <c r="E310" s="54">
        <f>D310/45*0.2165</f>
        <v>0</v>
      </c>
      <c r="F310" s="43"/>
      <c r="G310" s="48" t="s">
        <v>17</v>
      </c>
      <c r="H310" s="48" t="e">
        <f>IF(N320=0,INDEX('R286'!E255:E363,(ROUNDDOWN(((H309-70)/(20/72)+1),0)),1),INDEX('R286'!E255:E363,(ROUNDUP(((H309-70)/(20/72))+1,0)),1))</f>
        <v>#DIV/0!</v>
      </c>
      <c r="I310" s="48" t="e">
        <f>IF(O320=0,INDEX('R286'!E255:E363,(ROUNDDOWN(((I309-70)/(20/72)+1),0)),1),INDEX('R286'!E255:E363,(ROUNDUP(((I309-70)/(20/72))+1,0)),1))</f>
        <v>#DIV/0!</v>
      </c>
      <c r="J310" s="43"/>
      <c r="K310" s="61" t="s">
        <v>18</v>
      </c>
      <c r="L310" s="62" t="e">
        <f>L308/L318</f>
        <v>#DIV/0!</v>
      </c>
      <c r="M310" s="43"/>
      <c r="N310" s="48" t="s">
        <v>19</v>
      </c>
      <c r="O310" s="48" t="e">
        <f>IF((O313&gt;0),((100+(L311/-H314))/100))</f>
        <v>#DIV/0!</v>
      </c>
      <c r="P310" s="42"/>
      <c r="Q310" s="48">
        <v>20</v>
      </c>
      <c r="R310" s="55"/>
      <c r="S310" s="56">
        <v>1.38E-2</v>
      </c>
    </row>
    <row r="311" spans="2:19" ht="20.100000000000001" customHeight="1">
      <c r="B311" s="43"/>
      <c r="C311" s="43"/>
      <c r="D311" s="43"/>
      <c r="E311" s="43"/>
      <c r="F311" s="43"/>
      <c r="G311" s="48" t="s">
        <v>39</v>
      </c>
      <c r="H311" s="48" t="e">
        <f>N321</f>
        <v>#DIV/0!</v>
      </c>
      <c r="I311" s="48" t="e">
        <f>O321</f>
        <v>#DIV/0!</v>
      </c>
      <c r="J311" s="43"/>
      <c r="K311" s="63" t="s">
        <v>21</v>
      </c>
      <c r="L311" s="64" t="e">
        <f>IF(Index!$C$4&gt;0,Index!$C$4*O308,Index!$C$4*O309)</f>
        <v>#DIV/0!</v>
      </c>
      <c r="M311" s="43"/>
      <c r="N311" s="48" t="s">
        <v>22</v>
      </c>
      <c r="O311" s="48" t="e">
        <f>IF((O313&gt;0),((100+(L311/-I314))/100))</f>
        <v>#DIV/0!</v>
      </c>
      <c r="P311" s="42"/>
      <c r="Q311" s="48">
        <f>Index!$C$4</f>
        <v>4</v>
      </c>
      <c r="R311" s="48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48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1.3032144360902253E-2</v>
      </c>
    </row>
    <row r="312" spans="2:19" ht="20.100000000000001" customHeight="1">
      <c r="B312" s="43"/>
      <c r="C312" s="43"/>
      <c r="D312" s="43"/>
      <c r="E312" s="43"/>
      <c r="F312" s="42"/>
      <c r="G312" s="54" t="s">
        <v>20</v>
      </c>
      <c r="H312" s="54" t="e">
        <f>H307/4</f>
        <v>#DIV/0!</v>
      </c>
      <c r="I312" s="48" t="e">
        <f>I307/4</f>
        <v>#DIV/0!</v>
      </c>
      <c r="J312" s="43"/>
      <c r="K312" s="53"/>
      <c r="L312" s="53"/>
      <c r="M312" s="43"/>
      <c r="N312" s="48" t="s">
        <v>23</v>
      </c>
      <c r="O312" s="48" t="e">
        <f>O307/4.05*Link!$L$11</f>
        <v>#DIV/0!</v>
      </c>
      <c r="P312" s="42"/>
      <c r="Q312" s="43"/>
      <c r="R312" s="43"/>
      <c r="S312" s="43"/>
    </row>
    <row r="313" spans="2:19" ht="20.100000000000001" customHeight="1">
      <c r="B313" s="43"/>
      <c r="C313" s="43"/>
      <c r="D313" s="43"/>
      <c r="E313" s="43"/>
      <c r="F313" s="43"/>
      <c r="G313" s="43"/>
      <c r="H313" s="43"/>
      <c r="I313" s="53"/>
      <c r="J313" s="43"/>
      <c r="K313" s="48" t="s">
        <v>25</v>
      </c>
      <c r="L313" s="53"/>
      <c r="M313" s="43"/>
      <c r="N313" s="48" t="s">
        <v>26</v>
      </c>
      <c r="O313" s="48">
        <f>'286'!$J$14</f>
        <v>235.09625</v>
      </c>
      <c r="P313" s="42"/>
      <c r="Q313" s="48">
        <v>-1</v>
      </c>
      <c r="R313" s="55"/>
      <c r="S313" s="56">
        <v>1.2699999999999999E-2</v>
      </c>
    </row>
    <row r="314" spans="2:19" ht="20.100000000000001" customHeight="1">
      <c r="B314" s="43"/>
      <c r="C314" s="43"/>
      <c r="D314" s="43"/>
      <c r="E314" s="43"/>
      <c r="F314" s="43"/>
      <c r="G314" s="54" t="s">
        <v>24</v>
      </c>
      <c r="H314" s="48" t="e">
        <f>'inf 286'!O27</f>
        <v>#DIV/0!</v>
      </c>
      <c r="I314" s="48" t="e">
        <f>'inf 286'!P27</f>
        <v>#DIV/0!</v>
      </c>
      <c r="J314" s="43"/>
      <c r="K314" s="57" t="s">
        <v>28</v>
      </c>
      <c r="L314" s="58" t="e">
        <f>O307*Index!$D$4*$O$2</f>
        <v>#DIV/0!</v>
      </c>
      <c r="M314" s="43"/>
      <c r="N314" s="43"/>
      <c r="O314" s="42"/>
      <c r="P314" s="42"/>
      <c r="Q314" s="48">
        <v>-10</v>
      </c>
      <c r="R314" s="55"/>
      <c r="S314" s="56">
        <v>1.2500000000000001E-2</v>
      </c>
    </row>
    <row r="315" spans="2:19" ht="20.100000000000001" customHeight="1">
      <c r="B315" s="43"/>
      <c r="C315" s="43"/>
      <c r="D315" s="43"/>
      <c r="E315" s="43"/>
      <c r="F315" s="43"/>
      <c r="G315" s="54" t="s">
        <v>27</v>
      </c>
      <c r="H315" s="48" t="e">
        <f>(1+(H317*S311))</f>
        <v>#DIV/0!</v>
      </c>
      <c r="I315" s="48" t="e">
        <f>(1+(I317*S320))</f>
        <v>#DIV/0!</v>
      </c>
      <c r="J315" s="43"/>
      <c r="K315" s="61" t="s">
        <v>30</v>
      </c>
      <c r="L315" s="62" t="e">
        <f>$O$5*Index!$D$4*O307*1*(1-(L311*0.016))</f>
        <v>#DIV/0!</v>
      </c>
      <c r="M315" s="42"/>
      <c r="N315" s="54" t="s">
        <v>31</v>
      </c>
      <c r="O315" s="48" t="e">
        <f>O313+L311</f>
        <v>#DIV/0!</v>
      </c>
      <c r="P315" s="42"/>
      <c r="Q315" s="48">
        <v>-20</v>
      </c>
      <c r="R315" s="55"/>
      <c r="S315" s="56">
        <v>1.23E-2</v>
      </c>
    </row>
    <row r="316" spans="2:19" ht="20.100000000000001" customHeight="1">
      <c r="B316" s="43"/>
      <c r="C316" s="43"/>
      <c r="D316" s="43"/>
      <c r="E316" s="43"/>
      <c r="F316" s="43"/>
      <c r="G316" s="54" t="s">
        <v>29</v>
      </c>
      <c r="H316" s="48">
        <f>R311</f>
        <v>0</v>
      </c>
      <c r="I316" s="48">
        <f>R320</f>
        <v>0</v>
      </c>
      <c r="J316" s="43"/>
      <c r="K316" s="61" t="s">
        <v>32</v>
      </c>
      <c r="L316" s="62" t="e">
        <f>$O$5*Index!$D$4*O307*1.25*(1-(L311*0.016))</f>
        <v>#DIV/0!</v>
      </c>
      <c r="M316" s="42"/>
      <c r="N316" s="43"/>
      <c r="O316" s="43"/>
      <c r="P316" s="53"/>
      <c r="Q316" s="48">
        <v>-30</v>
      </c>
      <c r="R316" s="55"/>
      <c r="S316" s="56">
        <v>1.1350000000000001E-2</v>
      </c>
    </row>
    <row r="317" spans="2:19" ht="20.100000000000001" customHeight="1">
      <c r="B317" s="43"/>
      <c r="C317" s="43"/>
      <c r="D317" s="43"/>
      <c r="E317" s="43"/>
      <c r="F317" s="43"/>
      <c r="G317" s="54">
        <v>180</v>
      </c>
      <c r="H317" s="54" t="e">
        <f>1.04*(O313-C309)*(O313-C310)/((C308-C309)*(C308-C310))+0.914*(O313-C308)*(O313-C310)/((C309-C308)*(C309-C310))+0.83*(O313-C308)*(O313-C309)/((C310-C308)*(C310-C309))</f>
        <v>#DIV/0!</v>
      </c>
      <c r="I317" s="54" t="e">
        <f>1*(O313-C309)*(O313-C310)/((C308-C309)*(C308-C310))+0.903*(O313-C308)*(O313-C310)/((C309-C308)*(C309-C310))+0.76*(O313-C308)*(O313-C309)/((C310-C308)*(C310-C309))</f>
        <v>#DIV/0!</v>
      </c>
      <c r="J317" s="43"/>
      <c r="K317" s="61" t="s">
        <v>33</v>
      </c>
      <c r="L317" s="62" t="e">
        <f>(100+(L315*2.75/-4))/100</f>
        <v>#DIV/0!</v>
      </c>
      <c r="M317" s="42"/>
      <c r="N317" s="57" t="s">
        <v>43</v>
      </c>
      <c r="O317" s="58"/>
      <c r="P317" s="53"/>
      <c r="Q317" s="48">
        <v>-40</v>
      </c>
      <c r="R317" s="55"/>
      <c r="S317" s="56">
        <v>1.115E-2</v>
      </c>
    </row>
    <row r="318" spans="2:19" ht="20.100000000000001" customHeight="1">
      <c r="B318" s="43"/>
      <c r="C318" s="43"/>
      <c r="D318" s="43"/>
      <c r="E318" s="43"/>
      <c r="F318" s="43"/>
      <c r="G318" s="43"/>
      <c r="H318" s="43"/>
      <c r="I318" s="43"/>
      <c r="J318" s="42"/>
      <c r="K318" s="61" t="s">
        <v>35</v>
      </c>
      <c r="L318" s="62" t="e">
        <f>(100+(L316*4/-6.25))/100</f>
        <v>#DIV/0!</v>
      </c>
      <c r="M318" s="42"/>
      <c r="N318" s="61" t="e">
        <f>MOD(H309,20/72)</f>
        <v>#DIV/0!</v>
      </c>
      <c r="O318" s="62" t="e">
        <f>MOD(I309,20/72)</f>
        <v>#DIV/0!</v>
      </c>
      <c r="P318" s="53"/>
      <c r="Q318" s="48">
        <v>-50</v>
      </c>
      <c r="R318" s="55"/>
      <c r="S318" s="56">
        <v>1.095E-2</v>
      </c>
    </row>
    <row r="319" spans="2:19" ht="20.100000000000001" customHeight="1">
      <c r="B319" s="43"/>
      <c r="C319" s="43"/>
      <c r="D319" s="43"/>
      <c r="E319" s="43"/>
      <c r="F319" s="43"/>
      <c r="G319" s="43"/>
      <c r="H319" s="43"/>
      <c r="I319" s="43"/>
      <c r="J319" s="43"/>
      <c r="K319" s="61" t="s">
        <v>36</v>
      </c>
      <c r="L319" s="62" t="e">
        <f>O313+L311-L315</f>
        <v>#DIV/0!</v>
      </c>
      <c r="M319" s="42"/>
      <c r="N319" s="61" t="e">
        <f>N318/(20/72)</f>
        <v>#DIV/0!</v>
      </c>
      <c r="O319" s="62" t="e">
        <f>O318/(20/72)</f>
        <v>#DIV/0!</v>
      </c>
      <c r="P319" s="53"/>
      <c r="Q319" s="48">
        <v>-60</v>
      </c>
      <c r="R319" s="55"/>
      <c r="S319" s="56">
        <v>1.0749999999999999E-2</v>
      </c>
    </row>
    <row r="320" spans="2:19" ht="20.100000000000001" customHeight="1">
      <c r="B320" s="43"/>
      <c r="C320" s="43"/>
      <c r="D320" s="43"/>
      <c r="E320" s="43"/>
      <c r="F320" s="43"/>
      <c r="G320" s="43"/>
      <c r="H320" s="43"/>
      <c r="I320" s="43"/>
      <c r="J320" s="43"/>
      <c r="K320" s="63" t="s">
        <v>37</v>
      </c>
      <c r="L320" s="64" t="e">
        <f>O313+L311+L316</f>
        <v>#DIV/0!</v>
      </c>
      <c r="M320" s="43"/>
      <c r="N320" s="61" t="e">
        <f>IF(N319&lt;0.288,ROUNDDOWN(N319,0),ROUNDUP(N319,0))</f>
        <v>#DIV/0!</v>
      </c>
      <c r="O320" s="62" t="e">
        <f>IF(O319&lt;0.288,ROUNDDOWN(O319,0),ROUNDUP(O319,0))</f>
        <v>#DIV/0!</v>
      </c>
      <c r="P320" s="53"/>
      <c r="Q320" s="48">
        <f>Index!$C$4</f>
        <v>4</v>
      </c>
      <c r="R320" s="48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48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1.6066396227884815E-2</v>
      </c>
    </row>
    <row r="321" spans="2:19" ht="20.100000000000001" customHeight="1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61" t="e">
        <f>IF(N318&lt;0.08,30,N322)</f>
        <v>#DIV/0!</v>
      </c>
      <c r="O321" s="62" t="e">
        <f>IF(O318&lt;0.08,30,O322)</f>
        <v>#DIV/0!</v>
      </c>
      <c r="P321" s="43"/>
      <c r="Q321" s="42"/>
      <c r="R321" s="42"/>
      <c r="S321" s="42"/>
    </row>
    <row r="322" spans="2:19" ht="20.100000000000001" customHeight="1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63" t="e">
        <f>IF(N318&gt;(20/72)-0.08,30,29)</f>
        <v>#DIV/0!</v>
      </c>
      <c r="O322" s="64" t="e">
        <f>IF(O318&gt;(20/72)-0.08,30,29)</f>
        <v>#DIV/0!</v>
      </c>
      <c r="P322" s="43"/>
      <c r="Q322" s="43"/>
      <c r="R322" s="43"/>
      <c r="S322" s="43"/>
    </row>
    <row r="326" spans="2:19" ht="20.100000000000001" customHeight="1">
      <c r="B326" s="626" t="s">
        <v>73</v>
      </c>
      <c r="C326" s="628"/>
      <c r="D326" s="628"/>
      <c r="E326" s="627"/>
      <c r="F326" s="43"/>
      <c r="G326" s="629" t="s">
        <v>73</v>
      </c>
      <c r="H326" s="630"/>
      <c r="I326" s="631"/>
      <c r="J326" s="43"/>
      <c r="K326" s="48" t="s">
        <v>7</v>
      </c>
      <c r="L326" s="53"/>
      <c r="M326" s="43"/>
      <c r="N326" s="48" t="s">
        <v>8</v>
      </c>
      <c r="O326" s="54" t="e">
        <f>O327/0.2165</f>
        <v>#DIV/0!</v>
      </c>
      <c r="P326" s="43"/>
      <c r="Q326" s="48">
        <v>1</v>
      </c>
      <c r="R326" s="55"/>
      <c r="S326" s="56">
        <v>1.2699999999999999E-2</v>
      </c>
    </row>
    <row r="327" spans="2:19" ht="20.100000000000001" customHeight="1">
      <c r="B327" s="54" t="s">
        <v>5</v>
      </c>
      <c r="C327" s="48" t="s">
        <v>9</v>
      </c>
      <c r="D327" s="48" t="s">
        <v>10</v>
      </c>
      <c r="E327" s="54" t="s">
        <v>7</v>
      </c>
      <c r="F327" s="43"/>
      <c r="G327" s="54" t="s">
        <v>10</v>
      </c>
      <c r="H327" s="54" t="e">
        <f>H328/0.2165</f>
        <v>#DIV/0!</v>
      </c>
      <c r="I327" s="48" t="e">
        <f>I328/0.2165</f>
        <v>#DIV/0!</v>
      </c>
      <c r="J327" s="43"/>
      <c r="K327" s="57" t="s">
        <v>11</v>
      </c>
      <c r="L327" s="58" t="e">
        <f>O327*$O$3*Index!$D$4</f>
        <v>#DIV/0!</v>
      </c>
      <c r="M327" s="43"/>
      <c r="N327" s="48" t="s">
        <v>12</v>
      </c>
      <c r="O327" s="48" t="e">
        <f>E328*(O333-C329)*(O333-C330)/((C328-C329)*(C328-C330))+E329*(O333-C328)*(O333-C330)/((C329-C328)*(C329-C330))+E330*(O333-C328)*(O333-C329)/((C330-C328)*(C330-C329))</f>
        <v>#DIV/0!</v>
      </c>
      <c r="P327" s="43"/>
      <c r="Q327" s="48">
        <v>5</v>
      </c>
      <c r="R327" s="55"/>
      <c r="S327" s="56">
        <v>1.3100000000000001E-2</v>
      </c>
    </row>
    <row r="328" spans="2:19" ht="20.100000000000001" customHeight="1">
      <c r="B328" s="59">
        <v>100</v>
      </c>
      <c r="C328" s="48"/>
      <c r="D328" s="48"/>
      <c r="E328" s="54">
        <f>D328/45*0.2165</f>
        <v>0</v>
      </c>
      <c r="F328" s="43"/>
      <c r="G328" s="48" t="s">
        <v>7</v>
      </c>
      <c r="H328" s="48" t="e">
        <f>L329+O332</f>
        <v>#DIV/0!</v>
      </c>
      <c r="I328" s="48" t="e">
        <f>L330+O332</f>
        <v>#DIV/0!</v>
      </c>
      <c r="J328" s="43"/>
      <c r="K328" s="61" t="s">
        <v>13</v>
      </c>
      <c r="L328" s="62" t="e">
        <f>IF(L331&gt;0,L327*O330,L327*O331)</f>
        <v>#DIV/0!</v>
      </c>
      <c r="M328" s="43"/>
      <c r="N328" s="48" t="s">
        <v>14</v>
      </c>
      <c r="O328" s="48" t="e">
        <f>H336*POWER(H335,(C328-O333))</f>
        <v>#DIV/0!</v>
      </c>
      <c r="P328" s="42"/>
      <c r="Q328" s="48">
        <v>10</v>
      </c>
      <c r="R328" s="55"/>
      <c r="S328" s="56">
        <v>1.3299999999999999E-2</v>
      </c>
    </row>
    <row r="329" spans="2:19" ht="20.100000000000001" customHeight="1">
      <c r="B329" s="59">
        <v>90</v>
      </c>
      <c r="C329" s="48"/>
      <c r="D329" s="48"/>
      <c r="E329" s="54">
        <f>D329/45*0.2165</f>
        <v>0</v>
      </c>
      <c r="F329" s="43"/>
      <c r="G329" s="48" t="s">
        <v>5</v>
      </c>
      <c r="H329" s="48" t="e">
        <f>IF(L339&lt;=C329,80+(L339-C330)/((C329-C330)/10),90+(L339-C329)/((C328-C329)/10))</f>
        <v>#DIV/0!</v>
      </c>
      <c r="I329" s="48" t="e">
        <f>IF(L340&lt;=C329,80+(L340-C330)/((C329-C330)/10),90+(L340-C329)/((C328-C329)/10))</f>
        <v>#DIV/0!</v>
      </c>
      <c r="J329" s="43"/>
      <c r="K329" s="61" t="s">
        <v>15</v>
      </c>
      <c r="L329" s="62" t="e">
        <f>L328*L337</f>
        <v>#DIV/0!</v>
      </c>
      <c r="M329" s="43"/>
      <c r="N329" s="48" t="s">
        <v>16</v>
      </c>
      <c r="O329" s="48" t="e">
        <f>I336*POWER(I335,(C328-O333))</f>
        <v>#DIV/0!</v>
      </c>
      <c r="P329" s="42"/>
      <c r="Q329" s="48">
        <v>15</v>
      </c>
      <c r="R329" s="55"/>
      <c r="S329" s="56">
        <v>1.35E-2</v>
      </c>
    </row>
    <row r="330" spans="2:19" ht="20.100000000000001" customHeight="1">
      <c r="B330" s="59">
        <v>80</v>
      </c>
      <c r="C330" s="48"/>
      <c r="D330" s="48"/>
      <c r="E330" s="54">
        <f>D330/45*0.2165</f>
        <v>0</v>
      </c>
      <c r="F330" s="43"/>
      <c r="G330" s="48" t="s">
        <v>17</v>
      </c>
      <c r="H330" s="48" t="e">
        <f>IF(N340=0,INDEX('R286'!F255:F363,(ROUNDDOWN(((H329-70)/(20/72)+1),0)),1),INDEX('R286'!F255:F363,(ROUNDUP(((H329-70)/(20/72))+1,0)),1))</f>
        <v>#DIV/0!</v>
      </c>
      <c r="I330" s="48" t="e">
        <f>IF(O340=0,INDEX('R286'!F255:F363,(ROUNDDOWN(((I329-70)/(20/72)+1),0)),1),INDEX('R286'!F255:F363,(ROUNDUP(((I329-70)/(20/72))+1,0)),1))</f>
        <v>#DIV/0!</v>
      </c>
      <c r="J330" s="43"/>
      <c r="K330" s="61" t="s">
        <v>18</v>
      </c>
      <c r="L330" s="62" t="e">
        <f>L328/L338</f>
        <v>#DIV/0!</v>
      </c>
      <c r="M330" s="43"/>
      <c r="N330" s="48" t="s">
        <v>19</v>
      </c>
      <c r="O330" s="48" t="e">
        <f>IF((O333&gt;0),((100+(L331/-H334))/100))</f>
        <v>#DIV/0!</v>
      </c>
      <c r="P330" s="42"/>
      <c r="Q330" s="48">
        <v>20</v>
      </c>
      <c r="R330" s="55"/>
      <c r="S330" s="56">
        <v>1.38E-2</v>
      </c>
    </row>
    <row r="331" spans="2:19" ht="20.100000000000001" customHeight="1">
      <c r="B331" s="43"/>
      <c r="C331" s="43"/>
      <c r="D331" s="43"/>
      <c r="E331" s="43"/>
      <c r="F331" s="43"/>
      <c r="G331" s="48" t="s">
        <v>39</v>
      </c>
      <c r="H331" s="48" t="e">
        <f>N341</f>
        <v>#DIV/0!</v>
      </c>
      <c r="I331" s="48" t="e">
        <f>O341</f>
        <v>#DIV/0!</v>
      </c>
      <c r="J331" s="43"/>
      <c r="K331" s="63" t="s">
        <v>21</v>
      </c>
      <c r="L331" s="64" t="e">
        <f>IF(Index!$C$4&gt;0,Index!$C$4*O328,Index!$C$4*O329)</f>
        <v>#DIV/0!</v>
      </c>
      <c r="M331" s="43"/>
      <c r="N331" s="48" t="s">
        <v>22</v>
      </c>
      <c r="O331" s="48" t="e">
        <f>IF((O333&gt;0),((100+(L331/-I334))/100))</f>
        <v>#DIV/0!</v>
      </c>
      <c r="P331" s="42"/>
      <c r="Q331" s="48">
        <f>Index!$C$4</f>
        <v>4</v>
      </c>
      <c r="R331" s="48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48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1.3032144360902253E-2</v>
      </c>
    </row>
    <row r="332" spans="2:19" ht="20.100000000000001" customHeight="1">
      <c r="B332" s="43"/>
      <c r="C332" s="43"/>
      <c r="D332" s="43"/>
      <c r="E332" s="43"/>
      <c r="F332" s="42"/>
      <c r="G332" s="54" t="s">
        <v>20</v>
      </c>
      <c r="H332" s="54" t="e">
        <f>H327/4</f>
        <v>#DIV/0!</v>
      </c>
      <c r="I332" s="48" t="e">
        <f>I327/4</f>
        <v>#DIV/0!</v>
      </c>
      <c r="J332" s="43"/>
      <c r="K332" s="53"/>
      <c r="L332" s="53"/>
      <c r="M332" s="43"/>
      <c r="N332" s="48" t="s">
        <v>23</v>
      </c>
      <c r="O332" s="48" t="e">
        <f>O327/4.05*Link!$L$11</f>
        <v>#DIV/0!</v>
      </c>
      <c r="P332" s="42"/>
      <c r="Q332" s="43"/>
      <c r="R332" s="43"/>
      <c r="S332" s="43"/>
    </row>
    <row r="333" spans="2:19" ht="20.100000000000001" customHeight="1">
      <c r="B333" s="43"/>
      <c r="C333" s="43"/>
      <c r="D333" s="43"/>
      <c r="E333" s="43"/>
      <c r="F333" s="43"/>
      <c r="G333" s="43"/>
      <c r="H333" s="43"/>
      <c r="I333" s="53"/>
      <c r="J333" s="43"/>
      <c r="K333" s="48" t="s">
        <v>25</v>
      </c>
      <c r="L333" s="53"/>
      <c r="M333" s="43"/>
      <c r="N333" s="48" t="s">
        <v>26</v>
      </c>
      <c r="O333" s="48">
        <f>'286'!$J$14</f>
        <v>235.09625</v>
      </c>
      <c r="P333" s="42"/>
      <c r="Q333" s="48">
        <v>-1</v>
      </c>
      <c r="R333" s="55"/>
      <c r="S333" s="56">
        <v>1.2699999999999999E-2</v>
      </c>
    </row>
    <row r="334" spans="2:19" ht="20.100000000000001" customHeight="1">
      <c r="B334" s="43"/>
      <c r="C334" s="43"/>
      <c r="D334" s="43"/>
      <c r="E334" s="43"/>
      <c r="F334" s="43"/>
      <c r="G334" s="54" t="s">
        <v>24</v>
      </c>
      <c r="H334" s="48" t="e">
        <f>'inf 286'!O15</f>
        <v>#DIV/0!</v>
      </c>
      <c r="I334" s="48" t="e">
        <f>'inf 286'!P15</f>
        <v>#DIV/0!</v>
      </c>
      <c r="J334" s="43"/>
      <c r="K334" s="57" t="s">
        <v>28</v>
      </c>
      <c r="L334" s="58" t="e">
        <f>O327*Index!$D$4*$O$2</f>
        <v>#DIV/0!</v>
      </c>
      <c r="M334" s="43"/>
      <c r="N334" s="43"/>
      <c r="O334" s="42"/>
      <c r="P334" s="42"/>
      <c r="Q334" s="48">
        <v>-10</v>
      </c>
      <c r="R334" s="55"/>
      <c r="S334" s="56">
        <v>1.2500000000000001E-2</v>
      </c>
    </row>
    <row r="335" spans="2:19" ht="20.100000000000001" customHeight="1">
      <c r="B335" s="43"/>
      <c r="C335" s="43"/>
      <c r="D335" s="43"/>
      <c r="E335" s="43"/>
      <c r="F335" s="43"/>
      <c r="G335" s="54" t="s">
        <v>27</v>
      </c>
      <c r="H335" s="48" t="e">
        <f>(1+(H337*S331))</f>
        <v>#DIV/0!</v>
      </c>
      <c r="I335" s="48" t="e">
        <f>(1+(I337*S340))</f>
        <v>#DIV/0!</v>
      </c>
      <c r="J335" s="43"/>
      <c r="K335" s="61" t="s">
        <v>30</v>
      </c>
      <c r="L335" s="62" t="e">
        <f>$O$5*Index!$D$4*O327*1*(1-(L331*0.016))</f>
        <v>#DIV/0!</v>
      </c>
      <c r="M335" s="42"/>
      <c r="N335" s="54" t="s">
        <v>31</v>
      </c>
      <c r="O335" s="48" t="e">
        <f>O333+L331</f>
        <v>#DIV/0!</v>
      </c>
      <c r="P335" s="42"/>
      <c r="Q335" s="48">
        <v>-20</v>
      </c>
      <c r="R335" s="55"/>
      <c r="S335" s="56">
        <v>1.23E-2</v>
      </c>
    </row>
    <row r="336" spans="2:19" ht="20.100000000000001" customHeight="1">
      <c r="B336" s="43"/>
      <c r="C336" s="43"/>
      <c r="D336" s="43"/>
      <c r="E336" s="43"/>
      <c r="F336" s="43"/>
      <c r="G336" s="54" t="s">
        <v>29</v>
      </c>
      <c r="H336" s="48">
        <f>R331</f>
        <v>0</v>
      </c>
      <c r="I336" s="48">
        <f>R340</f>
        <v>0</v>
      </c>
      <c r="J336" s="43"/>
      <c r="K336" s="61" t="s">
        <v>32</v>
      </c>
      <c r="L336" s="62" t="e">
        <f>$O$5*Index!$D$4*O327*1.25*(1-(L331*0.016))</f>
        <v>#DIV/0!</v>
      </c>
      <c r="M336" s="42"/>
      <c r="N336" s="43"/>
      <c r="O336" s="43"/>
      <c r="P336" s="53"/>
      <c r="Q336" s="48">
        <v>-30</v>
      </c>
      <c r="R336" s="55"/>
      <c r="S336" s="56">
        <v>1.1350000000000001E-2</v>
      </c>
    </row>
    <row r="337" spans="2:19" ht="20.100000000000001" customHeight="1">
      <c r="B337" s="43"/>
      <c r="C337" s="43"/>
      <c r="D337" s="43"/>
      <c r="E337" s="43"/>
      <c r="F337" s="43"/>
      <c r="G337" s="54">
        <v>180</v>
      </c>
      <c r="H337" s="54" t="e">
        <f>1.04*(O333-C329)*(O333-C330)/((C328-C329)*(C328-C330))+0.914*(O333-C328)*(O333-C330)/((C329-C328)*(C329-C330))+0.83*(O333-C328)*(O333-C329)/((C330-C328)*(C330-C329))</f>
        <v>#DIV/0!</v>
      </c>
      <c r="I337" s="54" t="e">
        <f>1*(O333-C329)*(O333-C330)/((C328-C329)*(C328-C330))+0.903*(O333-C328)*(O333-C330)/((C329-C328)*(C329-C330))+0.76*(O333-C328)*(O333-C329)/((C330-C328)*(C330-C329))</f>
        <v>#DIV/0!</v>
      </c>
      <c r="J337" s="43"/>
      <c r="K337" s="61" t="s">
        <v>33</v>
      </c>
      <c r="L337" s="62" t="e">
        <f>(100+(L335*2.75/-4))/100</f>
        <v>#DIV/0!</v>
      </c>
      <c r="M337" s="42"/>
      <c r="N337" s="57" t="s">
        <v>43</v>
      </c>
      <c r="O337" s="58"/>
      <c r="P337" s="53"/>
      <c r="Q337" s="48">
        <v>-40</v>
      </c>
      <c r="R337" s="55"/>
      <c r="S337" s="56">
        <v>1.115E-2</v>
      </c>
    </row>
    <row r="338" spans="2:19" ht="20.100000000000001" customHeight="1">
      <c r="B338" s="43"/>
      <c r="C338" s="43"/>
      <c r="D338" s="43"/>
      <c r="E338" s="43"/>
      <c r="F338" s="43"/>
      <c r="G338" s="43"/>
      <c r="H338" s="43"/>
      <c r="I338" s="43"/>
      <c r="J338" s="42"/>
      <c r="K338" s="61" t="s">
        <v>35</v>
      </c>
      <c r="L338" s="62" t="e">
        <f>(100+(L336*4/-6.25))/100</f>
        <v>#DIV/0!</v>
      </c>
      <c r="M338" s="42"/>
      <c r="N338" s="61" t="e">
        <f>MOD(H329,20/72)</f>
        <v>#DIV/0!</v>
      </c>
      <c r="O338" s="62" t="e">
        <f>MOD(I329,20/72)</f>
        <v>#DIV/0!</v>
      </c>
      <c r="P338" s="53"/>
      <c r="Q338" s="48">
        <v>-50</v>
      </c>
      <c r="R338" s="55"/>
      <c r="S338" s="56">
        <v>1.095E-2</v>
      </c>
    </row>
    <row r="339" spans="2:19" ht="20.100000000000001" customHeight="1">
      <c r="B339" s="43"/>
      <c r="C339" s="43"/>
      <c r="D339" s="43"/>
      <c r="E339" s="43"/>
      <c r="F339" s="43"/>
      <c r="G339" s="43"/>
      <c r="H339" s="43"/>
      <c r="I339" s="43"/>
      <c r="J339" s="43"/>
      <c r="K339" s="61" t="s">
        <v>36</v>
      </c>
      <c r="L339" s="62" t="e">
        <f>O333+L331-L335</f>
        <v>#DIV/0!</v>
      </c>
      <c r="M339" s="42"/>
      <c r="N339" s="61" t="e">
        <f>N338/(20/72)</f>
        <v>#DIV/0!</v>
      </c>
      <c r="O339" s="62" t="e">
        <f>O338/(20/72)</f>
        <v>#DIV/0!</v>
      </c>
      <c r="P339" s="53"/>
      <c r="Q339" s="48">
        <v>-60</v>
      </c>
      <c r="R339" s="55"/>
      <c r="S339" s="56">
        <v>1.0749999999999999E-2</v>
      </c>
    </row>
    <row r="340" spans="2:19" ht="20.100000000000001" customHeight="1">
      <c r="B340" s="43"/>
      <c r="C340" s="43"/>
      <c r="D340" s="43"/>
      <c r="E340" s="43"/>
      <c r="F340" s="43"/>
      <c r="G340" s="43"/>
      <c r="H340" s="43"/>
      <c r="I340" s="43"/>
      <c r="J340" s="43"/>
      <c r="K340" s="63" t="s">
        <v>37</v>
      </c>
      <c r="L340" s="64" t="e">
        <f>O333+L331+L336</f>
        <v>#DIV/0!</v>
      </c>
      <c r="M340" s="43"/>
      <c r="N340" s="61" t="e">
        <f>IF(N339&lt;0.288,ROUNDDOWN(N339,0),ROUNDUP(N339,0))</f>
        <v>#DIV/0!</v>
      </c>
      <c r="O340" s="62" t="e">
        <f>IF(O339&lt;0.288,ROUNDDOWN(O339,0),ROUNDUP(O339,0))</f>
        <v>#DIV/0!</v>
      </c>
      <c r="P340" s="53"/>
      <c r="Q340" s="48">
        <f>Index!$C$4</f>
        <v>4</v>
      </c>
      <c r="R340" s="48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48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1.6066396227884815E-2</v>
      </c>
    </row>
    <row r="341" spans="2:19" ht="20.100000000000001" customHeight="1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61" t="e">
        <f>IF(N338&lt;0.08,30,N342)</f>
        <v>#DIV/0!</v>
      </c>
      <c r="O341" s="62" t="e">
        <f>IF(O338&lt;0.08,30,O342)</f>
        <v>#DIV/0!</v>
      </c>
      <c r="P341" s="43"/>
      <c r="Q341" s="42"/>
      <c r="R341" s="42"/>
      <c r="S341" s="42"/>
    </row>
    <row r="342" spans="2:19" ht="20.100000000000001" customHeight="1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63" t="e">
        <f>IF(N338&gt;(20/72)-0.08,30,29)</f>
        <v>#DIV/0!</v>
      </c>
      <c r="O342" s="64" t="e">
        <f>IF(O338&gt;(20/72)-0.08,30,29)</f>
        <v>#DIV/0!</v>
      </c>
      <c r="P342" s="43"/>
      <c r="Q342" s="43"/>
      <c r="R342" s="43"/>
      <c r="S342" s="43"/>
    </row>
    <row r="343" spans="2:19" ht="20.100000000000001" customHeight="1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</row>
    <row r="346" spans="2:19" ht="20.100000000000001" customHeight="1">
      <c r="B346" s="626" t="s">
        <v>75</v>
      </c>
      <c r="C346" s="628"/>
      <c r="D346" s="628"/>
      <c r="E346" s="627"/>
      <c r="F346" s="43"/>
      <c r="G346" s="629" t="s">
        <v>75</v>
      </c>
      <c r="H346" s="630"/>
      <c r="I346" s="631"/>
      <c r="J346" s="43"/>
      <c r="K346" s="48" t="s">
        <v>7</v>
      </c>
      <c r="L346" s="53"/>
      <c r="M346" s="43"/>
      <c r="N346" s="48" t="s">
        <v>8</v>
      </c>
      <c r="O346" s="54" t="e">
        <f>O347/0.2165</f>
        <v>#DIV/0!</v>
      </c>
      <c r="P346" s="43"/>
      <c r="Q346" s="48">
        <v>1</v>
      </c>
      <c r="R346" s="55"/>
      <c r="S346" s="56">
        <v>1.2699999999999999E-2</v>
      </c>
    </row>
    <row r="347" spans="2:19" ht="20.100000000000001" customHeight="1">
      <c r="B347" s="54" t="s">
        <v>5</v>
      </c>
      <c r="C347" s="48" t="s">
        <v>9</v>
      </c>
      <c r="D347" s="48" t="s">
        <v>10</v>
      </c>
      <c r="E347" s="54" t="s">
        <v>7</v>
      </c>
      <c r="F347" s="43"/>
      <c r="G347" s="54" t="s">
        <v>10</v>
      </c>
      <c r="H347" s="54" t="e">
        <f>H348/0.2165</f>
        <v>#DIV/0!</v>
      </c>
      <c r="I347" s="48" t="e">
        <f>I348/0.2165</f>
        <v>#DIV/0!</v>
      </c>
      <c r="J347" s="43"/>
      <c r="K347" s="57" t="s">
        <v>11</v>
      </c>
      <c r="L347" s="58" t="e">
        <f>O347*$O$3*Index!$D$4</f>
        <v>#DIV/0!</v>
      </c>
      <c r="M347" s="43"/>
      <c r="N347" s="48" t="s">
        <v>12</v>
      </c>
      <c r="O347" s="48" t="e">
        <f>E348*(O353-C349)*(O353-C350)/((C348-C349)*(C348-C350))+E349*(O353-C348)*(O353-C350)/((C349-C348)*(C349-C350))+E350*(O353-C348)*(O353-C349)/((C350-C348)*(C350-C349))</f>
        <v>#DIV/0!</v>
      </c>
      <c r="P347" s="43"/>
      <c r="Q347" s="48">
        <v>5</v>
      </c>
      <c r="R347" s="55"/>
      <c r="S347" s="56">
        <v>1.3100000000000001E-2</v>
      </c>
    </row>
    <row r="348" spans="2:19" ht="20.100000000000001" customHeight="1">
      <c r="B348" s="59">
        <v>100</v>
      </c>
      <c r="C348" s="48"/>
      <c r="D348" s="48"/>
      <c r="E348" s="54">
        <f>D348/45*0.2165</f>
        <v>0</v>
      </c>
      <c r="F348" s="43"/>
      <c r="G348" s="48" t="s">
        <v>7</v>
      </c>
      <c r="H348" s="48" t="e">
        <f>L349+O352</f>
        <v>#DIV/0!</v>
      </c>
      <c r="I348" s="48" t="e">
        <f>L350+O352</f>
        <v>#DIV/0!</v>
      </c>
      <c r="J348" s="43"/>
      <c r="K348" s="61" t="s">
        <v>13</v>
      </c>
      <c r="L348" s="62" t="e">
        <f>IF(L351&gt;0,L347*O350,L347*O351)</f>
        <v>#DIV/0!</v>
      </c>
      <c r="M348" s="43"/>
      <c r="N348" s="48" t="s">
        <v>14</v>
      </c>
      <c r="O348" s="48" t="e">
        <f>H356*POWER(H355,(C348-O353))</f>
        <v>#DIV/0!</v>
      </c>
      <c r="P348" s="42"/>
      <c r="Q348" s="48">
        <v>10</v>
      </c>
      <c r="R348" s="55"/>
      <c r="S348" s="56">
        <v>1.3299999999999999E-2</v>
      </c>
    </row>
    <row r="349" spans="2:19" ht="20.100000000000001" customHeight="1">
      <c r="B349" s="59">
        <v>90</v>
      </c>
      <c r="C349" s="48"/>
      <c r="D349" s="48"/>
      <c r="E349" s="54">
        <f>D349/45*0.2165</f>
        <v>0</v>
      </c>
      <c r="F349" s="43"/>
      <c r="G349" s="48" t="s">
        <v>5</v>
      </c>
      <c r="H349" s="48" t="e">
        <f>IF(L359&lt;=C349,80+(L359-C350)/((C349-C350)/10),90+(L359-C349)/((C348-C349)/10))</f>
        <v>#DIV/0!</v>
      </c>
      <c r="I349" s="48" t="e">
        <f>IF(L360&lt;=C349,80+(L360-C350)/((C349-C350)/10),90+(L360-C349)/((C348-C349)/10))</f>
        <v>#DIV/0!</v>
      </c>
      <c r="J349" s="43"/>
      <c r="K349" s="61" t="s">
        <v>15</v>
      </c>
      <c r="L349" s="62" t="e">
        <f>L348*L357</f>
        <v>#DIV/0!</v>
      </c>
      <c r="M349" s="43"/>
      <c r="N349" s="48" t="s">
        <v>16</v>
      </c>
      <c r="O349" s="48" t="e">
        <f>I356*POWER(I355,(C348-O353))</f>
        <v>#DIV/0!</v>
      </c>
      <c r="P349" s="42"/>
      <c r="Q349" s="48">
        <v>15</v>
      </c>
      <c r="R349" s="55"/>
      <c r="S349" s="56">
        <v>1.35E-2</v>
      </c>
    </row>
    <row r="350" spans="2:19" ht="20.100000000000001" customHeight="1">
      <c r="B350" s="59">
        <v>80</v>
      </c>
      <c r="C350" s="48"/>
      <c r="D350" s="48"/>
      <c r="E350" s="54">
        <f>D350/45*0.2165</f>
        <v>0</v>
      </c>
      <c r="F350" s="43"/>
      <c r="G350" s="48" t="s">
        <v>17</v>
      </c>
      <c r="H350" s="48" t="e">
        <f>IF(N360=0,INDEX('R286'!G255:G363,(ROUNDDOWN(((H349-70)/(20/72)+1),0)),1),INDEX('R286'!G255:G363,(ROUNDUP(((H349-70)/(20/72))+1,0)),1))</f>
        <v>#DIV/0!</v>
      </c>
      <c r="I350" s="48" t="e">
        <f>IF(O360=0,INDEX('R286'!G255:G363,(ROUNDDOWN(((I349-70)/(20/72)+1),0)),1),INDEX('R286'!G255:G363,(ROUNDUP(((I349-70)/(20/72))+1,0)),1))</f>
        <v>#DIV/0!</v>
      </c>
      <c r="J350" s="43"/>
      <c r="K350" s="61" t="s">
        <v>18</v>
      </c>
      <c r="L350" s="62" t="e">
        <f>L348/L358</f>
        <v>#DIV/0!</v>
      </c>
      <c r="M350" s="43"/>
      <c r="N350" s="48" t="s">
        <v>19</v>
      </c>
      <c r="O350" s="48" t="e">
        <f>IF((O353&gt;0),((100+(L351/-H354))/100))</f>
        <v>#DIV/0!</v>
      </c>
      <c r="P350" s="42"/>
      <c r="Q350" s="48">
        <v>20</v>
      </c>
      <c r="R350" s="55"/>
      <c r="S350" s="56">
        <v>1.38E-2</v>
      </c>
    </row>
    <row r="351" spans="2:19" ht="20.100000000000001" customHeight="1">
      <c r="B351" s="43"/>
      <c r="C351" s="43"/>
      <c r="D351" s="43"/>
      <c r="E351" s="43"/>
      <c r="F351" s="43"/>
      <c r="G351" s="48" t="s">
        <v>39</v>
      </c>
      <c r="H351" s="48" t="e">
        <f>N361</f>
        <v>#DIV/0!</v>
      </c>
      <c r="I351" s="48" t="e">
        <f>O361</f>
        <v>#DIV/0!</v>
      </c>
      <c r="J351" s="43"/>
      <c r="K351" s="63" t="s">
        <v>21</v>
      </c>
      <c r="L351" s="64" t="e">
        <f>IF(Index!$C$4&gt;0,Index!$C$4*O348,Index!$C$4*O349)</f>
        <v>#DIV/0!</v>
      </c>
      <c r="M351" s="43"/>
      <c r="N351" s="48" t="s">
        <v>22</v>
      </c>
      <c r="O351" s="48" t="e">
        <f>IF((O353&gt;0),((100+(L351/-I354))/100))</f>
        <v>#DIV/0!</v>
      </c>
      <c r="P351" s="42"/>
      <c r="Q351" s="48">
        <f>Index!$C$4</f>
        <v>4</v>
      </c>
      <c r="R351" s="48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48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1.3032144360902253E-2</v>
      </c>
    </row>
    <row r="352" spans="2:19" ht="20.100000000000001" customHeight="1">
      <c r="B352" s="43"/>
      <c r="C352" s="43"/>
      <c r="D352" s="43"/>
      <c r="E352" s="43"/>
      <c r="F352" s="42"/>
      <c r="G352" s="54" t="s">
        <v>20</v>
      </c>
      <c r="H352" s="54" t="e">
        <f>H347/4</f>
        <v>#DIV/0!</v>
      </c>
      <c r="I352" s="48" t="e">
        <f>I347/4</f>
        <v>#DIV/0!</v>
      </c>
      <c r="J352" s="43"/>
      <c r="K352" s="53"/>
      <c r="L352" s="53"/>
      <c r="M352" s="43"/>
      <c r="N352" s="48" t="s">
        <v>23</v>
      </c>
      <c r="O352" s="48" t="e">
        <f>O347/4.05*Link!$L$11</f>
        <v>#DIV/0!</v>
      </c>
      <c r="P352" s="42"/>
      <c r="Q352" s="43"/>
      <c r="R352" s="43"/>
      <c r="S352" s="43"/>
    </row>
    <row r="353" spans="2:19" ht="20.100000000000001" customHeight="1">
      <c r="B353" s="43"/>
      <c r="C353" s="43"/>
      <c r="D353" s="43"/>
      <c r="E353" s="43"/>
      <c r="F353" s="43"/>
      <c r="G353" s="43"/>
      <c r="H353" s="43"/>
      <c r="I353" s="53"/>
      <c r="J353" s="43"/>
      <c r="K353" s="48" t="s">
        <v>25</v>
      </c>
      <c r="L353" s="53"/>
      <c r="M353" s="43"/>
      <c r="N353" s="48" t="s">
        <v>26</v>
      </c>
      <c r="O353" s="48">
        <f>'286'!$J$14</f>
        <v>235.09625</v>
      </c>
      <c r="P353" s="42"/>
      <c r="Q353" s="48">
        <v>-1</v>
      </c>
      <c r="R353" s="55"/>
      <c r="S353" s="56">
        <v>1.2699999999999999E-2</v>
      </c>
    </row>
    <row r="354" spans="2:19" ht="20.100000000000001" customHeight="1">
      <c r="B354" s="43"/>
      <c r="C354" s="43"/>
      <c r="D354" s="43"/>
      <c r="E354" s="43"/>
      <c r="F354" s="43"/>
      <c r="G354" s="54" t="s">
        <v>24</v>
      </c>
      <c r="H354" s="48" t="e">
        <f>'inf 286'!O21</f>
        <v>#DIV/0!</v>
      </c>
      <c r="I354" s="48" t="e">
        <f>'inf 286'!P21</f>
        <v>#DIV/0!</v>
      </c>
      <c r="J354" s="43"/>
      <c r="K354" s="57" t="s">
        <v>28</v>
      </c>
      <c r="L354" s="58" t="e">
        <f>O347*Index!$D$4*$O$2</f>
        <v>#DIV/0!</v>
      </c>
      <c r="M354" s="43"/>
      <c r="N354" s="43"/>
      <c r="O354" s="42"/>
      <c r="P354" s="42"/>
      <c r="Q354" s="48">
        <v>-10</v>
      </c>
      <c r="R354" s="55"/>
      <c r="S354" s="56">
        <v>1.2500000000000001E-2</v>
      </c>
    </row>
    <row r="355" spans="2:19" ht="20.100000000000001" customHeight="1">
      <c r="B355" s="43"/>
      <c r="C355" s="43"/>
      <c r="D355" s="43"/>
      <c r="E355" s="43"/>
      <c r="F355" s="43"/>
      <c r="G355" s="54" t="s">
        <v>27</v>
      </c>
      <c r="H355" s="48" t="e">
        <f>(1+(H357*S351))</f>
        <v>#DIV/0!</v>
      </c>
      <c r="I355" s="48" t="e">
        <f>(1+(I357*S360))</f>
        <v>#DIV/0!</v>
      </c>
      <c r="J355" s="43"/>
      <c r="K355" s="61" t="s">
        <v>30</v>
      </c>
      <c r="L355" s="62" t="e">
        <f>$O$5*Index!$D$4*O347*1*(1-(L351*0.016))</f>
        <v>#DIV/0!</v>
      </c>
      <c r="M355" s="42"/>
      <c r="N355" s="54" t="s">
        <v>31</v>
      </c>
      <c r="O355" s="48" t="e">
        <f>O353+L351</f>
        <v>#DIV/0!</v>
      </c>
      <c r="P355" s="42"/>
      <c r="Q355" s="48">
        <v>-20</v>
      </c>
      <c r="R355" s="55"/>
      <c r="S355" s="56">
        <v>1.23E-2</v>
      </c>
    </row>
    <row r="356" spans="2:19" ht="20.100000000000001" customHeight="1">
      <c r="B356" s="43"/>
      <c r="C356" s="43"/>
      <c r="D356" s="43"/>
      <c r="E356" s="43"/>
      <c r="F356" s="43"/>
      <c r="G356" s="54" t="s">
        <v>29</v>
      </c>
      <c r="H356" s="48">
        <f>R351</f>
        <v>0</v>
      </c>
      <c r="I356" s="48">
        <f>R360</f>
        <v>0</v>
      </c>
      <c r="J356" s="43"/>
      <c r="K356" s="61" t="s">
        <v>32</v>
      </c>
      <c r="L356" s="62" t="e">
        <f>$O$5*Index!$D$4*O347*1.25*(1-(L351*0.016))</f>
        <v>#DIV/0!</v>
      </c>
      <c r="M356" s="42"/>
      <c r="N356" s="43"/>
      <c r="O356" s="43"/>
      <c r="P356" s="53"/>
      <c r="Q356" s="48">
        <v>-30</v>
      </c>
      <c r="R356" s="55"/>
      <c r="S356" s="56">
        <v>1.1350000000000001E-2</v>
      </c>
    </row>
    <row r="357" spans="2:19" ht="20.100000000000001" customHeight="1">
      <c r="B357" s="43"/>
      <c r="C357" s="43"/>
      <c r="D357" s="43"/>
      <c r="E357" s="43"/>
      <c r="F357" s="43"/>
      <c r="G357" s="54">
        <v>180</v>
      </c>
      <c r="H357" s="54" t="e">
        <f>1.04*(O353-C349)*(O353-C350)/((C348-C349)*(C348-C350))+0.914*(O353-C348)*(O353-C350)/((C349-C348)*(C349-C350))+0.83*(O353-C348)*(O353-C349)/((C350-C348)*(C350-C349))</f>
        <v>#DIV/0!</v>
      </c>
      <c r="I357" s="54" t="e">
        <f>1*(O353-C349)*(O353-C350)/((C348-C349)*(C348-C350))+0.903*(O353-C348)*(O353-C350)/((C349-C348)*(C349-C350))+0.76*(O353-C348)*(O353-C349)/((C350-C348)*(C350-C349))</f>
        <v>#DIV/0!</v>
      </c>
      <c r="J357" s="43"/>
      <c r="K357" s="61" t="s">
        <v>33</v>
      </c>
      <c r="L357" s="62" t="e">
        <f>(100+(L355*2.75/-4))/100</f>
        <v>#DIV/0!</v>
      </c>
      <c r="M357" s="42"/>
      <c r="N357" s="57" t="s">
        <v>43</v>
      </c>
      <c r="O357" s="58"/>
      <c r="P357" s="53"/>
      <c r="Q357" s="48">
        <v>-40</v>
      </c>
      <c r="R357" s="55"/>
      <c r="S357" s="56">
        <v>1.115E-2</v>
      </c>
    </row>
    <row r="358" spans="2:19" ht="20.100000000000001" customHeight="1">
      <c r="B358" s="43"/>
      <c r="C358" s="43"/>
      <c r="D358" s="43"/>
      <c r="E358" s="43"/>
      <c r="F358" s="43"/>
      <c r="G358" s="43"/>
      <c r="H358" s="43"/>
      <c r="I358" s="43"/>
      <c r="J358" s="42"/>
      <c r="K358" s="61" t="s">
        <v>35</v>
      </c>
      <c r="L358" s="62" t="e">
        <f>(100+(L356*4/-6.25))/100</f>
        <v>#DIV/0!</v>
      </c>
      <c r="M358" s="42"/>
      <c r="N358" s="61" t="e">
        <f>MOD(H349,20/72)</f>
        <v>#DIV/0!</v>
      </c>
      <c r="O358" s="62" t="e">
        <f>MOD(I349,20/72)</f>
        <v>#DIV/0!</v>
      </c>
      <c r="P358" s="53"/>
      <c r="Q358" s="48">
        <v>-50</v>
      </c>
      <c r="R358" s="55"/>
      <c r="S358" s="56">
        <v>1.095E-2</v>
      </c>
    </row>
    <row r="359" spans="2:19" ht="20.100000000000001" customHeight="1">
      <c r="B359" s="43"/>
      <c r="C359" s="43"/>
      <c r="D359" s="43"/>
      <c r="E359" s="43"/>
      <c r="F359" s="43"/>
      <c r="G359" s="43"/>
      <c r="H359" s="43"/>
      <c r="I359" s="43"/>
      <c r="J359" s="43"/>
      <c r="K359" s="61" t="s">
        <v>36</v>
      </c>
      <c r="L359" s="62" t="e">
        <f>O353+L351-L355</f>
        <v>#DIV/0!</v>
      </c>
      <c r="M359" s="42"/>
      <c r="N359" s="61" t="e">
        <f>N358/(20/72)</f>
        <v>#DIV/0!</v>
      </c>
      <c r="O359" s="62" t="e">
        <f>O358/(20/72)</f>
        <v>#DIV/0!</v>
      </c>
      <c r="P359" s="53"/>
      <c r="Q359" s="48">
        <v>-60</v>
      </c>
      <c r="R359" s="55"/>
      <c r="S359" s="56">
        <v>1.0749999999999999E-2</v>
      </c>
    </row>
    <row r="360" spans="2:19" ht="20.100000000000001" customHeight="1">
      <c r="B360" s="43"/>
      <c r="C360" s="43"/>
      <c r="D360" s="43"/>
      <c r="E360" s="43"/>
      <c r="F360" s="43"/>
      <c r="G360" s="43"/>
      <c r="H360" s="43"/>
      <c r="I360" s="43"/>
      <c r="J360" s="43"/>
      <c r="K360" s="63" t="s">
        <v>37</v>
      </c>
      <c r="L360" s="64" t="e">
        <f>O353+L351+L356</f>
        <v>#DIV/0!</v>
      </c>
      <c r="M360" s="43"/>
      <c r="N360" s="61" t="e">
        <f>IF(N359&lt;0.288,ROUNDDOWN(N359,0),ROUNDUP(N359,0))</f>
        <v>#DIV/0!</v>
      </c>
      <c r="O360" s="62" t="e">
        <f>IF(O359&lt;0.288,ROUNDDOWN(O359,0),ROUNDUP(O359,0))</f>
        <v>#DIV/0!</v>
      </c>
      <c r="P360" s="53"/>
      <c r="Q360" s="48">
        <f>Index!$C$4</f>
        <v>4</v>
      </c>
      <c r="R360" s="48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48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1.6066396227884815E-2</v>
      </c>
    </row>
    <row r="361" spans="2:19" ht="20.100000000000001" customHeight="1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61" t="e">
        <f>IF(N358&lt;0.08,30,N362)</f>
        <v>#DIV/0!</v>
      </c>
      <c r="O361" s="62" t="e">
        <f>IF(O358&lt;0.08,30,O362)</f>
        <v>#DIV/0!</v>
      </c>
      <c r="P361" s="43"/>
      <c r="Q361" s="42"/>
      <c r="R361" s="42"/>
      <c r="S361" s="42"/>
    </row>
    <row r="362" spans="2:19" ht="20.100000000000001" customHeight="1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63" t="e">
        <f>IF(N358&gt;(20/72)-0.08,30,29)</f>
        <v>#DIV/0!</v>
      </c>
      <c r="O362" s="64" t="e">
        <f>IF(O358&gt;(20/72)-0.08,30,29)</f>
        <v>#DIV/0!</v>
      </c>
      <c r="P362" s="43"/>
      <c r="Q362" s="43"/>
      <c r="R362" s="43"/>
      <c r="S362" s="43"/>
    </row>
  </sheetData>
  <sheetProtection sheet="1" objects="1" scenarios="1" selectLockedCells="1" selectUnlockedCells="1"/>
  <mergeCells count="51">
    <mergeCell ref="N157:O157"/>
    <mergeCell ref="B178:C178"/>
    <mergeCell ref="B193:C193"/>
    <mergeCell ref="B213:C213"/>
    <mergeCell ref="B233:C233"/>
    <mergeCell ref="B186:E186"/>
    <mergeCell ref="G186:I186"/>
    <mergeCell ref="B206:E206"/>
    <mergeCell ref="G206:I206"/>
    <mergeCell ref="B226:E226"/>
    <mergeCell ref="G226:I226"/>
    <mergeCell ref="N29:O29"/>
    <mergeCell ref="B54:C54"/>
    <mergeCell ref="N72:O72"/>
    <mergeCell ref="N90:O90"/>
    <mergeCell ref="B115:C115"/>
    <mergeCell ref="B36:E36"/>
    <mergeCell ref="G36:I36"/>
    <mergeCell ref="B61:E61"/>
    <mergeCell ref="G61:I61"/>
    <mergeCell ref="B79:E79"/>
    <mergeCell ref="G79:I79"/>
    <mergeCell ref="B97:E97"/>
    <mergeCell ref="G97:I97"/>
    <mergeCell ref="G2:H2"/>
    <mergeCell ref="I2:J2"/>
    <mergeCell ref="K2:L2"/>
    <mergeCell ref="B18:E18"/>
    <mergeCell ref="G18:I18"/>
    <mergeCell ref="B253:C253"/>
    <mergeCell ref="B273:C273"/>
    <mergeCell ref="B306:E306"/>
    <mergeCell ref="G306:I306"/>
    <mergeCell ref="B122:E122"/>
    <mergeCell ref="G122:I122"/>
    <mergeCell ref="B147:E147"/>
    <mergeCell ref="G147:I147"/>
    <mergeCell ref="B165:E165"/>
    <mergeCell ref="G165:I165"/>
    <mergeCell ref="B140:C140"/>
    <mergeCell ref="B293:C293"/>
    <mergeCell ref="B246:E246"/>
    <mergeCell ref="G246:I246"/>
    <mergeCell ref="B266:E266"/>
    <mergeCell ref="G266:I266"/>
    <mergeCell ref="B326:E326"/>
    <mergeCell ref="G326:I326"/>
    <mergeCell ref="B346:E346"/>
    <mergeCell ref="G346:I346"/>
    <mergeCell ref="B286:E286"/>
    <mergeCell ref="G286:I28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BP311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1"/>
  </cols>
  <sheetData>
    <row r="1" spans="1:68" ht="20.100000000000001" customHeight="1"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</row>
    <row r="2" spans="1:68" ht="20.100000000000001" customHeight="1">
      <c r="B2" s="33" t="s">
        <v>38</v>
      </c>
      <c r="C2" s="34"/>
      <c r="D2" s="34"/>
      <c r="F2" s="33" t="s">
        <v>66</v>
      </c>
      <c r="G2" s="34"/>
      <c r="H2" s="34"/>
      <c r="J2" s="33" t="s">
        <v>67</v>
      </c>
      <c r="K2" s="34"/>
      <c r="L2" s="34"/>
      <c r="N2" s="34" t="s">
        <v>47</v>
      </c>
      <c r="O2" s="34"/>
      <c r="P2" s="34"/>
      <c r="R2" s="32"/>
      <c r="S2" s="32"/>
      <c r="T2" s="32"/>
      <c r="U2" s="32"/>
      <c r="V2" s="32"/>
      <c r="W2" s="35"/>
      <c r="X2" s="35"/>
      <c r="Y2" s="35"/>
      <c r="Z2" s="35"/>
      <c r="AA2" s="32"/>
      <c r="AB2" s="32"/>
      <c r="AC2" s="32"/>
      <c r="AD2" s="35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</row>
    <row r="3" spans="1:68" ht="20.100000000000001" customHeight="1">
      <c r="B3" s="33">
        <f>'286'!C38</f>
        <v>256.2</v>
      </c>
      <c r="C3" s="33">
        <v>3.8</v>
      </c>
      <c r="D3" s="33">
        <v>3.8</v>
      </c>
      <c r="F3" s="33">
        <f>'286'!C99</f>
        <v>239.7</v>
      </c>
      <c r="G3" s="33">
        <v>3.8</v>
      </c>
      <c r="H3" s="33">
        <v>3.8</v>
      </c>
      <c r="J3" s="33">
        <f>'286'!C124</f>
        <v>222.5</v>
      </c>
      <c r="K3" s="33">
        <v>3.8</v>
      </c>
      <c r="L3" s="33">
        <v>3.8</v>
      </c>
      <c r="N3" s="33">
        <f>'286'!C167</f>
        <v>269.10000000000002</v>
      </c>
      <c r="O3" s="36">
        <v>4</v>
      </c>
      <c r="P3" s="36">
        <v>4</v>
      </c>
      <c r="R3" s="32"/>
      <c r="S3" s="32"/>
      <c r="T3" s="32"/>
      <c r="U3" s="32"/>
      <c r="V3" s="32"/>
      <c r="W3" s="37"/>
      <c r="X3" s="35"/>
      <c r="Y3" s="35"/>
      <c r="Z3" s="35"/>
      <c r="AA3" s="32"/>
      <c r="AB3" s="32"/>
      <c r="AC3" s="32"/>
      <c r="AD3" s="3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ht="20.100000000000001" customHeight="1">
      <c r="B4" s="33">
        <f>'286'!C39</f>
        <v>222.1</v>
      </c>
      <c r="C4" s="33">
        <v>3.3</v>
      </c>
      <c r="D4" s="33">
        <v>3.3</v>
      </c>
      <c r="F4" s="33">
        <f>'286'!C100</f>
        <v>208.8</v>
      </c>
      <c r="G4" s="33">
        <v>3.3</v>
      </c>
      <c r="H4" s="33">
        <v>3.3</v>
      </c>
      <c r="J4" s="33">
        <f>'286'!C125</f>
        <v>194.3</v>
      </c>
      <c r="K4" s="33">
        <v>3.3</v>
      </c>
      <c r="L4" s="33">
        <v>3.3</v>
      </c>
      <c r="N4" s="33">
        <f>'286'!C168</f>
        <v>232.9</v>
      </c>
      <c r="O4" s="36">
        <v>3.5</v>
      </c>
      <c r="P4" s="36">
        <v>3.5</v>
      </c>
      <c r="R4" s="32"/>
      <c r="S4" s="32"/>
      <c r="T4" s="32"/>
      <c r="U4" s="32"/>
      <c r="V4" s="32"/>
      <c r="W4" s="37"/>
      <c r="X4" s="35"/>
      <c r="Y4" s="35"/>
      <c r="Z4" s="35"/>
      <c r="AA4" s="32"/>
      <c r="AB4" s="32"/>
      <c r="AC4" s="32"/>
      <c r="AD4" s="3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</row>
    <row r="5" spans="1:68" ht="20.100000000000001" customHeight="1">
      <c r="B5" s="33">
        <f>'286'!C40</f>
        <v>189.4</v>
      </c>
      <c r="C5" s="33">
        <v>2.9</v>
      </c>
      <c r="D5" s="33">
        <v>2.8</v>
      </c>
      <c r="F5" s="33">
        <f>'286'!C101</f>
        <v>179.4</v>
      </c>
      <c r="G5" s="33">
        <v>2.9</v>
      </c>
      <c r="H5" s="33">
        <v>2.8</v>
      </c>
      <c r="J5" s="33">
        <f>'286'!C126</f>
        <v>167.7</v>
      </c>
      <c r="K5" s="33">
        <v>2.9</v>
      </c>
      <c r="L5" s="33">
        <v>2.8</v>
      </c>
      <c r="N5" s="33">
        <f>'286'!C169</f>
        <v>197.6</v>
      </c>
      <c r="O5" s="36">
        <v>3.1</v>
      </c>
      <c r="P5" s="36">
        <v>3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</row>
    <row r="6" spans="1:68" ht="20.100000000000001" customHeight="1">
      <c r="B6" s="33">
        <f>'286'!C41</f>
        <v>159.30000000000001</v>
      </c>
      <c r="C6" s="34">
        <v>2.4</v>
      </c>
      <c r="D6" s="34">
        <v>2.2999999999999998</v>
      </c>
      <c r="F6" s="33">
        <f>'286'!C102</f>
        <v>152.4</v>
      </c>
      <c r="G6" s="34">
        <v>2.4</v>
      </c>
      <c r="H6" s="34">
        <v>2.2999999999999998</v>
      </c>
      <c r="J6" s="33">
        <f>'286'!C127</f>
        <v>143.30000000000001</v>
      </c>
      <c r="K6" s="34">
        <v>2.4</v>
      </c>
      <c r="L6" s="34">
        <v>2.2999999999999998</v>
      </c>
      <c r="N6" s="33">
        <f>'286'!C170</f>
        <v>165.4</v>
      </c>
      <c r="O6" s="36">
        <v>2.6</v>
      </c>
      <c r="P6" s="36">
        <v>2.5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</row>
    <row r="7" spans="1:68" ht="20.100000000000001" customHeight="1">
      <c r="B7" s="33">
        <f>'286'!C42</f>
        <v>132.5</v>
      </c>
      <c r="C7" s="34">
        <v>2</v>
      </c>
      <c r="D7" s="34">
        <v>1.8</v>
      </c>
      <c r="F7" s="33">
        <f>'286'!C103</f>
        <v>128</v>
      </c>
      <c r="G7" s="34">
        <v>2</v>
      </c>
      <c r="H7" s="34">
        <v>1.8</v>
      </c>
      <c r="J7" s="33">
        <f>'286'!C128</f>
        <v>121.1</v>
      </c>
      <c r="K7" s="34">
        <v>2</v>
      </c>
      <c r="L7" s="34">
        <v>1.8</v>
      </c>
      <c r="N7" s="33">
        <f>'286'!C171</f>
        <v>136.80000000000001</v>
      </c>
      <c r="O7" s="36">
        <v>2.2000000000000002</v>
      </c>
      <c r="P7" s="36">
        <v>2</v>
      </c>
      <c r="R7" s="32"/>
      <c r="S7" s="32"/>
      <c r="T7" s="32"/>
      <c r="U7" s="32"/>
      <c r="V7" s="32"/>
      <c r="W7" s="35"/>
      <c r="X7" s="35"/>
      <c r="Y7" s="35"/>
      <c r="Z7" s="35"/>
      <c r="AA7" s="32"/>
      <c r="AB7" s="32"/>
      <c r="AC7" s="32"/>
      <c r="AD7" s="32"/>
      <c r="AE7" s="32"/>
      <c r="AF7" s="35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</row>
    <row r="8" spans="1:68" ht="20.100000000000001" customHeight="1">
      <c r="B8" s="33">
        <f>'286'!C43</f>
        <v>108.6</v>
      </c>
      <c r="C8" s="34">
        <v>1.5</v>
      </c>
      <c r="D8" s="34">
        <v>1.3</v>
      </c>
      <c r="F8" s="33">
        <f>'286'!C104</f>
        <v>106</v>
      </c>
      <c r="G8" s="34">
        <v>1.5</v>
      </c>
      <c r="H8" s="34">
        <v>1.3</v>
      </c>
      <c r="J8" s="33">
        <f>'286'!C129</f>
        <v>100.8</v>
      </c>
      <c r="K8" s="34">
        <v>1.5</v>
      </c>
      <c r="L8" s="34">
        <v>1.3</v>
      </c>
      <c r="N8" s="33">
        <f>'286'!C172</f>
        <v>111.6</v>
      </c>
      <c r="O8" s="36">
        <v>1.7</v>
      </c>
      <c r="P8" s="36">
        <v>1.5</v>
      </c>
      <c r="R8" s="32"/>
      <c r="S8" s="32"/>
      <c r="T8" s="32"/>
      <c r="U8" s="32"/>
      <c r="V8" s="32"/>
      <c r="W8" s="37"/>
      <c r="X8" s="35"/>
      <c r="Y8" s="35"/>
      <c r="Z8" s="35"/>
      <c r="AA8" s="32"/>
      <c r="AB8" s="32"/>
      <c r="AC8" s="32"/>
      <c r="AD8" s="32"/>
      <c r="AE8" s="32"/>
      <c r="AF8" s="35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</row>
    <row r="9" spans="1:68" ht="20.100000000000001" customHeight="1">
      <c r="B9" s="33">
        <f>'286'!C44</f>
        <v>87</v>
      </c>
      <c r="C9" s="34">
        <v>1.1000000000000001</v>
      </c>
      <c r="D9" s="34">
        <v>0.8</v>
      </c>
      <c r="F9" s="33">
        <f>'286'!C105</f>
        <v>85.6</v>
      </c>
      <c r="G9" s="34">
        <v>1.1000000000000001</v>
      </c>
      <c r="H9" s="34">
        <v>0.8</v>
      </c>
      <c r="J9" s="33">
        <f>'286'!C130</f>
        <v>81.8</v>
      </c>
      <c r="K9" s="34">
        <v>1.1000000000000001</v>
      </c>
      <c r="L9" s="34">
        <v>0.8</v>
      </c>
      <c r="N9" s="33">
        <f>'286'!L181</f>
        <v>238.99136962471533</v>
      </c>
      <c r="O9" s="33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3.506711454644599</v>
      </c>
      <c r="P9" s="33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3.5451310443376949</v>
      </c>
      <c r="R9" s="32"/>
      <c r="S9" s="32"/>
      <c r="T9" s="32"/>
      <c r="U9" s="32"/>
      <c r="V9" s="32"/>
      <c r="W9" s="37"/>
      <c r="X9" s="35"/>
      <c r="Y9" s="35"/>
      <c r="Z9" s="35"/>
      <c r="AA9" s="32"/>
      <c r="AB9" s="32"/>
      <c r="AC9" s="32"/>
      <c r="AD9" s="32"/>
      <c r="AE9" s="32"/>
      <c r="AF9" s="35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</row>
    <row r="10" spans="1:68" ht="20.100000000000001" customHeight="1">
      <c r="B10" s="33">
        <f>'286'!C45</f>
        <v>66.7</v>
      </c>
      <c r="C10" s="34">
        <v>0.6</v>
      </c>
      <c r="D10" s="34">
        <v>0.3</v>
      </c>
      <c r="F10" s="33">
        <f>'286'!C106</f>
        <v>66.099999999999994</v>
      </c>
      <c r="G10" s="34">
        <v>0.6</v>
      </c>
      <c r="H10" s="34">
        <v>0.3</v>
      </c>
      <c r="J10" s="33">
        <f>'286'!C131</f>
        <v>63.4</v>
      </c>
      <c r="K10" s="34">
        <v>0.6</v>
      </c>
      <c r="L10" s="34">
        <v>0.3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</row>
    <row r="11" spans="1:68" ht="20.100000000000001" customHeight="1">
      <c r="B11" s="33">
        <f>'286'!L52</f>
        <v>238.69067850291148</v>
      </c>
      <c r="C11" s="33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3.2234282461953967</v>
      </c>
      <c r="D11" s="33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3.5481154681985982</v>
      </c>
      <c r="F11" s="33">
        <f>'286'!L113</f>
        <v>237.77136214844714</v>
      </c>
      <c r="G11" s="33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3.6252036158026062</v>
      </c>
      <c r="H11" s="33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3.7674959248104911</v>
      </c>
      <c r="J11" s="33">
        <f>'286'!L138</f>
        <v>237.1642692223121</v>
      </c>
      <c r="K11" s="33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8.0659766963388293</v>
      </c>
      <c r="L11" s="33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4.0730847892966651</v>
      </c>
      <c r="N11" s="34" t="s">
        <v>73</v>
      </c>
      <c r="O11" s="34"/>
      <c r="P11" s="34"/>
      <c r="R11" s="32"/>
      <c r="S11" s="32"/>
      <c r="T11" s="32"/>
      <c r="U11" s="32"/>
      <c r="V11" s="32"/>
      <c r="W11" s="32"/>
      <c r="X11" s="32"/>
      <c r="Y11" s="32"/>
      <c r="Z11" s="35"/>
      <c r="AA11" s="35"/>
      <c r="AB11" s="35"/>
      <c r="AC11" s="35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</row>
    <row r="12" spans="1:68" ht="20.100000000000001" customHeight="1">
      <c r="A12" s="38"/>
      <c r="N12" s="33">
        <f>'286'!C328</f>
        <v>0</v>
      </c>
      <c r="O12" s="33"/>
      <c r="P12" s="33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</row>
    <row r="13" spans="1:68" ht="20.100000000000001" customHeight="1">
      <c r="B13" s="34" t="s">
        <v>76</v>
      </c>
      <c r="C13" s="34"/>
      <c r="D13" s="34"/>
      <c r="F13" s="34" t="s">
        <v>77</v>
      </c>
      <c r="G13" s="34"/>
      <c r="H13" s="34"/>
      <c r="J13" s="34" t="s">
        <v>78</v>
      </c>
      <c r="K13" s="34"/>
      <c r="L13" s="34"/>
      <c r="N13" s="33">
        <f>'286'!C329</f>
        <v>0</v>
      </c>
      <c r="O13" s="33"/>
      <c r="P13" s="33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</row>
    <row r="14" spans="1:68" ht="20.100000000000001" customHeight="1">
      <c r="B14" s="34">
        <f>'286'!C44</f>
        <v>87</v>
      </c>
      <c r="C14" s="34">
        <v>1.1000000000000001</v>
      </c>
      <c r="D14" s="34">
        <v>0.8</v>
      </c>
      <c r="F14" s="34">
        <f>'286'!C105</f>
        <v>85.6</v>
      </c>
      <c r="G14" s="34">
        <v>1.1000000000000001</v>
      </c>
      <c r="H14" s="34">
        <v>0.8</v>
      </c>
      <c r="J14" s="34">
        <f>'286'!C130</f>
        <v>81.8</v>
      </c>
      <c r="K14" s="34">
        <v>1.1000000000000001</v>
      </c>
      <c r="L14" s="34">
        <v>0.8</v>
      </c>
      <c r="N14" s="33">
        <f>'286'!C330</f>
        <v>0</v>
      </c>
      <c r="O14" s="33"/>
      <c r="P14" s="33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</row>
    <row r="15" spans="1:68" ht="20.100000000000001" customHeight="1">
      <c r="B15" s="34">
        <f>'286'!C45</f>
        <v>66.7</v>
      </c>
      <c r="C15" s="34">
        <v>0.9</v>
      </c>
      <c r="D15" s="34">
        <v>0.6</v>
      </c>
      <c r="F15" s="34">
        <f>'286'!C106</f>
        <v>66.099999999999994</v>
      </c>
      <c r="G15" s="34">
        <v>0.9</v>
      </c>
      <c r="H15" s="34">
        <v>0.6</v>
      </c>
      <c r="J15" s="34">
        <f>'286'!C131</f>
        <v>63.4</v>
      </c>
      <c r="K15" s="34">
        <v>0.9</v>
      </c>
      <c r="L15" s="34">
        <v>0.6</v>
      </c>
      <c r="N15" s="33" t="e">
        <f>'286'!O335</f>
        <v>#DIV/0!</v>
      </c>
      <c r="O15" s="33" t="e">
        <f>O12*(N15-N13)*(N15-N14)/((N12-N13)*(N12-N14))+O13*(N15-N12)*(N15-N14)/((N13-N12)*(N13-N14))+O14*(N15-N12)*(N15-N13)/((N14-N12)*(N14-N13))</f>
        <v>#DIV/0!</v>
      </c>
      <c r="P15" s="33" t="e">
        <f>P12*(N15-N13)*(N15-N14)/((N12-N13)*(N12-N14))+P13*(N15-N12)*(N15-N14)/((N13-N12)*(N13-N14))+P14*(N15-N12)*(N15-N13)/((N14-N12)*(N14-N13))</f>
        <v>#DIV/0!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</row>
    <row r="16" spans="1:68" ht="20.100000000000001" customHeight="1">
      <c r="B16" s="34">
        <f>'286'!C46</f>
        <v>46.7</v>
      </c>
      <c r="C16" s="34">
        <v>0.7</v>
      </c>
      <c r="D16" s="34">
        <v>0.4</v>
      </c>
      <c r="F16" s="34">
        <f>'286'!C107</f>
        <v>46.6</v>
      </c>
      <c r="G16" s="34">
        <v>0.7</v>
      </c>
      <c r="H16" s="34">
        <v>0.4</v>
      </c>
      <c r="J16" s="34">
        <f>'286'!C132</f>
        <v>44.8</v>
      </c>
      <c r="K16" s="34">
        <v>0.7</v>
      </c>
      <c r="L16" s="34">
        <v>0.4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</row>
    <row r="17" spans="2:68" ht="20.100000000000001" customHeight="1">
      <c r="B17" s="34">
        <f>'286'!C47</f>
        <v>25.4</v>
      </c>
      <c r="C17" s="34">
        <v>0.5</v>
      </c>
      <c r="D17" s="34">
        <v>0.2</v>
      </c>
      <c r="F17" s="34">
        <f>'286'!C108</f>
        <v>25.5</v>
      </c>
      <c r="G17" s="34">
        <v>0.5</v>
      </c>
      <c r="H17" s="34">
        <v>0.2</v>
      </c>
      <c r="J17" s="34">
        <f>'286'!C133</f>
        <v>24.5</v>
      </c>
      <c r="K17" s="34">
        <v>0.5</v>
      </c>
      <c r="L17" s="34">
        <v>0.2</v>
      </c>
      <c r="N17" s="34" t="s">
        <v>75</v>
      </c>
      <c r="O17" s="34"/>
      <c r="P17" s="34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</row>
    <row r="18" spans="2:68" ht="20.100000000000001" customHeight="1">
      <c r="B18" s="34">
        <f>'286'!C48</f>
        <v>0</v>
      </c>
      <c r="C18" s="34">
        <v>0.3</v>
      </c>
      <c r="D18" s="34">
        <v>0</v>
      </c>
      <c r="F18" s="34">
        <f>'286'!C109</f>
        <v>0</v>
      </c>
      <c r="G18" s="34">
        <v>0.3</v>
      </c>
      <c r="H18" s="34">
        <v>0</v>
      </c>
      <c r="J18" s="34">
        <f>'286'!C134</f>
        <v>0</v>
      </c>
      <c r="K18" s="34">
        <v>0.3</v>
      </c>
      <c r="L18" s="34">
        <v>0</v>
      </c>
      <c r="N18" s="33">
        <f>'286'!C348</f>
        <v>0</v>
      </c>
      <c r="O18" s="33"/>
      <c r="P18" s="33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</row>
    <row r="19" spans="2:68" ht="20.100000000000001" customHeight="1">
      <c r="B19" s="34">
        <f>'286'!L52</f>
        <v>238.69067850291148</v>
      </c>
      <c r="C19" s="34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0.5764804828851311</v>
      </c>
      <c r="D19" s="34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0.27648048288514815</v>
      </c>
      <c r="F19" s="34">
        <f>'286'!L113</f>
        <v>237.77136214844714</v>
      </c>
      <c r="G19" s="34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0.10831150280693436</v>
      </c>
      <c r="H19" s="34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-0.19168849719312675</v>
      </c>
      <c r="J19" s="34">
        <f>'286'!L138</f>
        <v>237.1642692223121</v>
      </c>
      <c r="K19" s="34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-0.54891185564996903</v>
      </c>
      <c r="L19" s="34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-0.84891185564990224</v>
      </c>
      <c r="N19" s="33">
        <f>'286'!C349</f>
        <v>0</v>
      </c>
      <c r="O19" s="33"/>
      <c r="P19" s="33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</row>
    <row r="20" spans="2:68" ht="20.100000000000001" customHeight="1">
      <c r="N20" s="33">
        <f>'286'!C350</f>
        <v>0</v>
      </c>
      <c r="O20" s="33"/>
      <c r="P20" s="33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</row>
    <row r="21" spans="2:68" ht="20.100000000000001" customHeight="1">
      <c r="B21" s="34" t="s">
        <v>6</v>
      </c>
      <c r="C21" s="34"/>
      <c r="D21" s="34"/>
      <c r="F21" s="34" t="s">
        <v>64</v>
      </c>
      <c r="G21" s="34"/>
      <c r="H21" s="34"/>
      <c r="J21" s="34" t="s">
        <v>65</v>
      </c>
      <c r="K21" s="34"/>
      <c r="L21" s="34"/>
      <c r="N21" s="33" t="e">
        <f>'286'!O355</f>
        <v>#DIV/0!</v>
      </c>
      <c r="O21" s="33" t="e">
        <f>O18*(N21-N19)*(N21-N20)/((N18-N19)*(N18-N20))+O19*(N21-N18)*(N21-N20)/((N19-N18)*(N19-N20))+O20*(N21-N18)*(N21-N19)/((N20-N18)*(N20-N19))</f>
        <v>#DIV/0!</v>
      </c>
      <c r="P21" s="33" t="e">
        <f>P18*(N21-N19)*(N21-N20)/((N18-N19)*(N18-N20))+P19*(N21-N18)*(N21-N20)/((N19-N18)*(N19-N20))+P20*(N21-N18)*(N21-N19)/((N20-N18)*(N20-N19))</f>
        <v>#DIV/0!</v>
      </c>
      <c r="R21" s="32"/>
      <c r="S21" s="32"/>
      <c r="T21" s="32"/>
      <c r="U21" s="32"/>
      <c r="V21" s="32"/>
      <c r="W21" s="35"/>
      <c r="X21" s="35"/>
      <c r="Y21" s="35"/>
      <c r="Z21" s="35"/>
      <c r="AA21" s="32"/>
      <c r="AB21" s="32"/>
      <c r="AC21" s="32"/>
      <c r="AD21" s="32"/>
      <c r="AE21" s="32"/>
      <c r="AF21" s="35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</row>
    <row r="22" spans="2:68" ht="20.100000000000001" customHeight="1">
      <c r="B22" s="33">
        <f>'286'!C20</f>
        <v>306.2</v>
      </c>
      <c r="C22" s="39">
        <v>3.3</v>
      </c>
      <c r="D22" s="39">
        <v>3.3</v>
      </c>
      <c r="F22" s="33">
        <f>'286'!C63</f>
        <v>290.5</v>
      </c>
      <c r="G22" s="39">
        <v>3.2</v>
      </c>
      <c r="H22" s="39">
        <v>3.2</v>
      </c>
      <c r="J22" s="33">
        <f>'286'!C81</f>
        <v>274.10000000000002</v>
      </c>
      <c r="K22" s="39">
        <v>3</v>
      </c>
      <c r="L22" s="39">
        <v>3</v>
      </c>
      <c r="R22" s="32"/>
      <c r="S22" s="32"/>
      <c r="T22" s="32"/>
      <c r="U22" s="32"/>
      <c r="V22" s="32"/>
      <c r="W22" s="37"/>
      <c r="X22" s="35"/>
      <c r="Y22" s="35"/>
      <c r="Z22" s="35"/>
      <c r="AA22" s="32"/>
      <c r="AB22" s="32"/>
      <c r="AC22" s="32"/>
      <c r="AD22" s="32"/>
      <c r="AE22" s="32"/>
      <c r="AF22" s="35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</row>
    <row r="23" spans="2:68" ht="20.100000000000001" customHeight="1">
      <c r="B23" s="33">
        <f>'286'!C21</f>
        <v>272.8</v>
      </c>
      <c r="C23" s="39">
        <v>3</v>
      </c>
      <c r="D23" s="39">
        <v>2.8</v>
      </c>
      <c r="F23" s="33">
        <f>'286'!C64</f>
        <v>260.3</v>
      </c>
      <c r="G23" s="39">
        <v>2.8</v>
      </c>
      <c r="H23" s="39">
        <v>2.7</v>
      </c>
      <c r="J23" s="33">
        <f>'286'!C82</f>
        <v>246.5</v>
      </c>
      <c r="K23" s="39">
        <v>2.6</v>
      </c>
      <c r="L23" s="39">
        <v>2.5</v>
      </c>
      <c r="N23" s="34" t="s">
        <v>74</v>
      </c>
      <c r="O23" s="34"/>
      <c r="P23" s="34"/>
      <c r="R23" s="32"/>
      <c r="S23" s="32"/>
      <c r="T23" s="32"/>
      <c r="U23" s="32"/>
      <c r="V23" s="32"/>
      <c r="W23" s="37"/>
      <c r="X23" s="35"/>
      <c r="Y23" s="35"/>
      <c r="Z23" s="35"/>
      <c r="AA23" s="32"/>
      <c r="AB23" s="32"/>
      <c r="AC23" s="32"/>
      <c r="AD23" s="32"/>
      <c r="AE23" s="32"/>
      <c r="AF23" s="35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</row>
    <row r="24" spans="2:68" ht="20.100000000000001" customHeight="1">
      <c r="B24" s="33">
        <f>'286'!C22</f>
        <v>240.4</v>
      </c>
      <c r="C24" s="39">
        <v>2.6</v>
      </c>
      <c r="D24" s="39">
        <v>2.2999999999999998</v>
      </c>
      <c r="F24" s="33">
        <f>'286'!C65</f>
        <v>231</v>
      </c>
      <c r="G24" s="39">
        <v>2.4</v>
      </c>
      <c r="H24" s="39">
        <v>2.1</v>
      </c>
      <c r="J24" s="33">
        <f>'286'!C83</f>
        <v>219.8</v>
      </c>
      <c r="K24" s="39">
        <v>2.2000000000000002</v>
      </c>
      <c r="L24" s="39">
        <v>1.9</v>
      </c>
      <c r="N24" s="33">
        <f>'286'!C308</f>
        <v>0</v>
      </c>
      <c r="O24" s="33"/>
      <c r="P24" s="33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</row>
    <row r="25" spans="2:68" ht="20.100000000000001" customHeight="1">
      <c r="B25" s="33">
        <f>'286'!O27</f>
        <v>240.69793021986254</v>
      </c>
      <c r="C25" s="33">
        <f>C22*(B25-B23)*(B25-B24)/((B22-B23)*(B22-B24))+C23*(B25-B22)*(B25-B24)/((B23-B22)*(B23-B24))+C24*(B25-B22)*(B25-B23)/((B24-B22)*(B24-B23))</f>
        <v>2.6041670638843661</v>
      </c>
      <c r="D25" s="33">
        <f>D22*(B25-B23)*(B25-B24)/((B22-B23)*(B22-B24))+D23*(B25-B22)*(B25-B24)/((B23-B22)*(B23-B24))+D24*(B25-B22)*(B25-B23)/((B24-B22)*(B24-B23))</f>
        <v>2.3046648469602498</v>
      </c>
      <c r="F25" s="33">
        <f>'286'!O70</f>
        <v>239.34280352505144</v>
      </c>
      <c r="G25" s="33">
        <f>G22*(F25-F23)*(F25-F24)/((F22-F23)*(F22-F24))+G23*(F25-F22)*(F25-F24)/((F23-F22)*(F23-F24))+G24*(F25-F22)*(F25-F23)/((F24-F22)*(F24-F23))</f>
        <v>2.5150904468163784</v>
      </c>
      <c r="H25" s="33">
        <f>H22*(F25-F23)*(F25-F24)/((F22-F23)*(F22-F24))+H23*(F25-F22)*(F25-F24)/((F23-F22)*(F23-F24))+H24*(F25-F22)*(F25-F23)/((F24-F22)*(F24-F23))</f>
        <v>2.2823658595854894</v>
      </c>
      <c r="J25" s="33">
        <f>'286'!O88</f>
        <v>238.36297122728368</v>
      </c>
      <c r="K25" s="33">
        <f>K22*(J25-J23)*(J25-J24)/((J22-J23)*(J22-J24))+K23*(J25-J22)*(J25-J24)/((J23-J22)*(J23-J24))+K24*(J25-J22)*(J25-J23)/((J24-J22)*(J24-J23))</f>
        <v>2.4794558727964326</v>
      </c>
      <c r="L25" s="33">
        <f>L22*(J25-J23)*(J25-J24)/((J22-J23)*(J22-J24))+L23*(J25-J22)*(J25-J24)/((J23-J22)*(J23-J24))+L24*(J25-J22)*(J25-J23)/((J24-J22)*(J24-J23))</f>
        <v>2.3292625071811099</v>
      </c>
      <c r="N25" s="33">
        <f>'286'!C309</f>
        <v>0</v>
      </c>
      <c r="O25" s="33"/>
      <c r="P25" s="33"/>
      <c r="R25" s="32"/>
      <c r="S25" s="32"/>
      <c r="T25" s="32"/>
      <c r="U25" s="32"/>
      <c r="V25" s="32"/>
      <c r="W25" s="32"/>
      <c r="X25" s="32"/>
      <c r="Y25" s="32"/>
      <c r="Z25" s="35"/>
      <c r="AA25" s="35"/>
      <c r="AB25" s="35"/>
      <c r="AC25" s="35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</row>
    <row r="26" spans="2:68" ht="20.100000000000001" customHeight="1">
      <c r="N26" s="33">
        <f>'286'!C310</f>
        <v>0</v>
      </c>
      <c r="O26" s="33"/>
      <c r="P26" s="33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</row>
    <row r="27" spans="2:68" ht="20.100000000000001" customHeight="1">
      <c r="B27" s="34" t="s">
        <v>49</v>
      </c>
      <c r="C27" s="34"/>
      <c r="D27" s="34"/>
      <c r="F27" s="34" t="s">
        <v>69</v>
      </c>
      <c r="G27" s="34"/>
      <c r="H27" s="34"/>
      <c r="J27" s="34" t="s">
        <v>71</v>
      </c>
      <c r="K27" s="34"/>
      <c r="L27" s="34"/>
      <c r="N27" s="33" t="e">
        <f>'286'!O315</f>
        <v>#DIV/0!</v>
      </c>
      <c r="O27" s="33" t="e">
        <f>O24*(N27-N25)*(N27-N26)/((N24-N25)*(N24-N26))+O25*(N27-N24)*(N27-N26)/((N25-N24)*(N25-N26))+O26*(N27-N24)*(N27-N25)/((N26-N24)*(N26-N25))</f>
        <v>#DIV/0!</v>
      </c>
      <c r="P27" s="33" t="e">
        <f>P24*(N27-N25)*(N27-N26)/((N24-N25)*(N24-N26))+P25*(N27-N24)*(N27-N26)/((N25-N24)*(N25-N26))+P26*(N27-N24)*(N27-N25)/((N26-N24)*(N26-N25))</f>
        <v>#DIV/0!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</row>
    <row r="28" spans="2:68" ht="20.100000000000001" customHeight="1">
      <c r="B28" s="33">
        <f>'286'!C188</f>
        <v>281.8</v>
      </c>
      <c r="C28" s="39">
        <v>3.8</v>
      </c>
      <c r="D28" s="39">
        <v>3.8</v>
      </c>
      <c r="F28" s="33">
        <f>'286'!C228</f>
        <v>251.4</v>
      </c>
      <c r="G28" s="39">
        <v>3.1</v>
      </c>
      <c r="H28" s="39">
        <v>3.1</v>
      </c>
      <c r="J28" s="33">
        <f>'286'!C268</f>
        <v>322.2</v>
      </c>
      <c r="K28" s="39">
        <v>3.1</v>
      </c>
      <c r="L28" s="39">
        <v>3.1</v>
      </c>
      <c r="R28" s="32"/>
      <c r="S28" s="32"/>
      <c r="T28" s="37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</row>
    <row r="29" spans="2:68" ht="20.100000000000001" customHeight="1">
      <c r="B29" s="33">
        <f>'286'!C189</f>
        <v>245.4</v>
      </c>
      <c r="C29" s="39">
        <v>3.7</v>
      </c>
      <c r="D29" s="39">
        <v>3.6</v>
      </c>
      <c r="F29" s="33">
        <f>'286'!C229</f>
        <v>218.4</v>
      </c>
      <c r="G29" s="39">
        <v>2.7</v>
      </c>
      <c r="H29" s="39">
        <v>2.5</v>
      </c>
      <c r="J29" s="33">
        <f>'286'!C269</f>
        <v>286.3</v>
      </c>
      <c r="K29" s="39">
        <v>2.8</v>
      </c>
      <c r="L29" s="39">
        <v>2.8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</row>
    <row r="30" spans="2:68" ht="20.100000000000001" customHeight="1">
      <c r="B30" s="33">
        <f>'286'!C190</f>
        <v>209.8</v>
      </c>
      <c r="C30" s="39">
        <v>3.6</v>
      </c>
      <c r="D30" s="39">
        <v>3.3</v>
      </c>
      <c r="F30" s="33">
        <f>'286'!C230</f>
        <v>186.8</v>
      </c>
      <c r="G30" s="39">
        <v>2.2000000000000002</v>
      </c>
      <c r="H30" s="39">
        <v>1.8</v>
      </c>
      <c r="J30" s="33">
        <f>'286'!C270</f>
        <v>251.2</v>
      </c>
      <c r="K30" s="39">
        <v>2.5</v>
      </c>
      <c r="L30" s="39">
        <v>2.5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</row>
    <row r="31" spans="2:68" ht="20.100000000000001" customHeight="1">
      <c r="B31" s="33">
        <f>'286'!O195</f>
        <v>239.25138159599786</v>
      </c>
      <c r="C31" s="33">
        <f>C28*(B31-B29)*(B31-B30)/((B28-B29)*(B28-B30))+C29*(B31-B28)*(B31-B30)/((B29-B28)*(B29-B30))+C30*(B31-B28)*(B31-B29)/((B30-B28)*(B30-B29))</f>
        <v>3.6828838706213678</v>
      </c>
      <c r="D31" s="33">
        <f>D28*(B31-B29)*(B31-B30)/((B28-B29)*(B28-B30))+D29*(B31-B28)*(B31-B30)/((B29-B28)*(B29-B30))+D30*(B31-B28)*(B31-B29)/((B30-B28)*(B30-B29))</f>
        <v>3.5555611550152175</v>
      </c>
      <c r="F31" s="33">
        <f>'286'!O235</f>
        <v>238.05568291899209</v>
      </c>
      <c r="G31" s="33">
        <f>G28*(F31-F29)*(F31-F30)/((F28-F29)*(F28-F30))+G29*(F31-F28)*(F31-F30)/((F29-F28)*(F29-F30))+G30*(F31-F28)*(F31-F29)/((F30-F28)*(F30-F29))</f>
        <v>2.9532799847861462</v>
      </c>
      <c r="H31" s="33">
        <f>H28*(F31-F29)*(F31-F30)/((F28-F29)*(F28-F30))+H29*(F31-F28)*(F31-F30)/((F29-F28)*(F29-F30))+H30*(F31-F28)*(F31-F29)/((F30-F28)*(F30-F29))</f>
        <v>2.8734955428483127</v>
      </c>
      <c r="J31" s="33">
        <f>'286'!O275</f>
        <v>241.02701948460287</v>
      </c>
      <c r="K31" s="33">
        <f>K28*(J31-J29)*(J31-J30)/((J28-J29)*(J28-J30))+K29*(J31-J28)*(J31-J30)/((J29-J28)*(J29-J30))+K30*(J31-J28)*(J31-J29)/((J30-J28)*(J30-J29))</f>
        <v>2.4118159603132927</v>
      </c>
      <c r="L31" s="33">
        <f>L28*(J31-J29)*(J31-J30)/((J28-J29)*(J28-J30))+L29*(J31-J28)*(J31-J30)/((J29-J28)*(J29-J30))+L30*(J31-J28)*(J31-J29)/((J30-J28)*(J30-J29))</f>
        <v>2.4118159603132927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</row>
    <row r="32" spans="2:68" ht="20.100000000000001" customHeight="1"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</row>
    <row r="33" spans="2:68" ht="20.100000000000001" customHeight="1">
      <c r="B33" s="34" t="s">
        <v>68</v>
      </c>
      <c r="C33" s="34"/>
      <c r="D33" s="34"/>
      <c r="F33" s="34" t="s">
        <v>70</v>
      </c>
      <c r="G33" s="34"/>
      <c r="H33" s="34"/>
      <c r="J33" s="34" t="s">
        <v>72</v>
      </c>
      <c r="K33" s="34"/>
      <c r="L33" s="34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</row>
    <row r="34" spans="2:68" ht="20.100000000000001" customHeight="1">
      <c r="B34" s="33">
        <f>'286'!C208</f>
        <v>288.3</v>
      </c>
      <c r="C34" s="39">
        <v>3.8</v>
      </c>
      <c r="D34" s="39">
        <v>3.8</v>
      </c>
      <c r="F34" s="33">
        <f>'286'!C248</f>
        <v>233</v>
      </c>
      <c r="G34" s="39">
        <v>3.1</v>
      </c>
      <c r="H34" s="39">
        <v>3.1</v>
      </c>
      <c r="J34" s="33">
        <f>'286'!C288</f>
        <v>329.1</v>
      </c>
      <c r="K34" s="39">
        <v>3.1</v>
      </c>
      <c r="L34" s="39">
        <v>3.1</v>
      </c>
      <c r="R34" s="32"/>
      <c r="S34" s="35"/>
      <c r="T34" s="35"/>
      <c r="U34" s="35"/>
      <c r="V34" s="35"/>
      <c r="W34" s="35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</row>
    <row r="35" spans="2:68" ht="20.100000000000001" customHeight="1">
      <c r="B35" s="33">
        <f>'286'!C209</f>
        <v>252</v>
      </c>
      <c r="C35" s="39">
        <v>3.7</v>
      </c>
      <c r="D35" s="39">
        <v>3.6</v>
      </c>
      <c r="F35" s="33">
        <f>'286'!C249</f>
        <v>202.8</v>
      </c>
      <c r="G35" s="39">
        <v>2.7</v>
      </c>
      <c r="H35" s="39">
        <v>2.5</v>
      </c>
      <c r="J35" s="33">
        <f>'286'!C289</f>
        <v>293.2</v>
      </c>
      <c r="K35" s="39">
        <v>2.8</v>
      </c>
      <c r="L35" s="39">
        <v>2.8</v>
      </c>
      <c r="R35" s="32"/>
      <c r="S35" s="37"/>
      <c r="T35" s="35"/>
      <c r="U35" s="35"/>
      <c r="V35" s="35"/>
      <c r="W35" s="35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</row>
    <row r="36" spans="2:68" ht="20.100000000000001" customHeight="1">
      <c r="B36" s="33">
        <f>'286'!C210</f>
        <v>216.4</v>
      </c>
      <c r="C36" s="39">
        <v>3.6</v>
      </c>
      <c r="D36" s="39">
        <v>3.3</v>
      </c>
      <c r="F36" s="33">
        <f>'286'!C250</f>
        <v>174.3</v>
      </c>
      <c r="G36" s="39">
        <v>2.2000000000000002</v>
      </c>
      <c r="H36" s="39">
        <v>1.8</v>
      </c>
      <c r="J36" s="33">
        <f>'286'!C290</f>
        <v>258.2</v>
      </c>
      <c r="K36" s="39">
        <v>2.5</v>
      </c>
      <c r="L36" s="39">
        <v>2.5</v>
      </c>
      <c r="R36" s="32"/>
      <c r="S36" s="32"/>
      <c r="T36" s="32"/>
      <c r="U36" s="32"/>
      <c r="V36" s="32"/>
      <c r="W36" s="32"/>
      <c r="X36" s="32"/>
      <c r="Y36" s="32"/>
      <c r="Z36" s="35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</row>
    <row r="37" spans="2:68" ht="20.100000000000001" customHeight="1">
      <c r="B37" s="33">
        <f>'286'!O215</f>
        <v>239.59576806790272</v>
      </c>
      <c r="C37" s="33">
        <f>C34*(B37-B35)*(B37-B36)/((B34-B35)*(B34-B36))+C35*(B37-B34)*(B37-B36)/((B35-B34)*(B35-B36))+C36*(B37-B34)*(B37-B35)/((B36-B34)*(B36-B35))</f>
        <v>3.6653734178754549</v>
      </c>
      <c r="D37" s="33">
        <f>D34*(B37-B35)*(B37-B36)/((B34-B35)*(B34-B36))+D35*(B37-B34)*(B37-B36)/((B35-B34)*(B35-B36))+D36*(B37-B34)*(B37-B35)/((B36-B34)*(B36-B35))</f>
        <v>3.5071443530205095</v>
      </c>
      <c r="F37" s="33">
        <f>'286'!O255</f>
        <v>237.3375731822905</v>
      </c>
      <c r="G37" s="33">
        <f>G34*(F37-F35)*(F37-F36)/((F34-F35)*(F34-F36))+G35*(F37-F34)*(F37-F36)/((F35-F34)*(F35-F36))+G36*(F37-F34)*(F37-F35)/((F36-F34)*(F36-F35))</f>
        <v>3.1464801933655013</v>
      </c>
      <c r="H37" s="33">
        <f>H34*(F37-F35)*(F37-F36)/((F34-F35)*(F34-F36))+H35*(F37-F34)*(F37-F36)/((F35-F34)*(F35-F36))+H36*(F37-F34)*(F37-F35)/((F36-F34)*(F36-F35))</f>
        <v>3.1741976877952527</v>
      </c>
      <c r="J37" s="33">
        <f>'286'!O295</f>
        <v>241.40138143627178</v>
      </c>
      <c r="K37" s="33">
        <f>K34*(J37-J35)*(J37-J36)/((J34-J35)*(J34-J36))+K35*(J37-J34)*(J37-J36)/((J35-J34)*(J35-J36))+K36*(J37-J34)*(J37-J35)/((J36-J34)*(J36-J35))</f>
        <v>2.3533746183205801</v>
      </c>
      <c r="L37" s="33">
        <f>L34*(J37-J35)*(J37-J36)/((J34-J35)*(J34-J36))+L35*(J37-J34)*(J37-J36)/((J35-J34)*(J35-J36))+L36*(J37-J34)*(J37-J35)/((J36-J34)*(J36-J35))</f>
        <v>2.3533746183205801</v>
      </c>
      <c r="R37" s="32"/>
      <c r="S37" s="32"/>
      <c r="T37" s="32"/>
      <c r="U37" s="32"/>
      <c r="V37" s="32"/>
      <c r="W37" s="32"/>
      <c r="X37" s="32"/>
      <c r="Y37" s="32"/>
      <c r="Z37" s="37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</row>
    <row r="38" spans="2:68" ht="20.100000000000001" customHeight="1">
      <c r="R38" s="32"/>
      <c r="S38" s="32"/>
      <c r="T38" s="32"/>
      <c r="U38" s="32"/>
      <c r="V38" s="32"/>
      <c r="W38" s="32"/>
      <c r="X38" s="32"/>
      <c r="Y38" s="32"/>
      <c r="Z38" s="37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</row>
    <row r="39" spans="2:68" ht="20.100000000000001" customHeight="1"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</row>
    <row r="40" spans="2:68" ht="20.100000000000001" customHeight="1">
      <c r="R40" s="32"/>
      <c r="S40" s="32"/>
      <c r="T40" s="32"/>
      <c r="U40" s="32"/>
      <c r="V40" s="32"/>
      <c r="W40" s="32"/>
      <c r="X40" s="32"/>
      <c r="Y40" s="32"/>
      <c r="Z40" s="35"/>
      <c r="AA40" s="35"/>
      <c r="AB40" s="35"/>
      <c r="AC40" s="35"/>
      <c r="AD40" s="35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</row>
    <row r="41" spans="2:68" ht="20.100000000000001" customHeight="1">
      <c r="R41" s="32"/>
      <c r="S41" s="32"/>
      <c r="T41" s="32"/>
      <c r="U41" s="32"/>
      <c r="V41" s="32"/>
      <c r="W41" s="32"/>
      <c r="X41" s="32"/>
      <c r="Y41" s="32"/>
      <c r="Z41" s="37"/>
      <c r="AA41" s="35"/>
      <c r="AB41" s="35"/>
      <c r="AC41" s="35"/>
      <c r="AD41" s="35"/>
      <c r="AE41" s="32"/>
      <c r="AF41" s="32"/>
      <c r="AG41" s="32"/>
      <c r="AH41" s="32"/>
      <c r="AI41" s="32"/>
      <c r="AJ41" s="32"/>
      <c r="AK41" s="35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</row>
    <row r="42" spans="2:68" ht="20.100000000000001" customHeight="1">
      <c r="R42" s="32"/>
      <c r="S42" s="32"/>
      <c r="T42" s="32"/>
      <c r="U42" s="32"/>
      <c r="V42" s="32"/>
      <c r="W42" s="32"/>
      <c r="X42" s="32"/>
      <c r="Y42" s="32"/>
      <c r="Z42" s="37"/>
      <c r="AA42" s="35"/>
      <c r="AB42" s="35"/>
      <c r="AC42" s="35"/>
      <c r="AD42" s="35"/>
      <c r="AE42" s="32"/>
      <c r="AF42" s="32"/>
      <c r="AG42" s="32"/>
      <c r="AH42" s="32"/>
      <c r="AI42" s="32"/>
      <c r="AJ42" s="32"/>
      <c r="AK42" s="37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</row>
    <row r="43" spans="2:68" ht="20.100000000000001" customHeight="1"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7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</row>
    <row r="44" spans="2:68" ht="20.100000000000001" customHeight="1">
      <c r="R44" s="32"/>
      <c r="S44" s="32"/>
      <c r="T44" s="32"/>
      <c r="U44" s="32"/>
      <c r="V44" s="32"/>
      <c r="W44" s="32"/>
      <c r="X44" s="32"/>
      <c r="Y44" s="32"/>
      <c r="Z44" s="35"/>
      <c r="AA44" s="35"/>
      <c r="AB44" s="35"/>
      <c r="AC44" s="35"/>
      <c r="AD44" s="35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5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</row>
    <row r="45" spans="2:68" ht="20.100000000000001" customHeight="1">
      <c r="R45" s="32"/>
      <c r="S45" s="32"/>
      <c r="T45" s="32"/>
      <c r="U45" s="32"/>
      <c r="V45" s="32"/>
      <c r="W45" s="32"/>
      <c r="X45" s="32"/>
      <c r="Y45" s="32"/>
      <c r="Z45" s="37"/>
      <c r="AA45" s="35"/>
      <c r="AB45" s="35"/>
      <c r="AC45" s="35"/>
      <c r="AD45" s="35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</row>
    <row r="46" spans="2:68" ht="20.100000000000001" customHeight="1">
      <c r="R46" s="32"/>
      <c r="S46" s="32"/>
      <c r="T46" s="32"/>
      <c r="U46" s="32"/>
      <c r="V46" s="32"/>
      <c r="W46" s="32"/>
      <c r="X46" s="32"/>
      <c r="Y46" s="32"/>
      <c r="Z46" s="37"/>
      <c r="AA46" s="35"/>
      <c r="AB46" s="35"/>
      <c r="AC46" s="35"/>
      <c r="AD46" s="35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</row>
    <row r="47" spans="2:68" ht="20.100000000000001" customHeight="1"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</row>
    <row r="48" spans="2:68" ht="20.100000000000001" customHeight="1"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</row>
    <row r="49" spans="18:68" ht="20.100000000000001" customHeight="1"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5"/>
      <c r="AL49" s="35"/>
      <c r="AM49" s="35"/>
      <c r="AN49" s="35"/>
      <c r="AO49" s="35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</row>
    <row r="50" spans="18:68" ht="20.100000000000001" customHeight="1"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7"/>
      <c r="AL50" s="35"/>
      <c r="AM50" s="35"/>
      <c r="AN50" s="35"/>
      <c r="AO50" s="35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</row>
    <row r="51" spans="18:68" ht="20.100000000000001" customHeight="1"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7"/>
      <c r="AL51" s="35"/>
      <c r="AM51" s="35"/>
      <c r="AN51" s="35"/>
      <c r="AO51" s="35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</row>
    <row r="52" spans="18:68" ht="20.100000000000001" customHeight="1"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</row>
    <row r="53" spans="18:68" ht="20.100000000000001" customHeight="1"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</row>
    <row r="54" spans="18:68" ht="20.100000000000001" customHeight="1"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</row>
    <row r="55" spans="18:68" ht="20.100000000000001" customHeight="1"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</row>
    <row r="56" spans="18:68" ht="20.100000000000001" customHeight="1"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</row>
    <row r="57" spans="18:68" ht="20.100000000000001" customHeight="1"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</row>
    <row r="58" spans="18:68" ht="20.100000000000001" customHeight="1"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</row>
    <row r="59" spans="18:68" ht="20.100000000000001" customHeight="1">
      <c r="R59" s="32"/>
      <c r="S59" s="32"/>
      <c r="T59" s="32"/>
      <c r="U59" s="32"/>
      <c r="V59" s="32"/>
      <c r="W59" s="32"/>
      <c r="X59" s="32"/>
      <c r="Y59" s="32"/>
      <c r="Z59" s="35"/>
      <c r="AA59" s="35"/>
      <c r="AB59" s="35"/>
      <c r="AC59" s="35"/>
      <c r="AD59" s="32"/>
      <c r="AE59" s="35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</row>
    <row r="60" spans="18:68" ht="20.100000000000001" customHeight="1"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5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</row>
    <row r="61" spans="18:68" ht="20.100000000000001" customHeight="1"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5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</row>
    <row r="62" spans="18:68" ht="20.100000000000001" customHeight="1"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</row>
    <row r="63" spans="18:68" ht="20.100000000000001" customHeight="1"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</row>
    <row r="64" spans="18:68" ht="20.100000000000001" customHeight="1"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</row>
    <row r="65" spans="18:68" ht="20.100000000000001" customHeight="1"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</row>
    <row r="66" spans="18:68" ht="20.100000000000001" customHeight="1"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</row>
    <row r="67" spans="18:68" ht="20.100000000000001" customHeight="1"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</row>
    <row r="68" spans="18:68" ht="20.100000000000001" customHeight="1"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</row>
    <row r="69" spans="18:68" ht="20.100000000000001" customHeight="1">
      <c r="R69" s="32"/>
      <c r="S69" s="32"/>
      <c r="T69" s="32"/>
      <c r="U69" s="32"/>
      <c r="V69" s="32"/>
      <c r="W69" s="32"/>
      <c r="X69" s="32"/>
      <c r="Y69" s="32"/>
      <c r="Z69" s="37"/>
      <c r="AA69" s="35"/>
      <c r="AB69" s="35"/>
      <c r="AC69" s="35"/>
      <c r="AD69" s="35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</row>
    <row r="70" spans="18:68" ht="20.100000000000001" customHeight="1"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</row>
    <row r="71" spans="18:68" ht="20.100000000000001" customHeight="1">
      <c r="R71" s="32"/>
      <c r="S71" s="32"/>
      <c r="T71" s="32"/>
      <c r="U71" s="32"/>
      <c r="V71" s="32"/>
      <c r="W71" s="32"/>
      <c r="X71" s="32"/>
      <c r="Y71" s="32"/>
      <c r="Z71" s="35"/>
      <c r="AA71" s="35"/>
      <c r="AB71" s="35"/>
      <c r="AC71" s="35"/>
      <c r="AD71" s="35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</row>
    <row r="72" spans="18:68" ht="20.100000000000001" customHeight="1">
      <c r="R72" s="32"/>
      <c r="S72" s="32"/>
      <c r="T72" s="32"/>
      <c r="U72" s="32"/>
      <c r="V72" s="32"/>
      <c r="W72" s="32"/>
      <c r="X72" s="32"/>
      <c r="Y72" s="32"/>
      <c r="Z72" s="37"/>
      <c r="AA72" s="35"/>
      <c r="AB72" s="35"/>
      <c r="AC72" s="35"/>
      <c r="AD72" s="35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</row>
    <row r="73" spans="18:68" ht="20.100000000000001" customHeight="1">
      <c r="R73" s="32"/>
      <c r="S73" s="32"/>
      <c r="T73" s="32"/>
      <c r="U73" s="32"/>
      <c r="V73" s="32"/>
      <c r="W73" s="32"/>
      <c r="X73" s="32"/>
      <c r="Y73" s="32"/>
      <c r="Z73" s="37"/>
      <c r="AA73" s="35"/>
      <c r="AB73" s="35"/>
      <c r="AC73" s="35"/>
      <c r="AD73" s="35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</row>
    <row r="74" spans="18:68" ht="20.100000000000001" customHeight="1"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</row>
    <row r="75" spans="18:68" ht="20.100000000000001" customHeight="1">
      <c r="R75" s="32"/>
      <c r="S75" s="32"/>
      <c r="T75" s="32"/>
      <c r="U75" s="32"/>
      <c r="V75" s="32"/>
      <c r="W75" s="32"/>
      <c r="X75" s="32"/>
      <c r="Y75" s="32"/>
      <c r="Z75" s="35"/>
      <c r="AA75" s="35"/>
      <c r="AB75" s="35"/>
      <c r="AC75" s="35"/>
      <c r="AD75" s="35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</row>
    <row r="76" spans="18:68" ht="20.100000000000001" customHeight="1">
      <c r="R76" s="32"/>
      <c r="S76" s="32"/>
      <c r="T76" s="32"/>
      <c r="U76" s="32"/>
      <c r="V76" s="32"/>
      <c r="W76" s="32"/>
      <c r="X76" s="32"/>
      <c r="Y76" s="32"/>
      <c r="Z76" s="37"/>
      <c r="AA76" s="35"/>
      <c r="AB76" s="35"/>
      <c r="AC76" s="35"/>
      <c r="AD76" s="35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</row>
    <row r="77" spans="18:68" ht="20.100000000000001" customHeight="1">
      <c r="R77" s="32"/>
      <c r="S77" s="32"/>
      <c r="T77" s="32"/>
      <c r="U77" s="32"/>
      <c r="V77" s="32"/>
      <c r="W77" s="32"/>
      <c r="X77" s="32"/>
      <c r="Y77" s="32"/>
      <c r="Z77" s="37"/>
      <c r="AA77" s="35"/>
      <c r="AB77" s="35"/>
      <c r="AC77" s="35"/>
      <c r="AD77" s="35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</row>
    <row r="78" spans="18:68" ht="20.100000000000001" customHeight="1"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</row>
    <row r="79" spans="18:68" ht="20.100000000000001" customHeight="1"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</row>
    <row r="80" spans="18:68" ht="20.100000000000001" customHeight="1"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</row>
    <row r="81" spans="18:68" ht="20.100000000000001" customHeight="1"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</row>
    <row r="82" spans="18:68" ht="20.100000000000001" customHeight="1"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</row>
    <row r="83" spans="18:68" ht="20.100000000000001" customHeight="1"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</row>
    <row r="84" spans="18:68" ht="20.100000000000001" customHeight="1"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</row>
    <row r="85" spans="18:68" ht="20.100000000000001" customHeight="1"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</row>
    <row r="86" spans="18:68" ht="20.100000000000001" customHeight="1"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</row>
    <row r="87" spans="18:68" ht="20.100000000000001" customHeight="1"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</row>
    <row r="88" spans="18:68" ht="20.100000000000001" customHeight="1"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</row>
    <row r="89" spans="18:68" ht="20.100000000000001" customHeight="1"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</row>
    <row r="90" spans="18:68" ht="20.100000000000001" customHeight="1"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</row>
    <row r="91" spans="18:68" ht="20.100000000000001" customHeight="1"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</row>
    <row r="92" spans="18:68" ht="20.100000000000001" customHeight="1"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</row>
    <row r="93" spans="18:68" ht="20.100000000000001" customHeight="1"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</row>
    <row r="94" spans="18:68" ht="20.100000000000001" customHeight="1"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</row>
    <row r="95" spans="18:68" ht="20.100000000000001" customHeight="1"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</row>
    <row r="96" spans="18:68" ht="20.100000000000001" customHeight="1"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</row>
    <row r="97" spans="18:68" ht="20.100000000000001" customHeight="1"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</row>
    <row r="98" spans="18:68" ht="20.100000000000001" customHeight="1"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</row>
    <row r="99" spans="18:68" ht="20.100000000000001" customHeight="1"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</row>
    <row r="100" spans="18:68" ht="20.100000000000001" customHeight="1"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</row>
    <row r="101" spans="18:68" ht="20.100000000000001" customHeight="1"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</row>
    <row r="102" spans="18:68" ht="20.100000000000001" customHeight="1"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8:68" ht="20.100000000000001" customHeight="1"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8:68" ht="20.100000000000001" customHeight="1"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5" spans="18:68" ht="20.100000000000001" customHeight="1"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</row>
    <row r="106" spans="18:68" ht="20.100000000000001" customHeight="1"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8:68" ht="20.100000000000001" customHeight="1"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8:68" ht="20.100000000000001" customHeight="1"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109" spans="18:68" ht="20.100000000000001" customHeight="1"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</row>
    <row r="110" spans="18:68" ht="20.100000000000001" customHeight="1"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</row>
    <row r="111" spans="18:68" ht="20.100000000000001" customHeight="1"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</row>
    <row r="112" spans="18:68" ht="20.100000000000001" customHeight="1"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</row>
    <row r="113" spans="18:68" ht="20.100000000000001" customHeight="1"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</row>
    <row r="114" spans="18:68" ht="20.100000000000001" customHeight="1"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</row>
    <row r="115" spans="18:68" ht="20.100000000000001" customHeight="1"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</row>
    <row r="116" spans="18:68" ht="20.100000000000001" customHeight="1"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</row>
    <row r="117" spans="18:68" ht="20.100000000000001" customHeight="1"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</row>
    <row r="118" spans="18:68" ht="20.100000000000001" customHeight="1"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</row>
    <row r="119" spans="18:68" ht="20.100000000000001" customHeight="1"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</row>
    <row r="120" spans="18:68" ht="20.100000000000001" customHeight="1"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</row>
    <row r="121" spans="18:68" ht="20.100000000000001" customHeight="1"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</row>
    <row r="122" spans="18:68" ht="20.100000000000001" customHeight="1"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</row>
    <row r="123" spans="18:68" ht="20.100000000000001" customHeight="1"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</row>
    <row r="124" spans="18:68" ht="20.100000000000001" customHeight="1"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</row>
    <row r="125" spans="18:68" ht="20.100000000000001" customHeight="1"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</row>
    <row r="126" spans="18:68" ht="20.100000000000001" customHeight="1"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</row>
    <row r="127" spans="18:68" ht="20.100000000000001" customHeight="1"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</row>
    <row r="128" spans="18:68" ht="20.100000000000001" customHeight="1"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</row>
    <row r="129" spans="18:68" ht="20.100000000000001" customHeight="1"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</row>
    <row r="130" spans="18:68" ht="20.100000000000001" customHeight="1"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</row>
    <row r="131" spans="18:68" ht="20.100000000000001" customHeight="1"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</row>
    <row r="132" spans="18:68" ht="20.100000000000001" customHeight="1"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</row>
    <row r="133" spans="18:68" ht="20.100000000000001" customHeight="1"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</row>
    <row r="134" spans="18:68" ht="20.100000000000001" customHeight="1"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</row>
    <row r="135" spans="18:68" ht="20.100000000000001" customHeight="1"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</row>
    <row r="136" spans="18:68" ht="20.100000000000001" customHeight="1"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</row>
    <row r="137" spans="18:68" ht="20.100000000000001" customHeight="1"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</row>
    <row r="138" spans="18:68" ht="20.100000000000001" customHeight="1"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</row>
    <row r="139" spans="18:68" ht="20.100000000000001" customHeight="1"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</row>
    <row r="140" spans="18:68" ht="20.100000000000001" customHeight="1"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</row>
    <row r="141" spans="18:68" ht="20.100000000000001" customHeight="1"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</row>
    <row r="142" spans="18:68" ht="20.100000000000001" customHeight="1"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</row>
    <row r="143" spans="18:68" ht="20.100000000000001" customHeight="1"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</row>
    <row r="144" spans="18:68" ht="20.100000000000001" customHeight="1"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</row>
    <row r="145" spans="18:68" ht="20.100000000000001" customHeight="1"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</row>
    <row r="146" spans="18:68" ht="20.100000000000001" customHeight="1"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</row>
    <row r="147" spans="18:68" ht="20.100000000000001" customHeight="1"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</row>
    <row r="148" spans="18:68" ht="20.100000000000001" customHeight="1"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</row>
    <row r="149" spans="18:68" ht="20.100000000000001" customHeight="1"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</row>
    <row r="150" spans="18:68" ht="20.100000000000001" customHeight="1"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</row>
    <row r="151" spans="18:68" ht="20.100000000000001" customHeight="1"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</row>
    <row r="152" spans="18:68" ht="20.100000000000001" customHeight="1"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</row>
    <row r="153" spans="18:68" ht="20.100000000000001" customHeight="1"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</row>
    <row r="154" spans="18:68" ht="20.100000000000001" customHeight="1"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</row>
    <row r="155" spans="18:68" ht="20.100000000000001" customHeight="1"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</row>
    <row r="156" spans="18:68" ht="20.100000000000001" customHeight="1"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</row>
    <row r="157" spans="18:68" ht="20.100000000000001" customHeight="1"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</row>
    <row r="158" spans="18:68" ht="20.100000000000001" customHeight="1"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</row>
    <row r="159" spans="18:68" ht="20.100000000000001" customHeight="1"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</row>
    <row r="160" spans="18:68" ht="20.100000000000001" customHeight="1"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</row>
    <row r="161" spans="18:68" ht="20.100000000000001" customHeight="1"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</row>
    <row r="162" spans="18:68" ht="20.100000000000001" customHeight="1"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</row>
    <row r="163" spans="18:68" ht="20.100000000000001" customHeight="1"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</row>
    <row r="164" spans="18:68" ht="20.100000000000001" customHeight="1"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</row>
    <row r="165" spans="18:68" ht="20.100000000000001" customHeight="1"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</row>
    <row r="166" spans="18:68" ht="20.100000000000001" customHeight="1"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</row>
    <row r="167" spans="18:68" ht="20.100000000000001" customHeight="1"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</row>
    <row r="168" spans="18:68" ht="20.100000000000001" customHeight="1"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</row>
    <row r="169" spans="18:68" ht="20.100000000000001" customHeight="1"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</row>
    <row r="170" spans="18:68" ht="20.100000000000001" customHeight="1"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</row>
    <row r="171" spans="18:68" ht="20.100000000000001" customHeight="1"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</row>
    <row r="172" spans="18:68" ht="20.100000000000001" customHeight="1"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</row>
    <row r="173" spans="18:68" ht="20.100000000000001" customHeight="1"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</row>
    <row r="174" spans="18:68" ht="20.100000000000001" customHeight="1"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</row>
    <row r="175" spans="18:68" ht="20.100000000000001" customHeight="1"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</row>
    <row r="176" spans="18:68" ht="20.100000000000001" customHeight="1"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</row>
    <row r="177" spans="18:68" ht="20.100000000000001" customHeight="1"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</row>
    <row r="178" spans="18:68" ht="20.100000000000001" customHeight="1"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</row>
    <row r="179" spans="18:68" ht="20.100000000000001" customHeight="1"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</row>
    <row r="180" spans="18:68" ht="20.100000000000001" customHeight="1"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</row>
    <row r="181" spans="18:68" ht="20.100000000000001" customHeight="1"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</row>
    <row r="182" spans="18:68" ht="20.100000000000001" customHeight="1"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</row>
    <row r="183" spans="18:68" ht="20.100000000000001" customHeight="1"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</row>
    <row r="184" spans="18:68" ht="20.100000000000001" customHeight="1"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</row>
    <row r="185" spans="18:68" ht="20.100000000000001" customHeight="1"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</row>
    <row r="186" spans="18:68" ht="20.100000000000001" customHeight="1"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</row>
    <row r="187" spans="18:68" ht="20.100000000000001" customHeight="1"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</row>
    <row r="188" spans="18:68" ht="20.100000000000001" customHeight="1"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</row>
    <row r="189" spans="18:68" ht="20.100000000000001" customHeight="1"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</row>
    <row r="190" spans="18:68" ht="20.100000000000001" customHeight="1"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</row>
    <row r="191" spans="18:68" ht="20.100000000000001" customHeight="1"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</row>
    <row r="192" spans="18:68" ht="20.100000000000001" customHeight="1"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</row>
    <row r="193" spans="18:68" ht="20.100000000000001" customHeight="1"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</row>
    <row r="194" spans="18:68" ht="20.100000000000001" customHeight="1"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</row>
    <row r="195" spans="18:68" ht="20.100000000000001" customHeight="1"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</row>
    <row r="196" spans="18:68" ht="20.100000000000001" customHeight="1"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</row>
    <row r="197" spans="18:68" ht="20.100000000000001" customHeight="1"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</row>
    <row r="198" spans="18:68" ht="20.100000000000001" customHeight="1"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</row>
    <row r="199" spans="18:68" ht="20.100000000000001" customHeight="1"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</row>
    <row r="200" spans="18:68" ht="20.100000000000001" customHeight="1"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</row>
    <row r="201" spans="18:68" ht="20.100000000000001" customHeight="1"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</row>
    <row r="202" spans="18:68" ht="20.100000000000001" customHeight="1"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</row>
    <row r="203" spans="18:68" ht="20.100000000000001" customHeight="1"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</row>
    <row r="204" spans="18:68" ht="20.100000000000001" customHeight="1"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</row>
    <row r="205" spans="18:68" ht="20.100000000000001" customHeight="1"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</row>
    <row r="206" spans="18:68" ht="20.100000000000001" customHeight="1"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</row>
    <row r="207" spans="18:68" ht="20.100000000000001" customHeight="1"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</row>
    <row r="208" spans="18:68" ht="20.100000000000001" customHeight="1"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</row>
    <row r="209" spans="18:68" ht="20.100000000000001" customHeight="1"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</row>
    <row r="210" spans="18:68" ht="20.100000000000001" customHeight="1"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</row>
    <row r="211" spans="18:68" ht="20.100000000000001" customHeight="1"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</row>
    <row r="212" spans="18:68" ht="20.100000000000001" customHeight="1"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</row>
    <row r="213" spans="18:68" ht="20.100000000000001" customHeight="1"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</row>
    <row r="214" spans="18:68" ht="20.100000000000001" customHeight="1"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</row>
    <row r="215" spans="18:68" ht="20.100000000000001" customHeight="1"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</row>
    <row r="216" spans="18:68" ht="20.100000000000001" customHeight="1"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</row>
    <row r="217" spans="18:68" ht="20.100000000000001" customHeight="1"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</row>
    <row r="218" spans="18:68" ht="20.100000000000001" customHeight="1"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</row>
    <row r="219" spans="18:68" ht="20.100000000000001" customHeight="1"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</row>
    <row r="220" spans="18:68" ht="20.100000000000001" customHeight="1"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</row>
    <row r="221" spans="18:68" ht="20.100000000000001" customHeight="1"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</row>
    <row r="222" spans="18:68" ht="20.100000000000001" customHeight="1"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</row>
    <row r="223" spans="18:68" ht="20.100000000000001" customHeight="1"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</row>
    <row r="224" spans="18:68" ht="20.100000000000001" customHeight="1"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</row>
    <row r="225" spans="18:68" ht="20.100000000000001" customHeight="1"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</row>
    <row r="226" spans="18:68" ht="20.100000000000001" customHeight="1"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</row>
    <row r="227" spans="18:68" ht="20.100000000000001" customHeight="1"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</row>
    <row r="228" spans="18:68" ht="20.100000000000001" customHeight="1"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</row>
    <row r="229" spans="18:68" ht="20.100000000000001" customHeight="1"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</row>
    <row r="230" spans="18:68" ht="20.100000000000001" customHeight="1"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</row>
    <row r="231" spans="18:68" ht="20.100000000000001" customHeight="1"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</row>
    <row r="232" spans="18:68" ht="20.100000000000001" customHeight="1"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</row>
    <row r="233" spans="18:68" ht="20.100000000000001" customHeight="1"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</row>
    <row r="234" spans="18:68" ht="20.100000000000001" customHeight="1"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</row>
    <row r="235" spans="18:68" ht="20.100000000000001" customHeight="1"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</row>
    <row r="236" spans="18:68" ht="20.100000000000001" customHeight="1"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</row>
    <row r="237" spans="18:68" ht="20.100000000000001" customHeight="1"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</row>
    <row r="238" spans="18:68" ht="20.100000000000001" customHeight="1"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</row>
    <row r="239" spans="18:68" ht="20.100000000000001" customHeight="1"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</row>
    <row r="240" spans="18:68" ht="20.100000000000001" customHeight="1"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</row>
    <row r="241" spans="18:68" ht="20.100000000000001" customHeight="1"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</row>
    <row r="242" spans="18:68" ht="20.100000000000001" customHeight="1"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</row>
    <row r="243" spans="18:68" ht="20.100000000000001" customHeight="1"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</row>
    <row r="244" spans="18:68" ht="20.100000000000001" customHeight="1"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</row>
    <row r="245" spans="18:68" ht="20.100000000000001" customHeight="1"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</row>
    <row r="246" spans="18:68" ht="20.100000000000001" customHeight="1"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</row>
    <row r="247" spans="18:68" ht="20.100000000000001" customHeight="1"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</row>
    <row r="248" spans="18:68" ht="20.100000000000001" customHeight="1"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</row>
    <row r="249" spans="18:68" ht="20.100000000000001" customHeight="1"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</row>
    <row r="250" spans="18:68" ht="20.100000000000001" customHeight="1"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</row>
    <row r="251" spans="18:68" ht="20.100000000000001" customHeight="1"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</row>
    <row r="252" spans="18:68" ht="20.100000000000001" customHeight="1"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</row>
    <row r="253" spans="18:68" ht="20.100000000000001" customHeight="1"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</row>
    <row r="254" spans="18:68" ht="20.100000000000001" customHeight="1"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</row>
    <row r="255" spans="18:68" ht="20.100000000000001" customHeight="1"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</row>
    <row r="256" spans="18:68" ht="20.100000000000001" customHeight="1"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</row>
    <row r="257" spans="18:68" ht="20.100000000000001" customHeight="1"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</row>
    <row r="258" spans="18:68" ht="20.100000000000001" customHeight="1"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</row>
    <row r="259" spans="18:68" ht="20.100000000000001" customHeight="1"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</row>
    <row r="260" spans="18:68" ht="20.100000000000001" customHeight="1"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</row>
    <row r="261" spans="18:68" ht="20.100000000000001" customHeight="1"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</row>
    <row r="262" spans="18:68" ht="20.100000000000001" customHeight="1"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</row>
    <row r="263" spans="18:68" ht="20.100000000000001" customHeight="1"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</row>
    <row r="264" spans="18:68" ht="20.100000000000001" customHeight="1"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</row>
    <row r="265" spans="18:68" ht="20.100000000000001" customHeight="1"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</row>
    <row r="266" spans="18:68" ht="20.100000000000001" customHeight="1"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</row>
    <row r="267" spans="18:68" ht="20.100000000000001" customHeight="1"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</row>
    <row r="268" spans="18:68" ht="20.100000000000001" customHeight="1"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</row>
    <row r="269" spans="18:68" ht="20.100000000000001" customHeight="1"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</row>
    <row r="270" spans="18:68" ht="20.100000000000001" customHeight="1"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</row>
    <row r="271" spans="18:68" ht="20.100000000000001" customHeight="1"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</row>
    <row r="272" spans="18:68" ht="20.100000000000001" customHeight="1"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</row>
    <row r="273" spans="18:68" ht="20.100000000000001" customHeight="1"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</row>
    <row r="274" spans="18:68" ht="20.100000000000001" customHeight="1"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</row>
    <row r="275" spans="18:68" ht="20.100000000000001" customHeight="1"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</row>
    <row r="276" spans="18:68" ht="20.100000000000001" customHeight="1"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</row>
    <row r="277" spans="18:68" ht="20.100000000000001" customHeight="1"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</row>
    <row r="278" spans="18:68" ht="20.100000000000001" customHeight="1"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</row>
    <row r="279" spans="18:68" ht="20.100000000000001" customHeight="1"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</row>
    <row r="280" spans="18:68" ht="20.100000000000001" customHeight="1"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</row>
    <row r="281" spans="18:68" ht="20.100000000000001" customHeight="1"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</row>
    <row r="282" spans="18:68" ht="20.100000000000001" customHeight="1"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</row>
    <row r="283" spans="18:68" ht="20.100000000000001" customHeight="1"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</row>
    <row r="284" spans="18:68" ht="20.100000000000001" customHeight="1"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</row>
    <row r="285" spans="18:68" ht="20.100000000000001" customHeight="1"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</row>
    <row r="286" spans="18:68" ht="20.100000000000001" customHeight="1"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</row>
    <row r="287" spans="18:68" ht="20.100000000000001" customHeight="1"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</row>
    <row r="288" spans="18:68" ht="20.100000000000001" customHeight="1"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</row>
    <row r="289" spans="18:68" ht="20.100000000000001" customHeight="1"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</row>
    <row r="290" spans="18:68" ht="20.100000000000001" customHeight="1"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</row>
    <row r="291" spans="18:68" ht="20.100000000000001" customHeight="1"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</row>
    <row r="292" spans="18:68" ht="20.100000000000001" customHeight="1"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</row>
    <row r="293" spans="18:68" ht="20.100000000000001" customHeight="1"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</row>
    <row r="294" spans="18:68" ht="20.100000000000001" customHeight="1"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</row>
    <row r="295" spans="18:68" ht="20.100000000000001" customHeight="1"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</row>
    <row r="296" spans="18:68" ht="20.100000000000001" customHeight="1"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</row>
    <row r="297" spans="18:68" ht="20.100000000000001" customHeight="1"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</row>
    <row r="298" spans="18:68" ht="20.100000000000001" customHeight="1"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</row>
    <row r="299" spans="18:68" ht="20.100000000000001" customHeight="1"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</row>
    <row r="300" spans="18:68" ht="20.100000000000001" customHeight="1"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</row>
    <row r="301" spans="18:68" ht="20.100000000000001" customHeight="1"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</row>
    <row r="302" spans="18:68" ht="20.100000000000001" customHeight="1"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</row>
    <row r="303" spans="18:68" ht="20.100000000000001" customHeight="1"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</row>
    <row r="304" spans="18:68" ht="20.100000000000001" customHeight="1"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</row>
    <row r="305" spans="18:68" ht="20.100000000000001" customHeight="1"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</row>
    <row r="306" spans="18:68" ht="20.100000000000001" customHeight="1"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</row>
    <row r="307" spans="18:68" ht="20.100000000000001" customHeight="1"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</row>
    <row r="308" spans="18:68" ht="20.100000000000001" customHeight="1"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</row>
    <row r="309" spans="18:68" ht="20.100000000000001" customHeight="1"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</row>
    <row r="310" spans="18:68" ht="20.100000000000001" customHeight="1"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</row>
    <row r="311" spans="18:68" ht="20.100000000000001" customHeight="1"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</row>
  </sheetData>
  <sheetProtection sheet="1" objects="1" scenarios="1" selectLockedCells="1" selectUnlockedCell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AK363"/>
  <sheetViews>
    <sheetView showGridLines="0" showRowColHeaders="0" zoomScaleNormal="100" workbookViewId="0"/>
  </sheetViews>
  <sheetFormatPr defaultColWidth="10.5703125" defaultRowHeight="20.100000000000001" customHeight="1"/>
  <cols>
    <col min="1" max="16384" width="10.5703125" style="3"/>
  </cols>
  <sheetData>
    <row r="1" spans="1:37" ht="20.100000000000001" customHeight="1">
      <c r="A1" s="1" t="s">
        <v>79</v>
      </c>
      <c r="B1" s="2">
        <v>282</v>
      </c>
      <c r="D1" s="1" t="s">
        <v>5</v>
      </c>
      <c r="E1" s="634" t="s">
        <v>50</v>
      </c>
      <c r="F1" s="634"/>
      <c r="G1" s="634"/>
      <c r="H1" s="635" t="s">
        <v>51</v>
      </c>
      <c r="I1" s="635"/>
      <c r="J1" s="635"/>
      <c r="K1" s="636" t="s">
        <v>52</v>
      </c>
      <c r="L1" s="636"/>
      <c r="M1" s="636"/>
      <c r="N1" s="637" t="s">
        <v>53</v>
      </c>
      <c r="O1" s="637"/>
      <c r="P1" s="637"/>
      <c r="Q1" s="638" t="s">
        <v>54</v>
      </c>
      <c r="R1" s="638"/>
      <c r="S1" s="638"/>
      <c r="T1" s="633" t="s">
        <v>55</v>
      </c>
      <c r="U1" s="633"/>
      <c r="V1" s="633"/>
      <c r="W1" s="639" t="s">
        <v>56</v>
      </c>
      <c r="X1" s="639"/>
      <c r="Y1" s="639"/>
      <c r="Z1" s="640" t="s">
        <v>57</v>
      </c>
      <c r="AA1" s="640"/>
      <c r="AB1" s="640"/>
      <c r="AC1" s="641" t="s">
        <v>58</v>
      </c>
      <c r="AD1" s="641"/>
      <c r="AE1" s="641"/>
      <c r="AF1" s="642" t="s">
        <v>59</v>
      </c>
      <c r="AG1" s="642"/>
      <c r="AH1" s="642"/>
      <c r="AI1" s="643" t="s">
        <v>60</v>
      </c>
      <c r="AJ1" s="643"/>
      <c r="AK1" s="643"/>
    </row>
    <row r="2" spans="1:37" ht="20.100000000000001" customHeight="1">
      <c r="A2" s="1" t="s">
        <v>122</v>
      </c>
      <c r="B2" s="2">
        <v>4</v>
      </c>
      <c r="D2" s="1"/>
      <c r="E2" s="4" t="s">
        <v>61</v>
      </c>
      <c r="F2" s="4" t="s">
        <v>62</v>
      </c>
      <c r="G2" s="4" t="s">
        <v>63</v>
      </c>
      <c r="H2" s="5" t="s">
        <v>61</v>
      </c>
      <c r="I2" s="5" t="s">
        <v>62</v>
      </c>
      <c r="J2" s="5" t="s">
        <v>63</v>
      </c>
      <c r="K2" s="6" t="s">
        <v>61</v>
      </c>
      <c r="L2" s="6" t="s">
        <v>62</v>
      </c>
      <c r="M2" s="6" t="s">
        <v>63</v>
      </c>
      <c r="N2" s="7" t="s">
        <v>61</v>
      </c>
      <c r="O2" s="7" t="s">
        <v>62</v>
      </c>
      <c r="P2" s="7" t="s">
        <v>63</v>
      </c>
      <c r="Q2" s="8" t="s">
        <v>61</v>
      </c>
      <c r="R2" s="8" t="s">
        <v>62</v>
      </c>
      <c r="S2" s="8" t="s">
        <v>63</v>
      </c>
      <c r="T2" s="9" t="s">
        <v>61</v>
      </c>
      <c r="U2" s="9" t="s">
        <v>62</v>
      </c>
      <c r="V2" s="9" t="s">
        <v>63</v>
      </c>
      <c r="W2" s="10" t="s">
        <v>61</v>
      </c>
      <c r="X2" s="10" t="s">
        <v>62</v>
      </c>
      <c r="Y2" s="10" t="s">
        <v>63</v>
      </c>
      <c r="Z2" s="11" t="s">
        <v>61</v>
      </c>
      <c r="AA2" s="11" t="s">
        <v>62</v>
      </c>
      <c r="AB2" s="11" t="s">
        <v>63</v>
      </c>
      <c r="AC2" s="12" t="s">
        <v>61</v>
      </c>
      <c r="AD2" s="12" t="s">
        <v>62</v>
      </c>
      <c r="AE2" s="12" t="s">
        <v>63</v>
      </c>
      <c r="AF2" s="13" t="s">
        <v>61</v>
      </c>
      <c r="AG2" s="13" t="s">
        <v>62</v>
      </c>
      <c r="AH2" s="13" t="s">
        <v>63</v>
      </c>
      <c r="AI2" s="14" t="s">
        <v>61</v>
      </c>
      <c r="AJ2" s="14" t="s">
        <v>62</v>
      </c>
      <c r="AK2" s="14" t="s">
        <v>63</v>
      </c>
    </row>
    <row r="3" spans="1:37" ht="20.100000000000001" customHeight="1">
      <c r="A3" s="1" t="s">
        <v>123</v>
      </c>
      <c r="B3" s="2">
        <v>6</v>
      </c>
      <c r="D3" s="15">
        <v>0</v>
      </c>
      <c r="E3" s="16">
        <f t="shared" ref="E3:T18" si="0">E4-(E$363/360)</f>
        <v>-8.7418960958984826E-13</v>
      </c>
      <c r="F3" s="16">
        <f t="shared" si="0"/>
        <v>-2.829958489769524E-12</v>
      </c>
      <c r="G3" s="16">
        <f t="shared" si="0"/>
        <v>-1.148858785882112E-12</v>
      </c>
      <c r="H3" s="17">
        <f t="shared" si="0"/>
        <v>1.2896350654045818E-12</v>
      </c>
      <c r="I3" s="17">
        <f t="shared" si="0"/>
        <v>-3.6437519668197638E-13</v>
      </c>
      <c r="J3" s="17">
        <f t="shared" si="0"/>
        <v>-5.9952043329758453E-15</v>
      </c>
      <c r="K3" s="18">
        <f t="shared" si="0"/>
        <v>-8.6264329013374663E-13</v>
      </c>
      <c r="L3" s="18">
        <f t="shared" si="0"/>
        <v>-1.2929657344784573E-12</v>
      </c>
      <c r="M3" s="18">
        <f t="shared" si="0"/>
        <v>-5.3379523023977526E-13</v>
      </c>
      <c r="N3" s="19">
        <f t="shared" si="0"/>
        <v>-4.5474735088646412E-13</v>
      </c>
      <c r="O3" s="19">
        <f t="shared" si="0"/>
        <v>1.3153922395758855E-12</v>
      </c>
      <c r="P3" s="19">
        <f t="shared" si="0"/>
        <v>-9.1060492479755339E-13</v>
      </c>
      <c r="Q3" s="20">
        <f t="shared" si="0"/>
        <v>1.0543788064865112E-12</v>
      </c>
      <c r="R3" s="20">
        <f t="shared" si="0"/>
        <v>1.4208634269152753E-12</v>
      </c>
      <c r="S3" s="20">
        <f t="shared" si="0"/>
        <v>1.3153922395758855E-12</v>
      </c>
      <c r="T3" s="21">
        <f t="shared" si="0"/>
        <v>1.500244373175974E-12</v>
      </c>
      <c r="U3" s="21">
        <f t="shared" ref="U3:AJ18" si="1">U4-(U$363/360)</f>
        <v>0</v>
      </c>
      <c r="V3" s="21">
        <f t="shared" si="1"/>
        <v>1.4208634269152753E-12</v>
      </c>
      <c r="W3" s="22">
        <f t="shared" si="1"/>
        <v>2.1393997684526767E-13</v>
      </c>
      <c r="X3" s="22">
        <f t="shared" si="1"/>
        <v>-1.3221646000260989E-12</v>
      </c>
      <c r="Y3" s="22">
        <f t="shared" si="1"/>
        <v>0</v>
      </c>
      <c r="Z3" s="23">
        <f t="shared" si="1"/>
        <v>-9.7066799042977436E-13</v>
      </c>
      <c r="AA3" s="23">
        <f t="shared" si="1"/>
        <v>-5.0515147620444623E-13</v>
      </c>
      <c r="AB3" s="23">
        <f t="shared" si="1"/>
        <v>-1.3221646000260989E-12</v>
      </c>
      <c r="AC3" s="24">
        <f t="shared" si="1"/>
        <v>3.3439917501709715E-13</v>
      </c>
      <c r="AD3" s="24">
        <f t="shared" si="1"/>
        <v>-9.0705221111875289E-14</v>
      </c>
      <c r="AE3" s="24">
        <f t="shared" si="1"/>
        <v>-5.0515147620444623E-13</v>
      </c>
      <c r="AF3" s="25">
        <f t="shared" si="1"/>
        <v>-4.7040149553367883E-13</v>
      </c>
      <c r="AG3" s="25">
        <f t="shared" si="1"/>
        <v>8.4676710088160689E-13</v>
      </c>
      <c r="AH3" s="25">
        <f t="shared" si="1"/>
        <v>-9.0705221111875289E-14</v>
      </c>
      <c r="AI3" s="26">
        <f t="shared" si="1"/>
        <v>2.8266278206956486E-13</v>
      </c>
      <c r="AJ3" s="26">
        <f t="shared" si="1"/>
        <v>-8.2589490801865395E-13</v>
      </c>
      <c r="AK3" s="26">
        <f t="shared" ref="AK3:AK17" si="2">AK4-(AK$363/360)</f>
        <v>8.4676710088160689E-13</v>
      </c>
    </row>
    <row r="4" spans="1:37" ht="20.100000000000001" customHeight="1">
      <c r="D4" s="27">
        <f>D3+0.2/72</f>
        <v>2.7777777777777779E-3</v>
      </c>
      <c r="E4" s="16">
        <f t="shared" si="0"/>
        <v>0.79444444444357021</v>
      </c>
      <c r="F4" s="16">
        <f t="shared" si="0"/>
        <v>0.83888888888605895</v>
      </c>
      <c r="G4" s="16">
        <f t="shared" si="0"/>
        <v>0.86666666666551784</v>
      </c>
      <c r="H4" s="17">
        <f t="shared" si="0"/>
        <v>0.73888888889017856</v>
      </c>
      <c r="I4" s="17">
        <f t="shared" si="0"/>
        <v>0.78333333333296895</v>
      </c>
      <c r="J4" s="17">
        <f t="shared" si="0"/>
        <v>0.81111111111110512</v>
      </c>
      <c r="K4" s="18">
        <f t="shared" si="0"/>
        <v>0.6833333333324707</v>
      </c>
      <c r="L4" s="18">
        <f t="shared" si="0"/>
        <v>0.72777777777648478</v>
      </c>
      <c r="M4" s="18">
        <f t="shared" si="0"/>
        <v>0.75555555555502174</v>
      </c>
      <c r="N4" s="19">
        <f t="shared" si="0"/>
        <v>0.51111111111065632</v>
      </c>
      <c r="O4" s="19">
        <f t="shared" si="0"/>
        <v>0.55555555555687097</v>
      </c>
      <c r="P4" s="19">
        <f t="shared" si="0"/>
        <v>0.58333333333242277</v>
      </c>
      <c r="Q4" s="20">
        <f t="shared" si="0"/>
        <v>0.48333333333438772</v>
      </c>
      <c r="R4" s="20">
        <f t="shared" si="0"/>
        <v>0.52777777777919865</v>
      </c>
      <c r="S4" s="20">
        <f t="shared" si="0"/>
        <v>0.55555555555687097</v>
      </c>
      <c r="T4" s="21">
        <f t="shared" si="0"/>
        <v>0.45555555555705579</v>
      </c>
      <c r="U4" s="21">
        <f t="shared" si="1"/>
        <v>0.5</v>
      </c>
      <c r="V4" s="21">
        <f t="shared" si="1"/>
        <v>0.52777777777919865</v>
      </c>
      <c r="W4" s="22">
        <f t="shared" si="1"/>
        <v>0.4277777777779917</v>
      </c>
      <c r="X4" s="22">
        <f t="shared" si="1"/>
        <v>0.47222222222090005</v>
      </c>
      <c r="Y4" s="22">
        <f t="shared" si="1"/>
        <v>0.5</v>
      </c>
      <c r="Z4" s="23">
        <f t="shared" si="1"/>
        <v>0.39999999999902935</v>
      </c>
      <c r="AA4" s="23">
        <f t="shared" si="1"/>
        <v>0.44444444444393927</v>
      </c>
      <c r="AB4" s="23">
        <f t="shared" si="1"/>
        <v>0.47222222222090005</v>
      </c>
      <c r="AC4" s="24">
        <f t="shared" si="1"/>
        <v>0.37222222222255663</v>
      </c>
      <c r="AD4" s="24">
        <f t="shared" si="1"/>
        <v>0.41666666666657598</v>
      </c>
      <c r="AE4" s="24">
        <f t="shared" si="1"/>
        <v>0.44444444444393927</v>
      </c>
      <c r="AF4" s="25">
        <f t="shared" si="1"/>
        <v>0.34444444444397404</v>
      </c>
      <c r="AG4" s="25">
        <f t="shared" si="1"/>
        <v>0.38888888888973566</v>
      </c>
      <c r="AH4" s="25">
        <f t="shared" si="1"/>
        <v>0.41666666666657598</v>
      </c>
      <c r="AI4" s="26">
        <f t="shared" si="1"/>
        <v>0.31666666666694931</v>
      </c>
      <c r="AJ4" s="26">
        <f t="shared" si="1"/>
        <v>0.36111111111028521</v>
      </c>
      <c r="AK4" s="26">
        <f t="shared" si="2"/>
        <v>0.38888888888973566</v>
      </c>
    </row>
    <row r="5" spans="1:37" ht="20.100000000000001" customHeight="1">
      <c r="D5" s="27">
        <f t="shared" ref="D5:D68" si="3">D4+0.2/72</f>
        <v>5.5555555555555558E-3</v>
      </c>
      <c r="E5" s="16">
        <f t="shared" si="0"/>
        <v>1.5888888888880146</v>
      </c>
      <c r="F5" s="16">
        <f t="shared" si="0"/>
        <v>1.6777777777749479</v>
      </c>
      <c r="G5" s="16">
        <f t="shared" si="0"/>
        <v>1.7333333333321845</v>
      </c>
      <c r="H5" s="17">
        <f t="shared" si="0"/>
        <v>1.4777777777790675</v>
      </c>
      <c r="I5" s="17">
        <f t="shared" si="0"/>
        <v>1.5666666666663023</v>
      </c>
      <c r="J5" s="17">
        <f t="shared" si="0"/>
        <v>1.6222222222222162</v>
      </c>
      <c r="K5" s="18">
        <f t="shared" si="0"/>
        <v>1.3666666666658041</v>
      </c>
      <c r="L5" s="18">
        <f t="shared" si="0"/>
        <v>1.4555555555542625</v>
      </c>
      <c r="M5" s="18">
        <f t="shared" si="0"/>
        <v>1.5111111111105773</v>
      </c>
      <c r="N5" s="19">
        <f t="shared" si="0"/>
        <v>1.0222222222217674</v>
      </c>
      <c r="O5" s="19">
        <f t="shared" si="0"/>
        <v>1.1111111111124266</v>
      </c>
      <c r="P5" s="19">
        <f t="shared" si="0"/>
        <v>1.1666666666657561</v>
      </c>
      <c r="Q5" s="20">
        <f t="shared" si="0"/>
        <v>0.96666666666772105</v>
      </c>
      <c r="R5" s="20">
        <f t="shared" si="0"/>
        <v>1.0555555555569764</v>
      </c>
      <c r="S5" s="20">
        <f t="shared" si="0"/>
        <v>1.1111111111124266</v>
      </c>
      <c r="T5" s="21">
        <f t="shared" si="0"/>
        <v>0.91111111111261134</v>
      </c>
      <c r="U5" s="21">
        <f t="shared" si="1"/>
        <v>1</v>
      </c>
      <c r="V5" s="21">
        <f t="shared" si="1"/>
        <v>1.0555555555569764</v>
      </c>
      <c r="W5" s="22">
        <f t="shared" si="1"/>
        <v>0.85555555555576945</v>
      </c>
      <c r="X5" s="22">
        <f t="shared" si="1"/>
        <v>0.94444444444312226</v>
      </c>
      <c r="Y5" s="22">
        <f t="shared" si="1"/>
        <v>1</v>
      </c>
      <c r="Z5" s="23">
        <f t="shared" si="1"/>
        <v>0.79999999999902938</v>
      </c>
      <c r="AA5" s="23">
        <f t="shared" si="1"/>
        <v>0.88888888888838369</v>
      </c>
      <c r="AB5" s="23">
        <f t="shared" si="1"/>
        <v>0.94444444444312226</v>
      </c>
      <c r="AC5" s="24">
        <f t="shared" si="1"/>
        <v>0.74444444444477886</v>
      </c>
      <c r="AD5" s="24">
        <f t="shared" si="1"/>
        <v>0.83333333333324267</v>
      </c>
      <c r="AE5" s="24">
        <f t="shared" si="1"/>
        <v>0.88888888888838369</v>
      </c>
      <c r="AF5" s="25">
        <f t="shared" si="1"/>
        <v>0.68888888888841848</v>
      </c>
      <c r="AG5" s="25">
        <f t="shared" si="1"/>
        <v>0.77777777777862456</v>
      </c>
      <c r="AH5" s="25">
        <f t="shared" si="1"/>
        <v>0.83333333333324267</v>
      </c>
      <c r="AI5" s="26">
        <f t="shared" si="1"/>
        <v>0.63333333333361597</v>
      </c>
      <c r="AJ5" s="26">
        <f t="shared" si="1"/>
        <v>0.72222222222139631</v>
      </c>
      <c r="AK5" s="26">
        <f t="shared" si="2"/>
        <v>0.77777777777862456</v>
      </c>
    </row>
    <row r="6" spans="1:37" ht="20.100000000000001" customHeight="1">
      <c r="A6" s="28"/>
      <c r="B6" s="28"/>
      <c r="D6" s="27">
        <f t="shared" si="3"/>
        <v>8.3333333333333332E-3</v>
      </c>
      <c r="E6" s="16">
        <f t="shared" si="0"/>
        <v>2.3833333333324589</v>
      </c>
      <c r="F6" s="16">
        <f t="shared" si="0"/>
        <v>2.5166666666638369</v>
      </c>
      <c r="G6" s="16">
        <f t="shared" si="0"/>
        <v>2.5999999999988512</v>
      </c>
      <c r="H6" s="17">
        <f t="shared" si="0"/>
        <v>2.2166666666679564</v>
      </c>
      <c r="I6" s="17">
        <f t="shared" si="0"/>
        <v>2.3499999999996355</v>
      </c>
      <c r="J6" s="17">
        <f t="shared" si="0"/>
        <v>2.4333333333333274</v>
      </c>
      <c r="K6" s="18">
        <f t="shared" si="0"/>
        <v>2.0499999999991374</v>
      </c>
      <c r="L6" s="18">
        <f t="shared" si="0"/>
        <v>2.1833333333320404</v>
      </c>
      <c r="M6" s="18">
        <f t="shared" si="0"/>
        <v>2.2666666666661328</v>
      </c>
      <c r="N6" s="19">
        <f t="shared" si="0"/>
        <v>1.5333333333328785</v>
      </c>
      <c r="O6" s="19">
        <f t="shared" si="0"/>
        <v>1.6666666666679821</v>
      </c>
      <c r="P6" s="19">
        <f t="shared" si="0"/>
        <v>1.7499999999990896</v>
      </c>
      <c r="Q6" s="20">
        <f t="shared" si="0"/>
        <v>1.4500000000010544</v>
      </c>
      <c r="R6" s="20">
        <f t="shared" si="0"/>
        <v>1.5833333333347541</v>
      </c>
      <c r="S6" s="20">
        <f t="shared" si="0"/>
        <v>1.6666666666679821</v>
      </c>
      <c r="T6" s="21">
        <f t="shared" si="0"/>
        <v>1.3666666666681668</v>
      </c>
      <c r="U6" s="21">
        <f t="shared" si="1"/>
        <v>1.5</v>
      </c>
      <c r="V6" s="21">
        <f t="shared" si="1"/>
        <v>1.5833333333347541</v>
      </c>
      <c r="W6" s="22">
        <f t="shared" si="1"/>
        <v>1.2833333333335473</v>
      </c>
      <c r="X6" s="22">
        <f t="shared" si="1"/>
        <v>1.4166666666653445</v>
      </c>
      <c r="Y6" s="22">
        <f t="shared" si="1"/>
        <v>1.5</v>
      </c>
      <c r="Z6" s="23">
        <f t="shared" si="1"/>
        <v>1.1999999999990294</v>
      </c>
      <c r="AA6" s="23">
        <f t="shared" si="1"/>
        <v>1.3333333333328281</v>
      </c>
      <c r="AB6" s="23">
        <f t="shared" si="1"/>
        <v>1.4166666666653445</v>
      </c>
      <c r="AC6" s="24">
        <f t="shared" si="1"/>
        <v>1.1166666666670011</v>
      </c>
      <c r="AD6" s="24">
        <f t="shared" si="1"/>
        <v>1.2499999999999094</v>
      </c>
      <c r="AE6" s="24">
        <f t="shared" si="1"/>
        <v>1.3333333333328281</v>
      </c>
      <c r="AF6" s="25">
        <f t="shared" si="1"/>
        <v>1.0333333333328629</v>
      </c>
      <c r="AG6" s="25">
        <f t="shared" si="1"/>
        <v>1.1666666666675134</v>
      </c>
      <c r="AH6" s="25">
        <f t="shared" si="1"/>
        <v>1.2499999999999094</v>
      </c>
      <c r="AI6" s="26">
        <f t="shared" si="1"/>
        <v>0.95000000000028262</v>
      </c>
      <c r="AJ6" s="26">
        <f t="shared" si="1"/>
        <v>1.0833333333325075</v>
      </c>
      <c r="AK6" s="26">
        <f t="shared" si="2"/>
        <v>1.1666666666675134</v>
      </c>
    </row>
    <row r="7" spans="1:37" ht="20.100000000000001" customHeight="1">
      <c r="D7" s="27">
        <f t="shared" si="3"/>
        <v>1.1111111111111112E-2</v>
      </c>
      <c r="E7" s="16">
        <f t="shared" si="0"/>
        <v>3.1777777777769032</v>
      </c>
      <c r="F7" s="16">
        <f t="shared" si="0"/>
        <v>3.3555555555527259</v>
      </c>
      <c r="G7" s="16">
        <f t="shared" si="0"/>
        <v>3.4666666666655179</v>
      </c>
      <c r="H7" s="17">
        <f t="shared" si="0"/>
        <v>2.9555555555568453</v>
      </c>
      <c r="I7" s="17">
        <f t="shared" si="0"/>
        <v>3.1333333333329687</v>
      </c>
      <c r="J7" s="17">
        <f t="shared" si="0"/>
        <v>3.2444444444444382</v>
      </c>
      <c r="K7" s="18">
        <f t="shared" si="0"/>
        <v>2.733333333332471</v>
      </c>
      <c r="L7" s="18">
        <f t="shared" si="0"/>
        <v>2.9111111111098182</v>
      </c>
      <c r="M7" s="18">
        <f t="shared" si="0"/>
        <v>3.0222222222216883</v>
      </c>
      <c r="N7" s="19">
        <f t="shared" si="0"/>
        <v>2.0444444444439895</v>
      </c>
      <c r="O7" s="19">
        <f t="shared" si="0"/>
        <v>2.2222222222235377</v>
      </c>
      <c r="P7" s="19">
        <f t="shared" si="0"/>
        <v>2.3333333333324231</v>
      </c>
      <c r="Q7" s="20">
        <f t="shared" si="0"/>
        <v>1.9333333333343878</v>
      </c>
      <c r="R7" s="20">
        <f t="shared" si="0"/>
        <v>2.1111111111125318</v>
      </c>
      <c r="S7" s="20">
        <f t="shared" si="0"/>
        <v>2.2222222222235377</v>
      </c>
      <c r="T7" s="21">
        <f t="shared" si="0"/>
        <v>1.8222222222237223</v>
      </c>
      <c r="U7" s="21">
        <f t="shared" si="1"/>
        <v>2</v>
      </c>
      <c r="V7" s="21">
        <f t="shared" si="1"/>
        <v>2.1111111111125318</v>
      </c>
      <c r="W7" s="22">
        <f t="shared" si="1"/>
        <v>1.7111111111113251</v>
      </c>
      <c r="X7" s="22">
        <f t="shared" si="1"/>
        <v>1.8888888888875668</v>
      </c>
      <c r="Y7" s="22">
        <f t="shared" si="1"/>
        <v>2</v>
      </c>
      <c r="Z7" s="23">
        <f t="shared" si="1"/>
        <v>1.5999999999990293</v>
      </c>
      <c r="AA7" s="23">
        <f t="shared" si="1"/>
        <v>1.7777777777772725</v>
      </c>
      <c r="AB7" s="23">
        <f t="shared" si="1"/>
        <v>1.8888888888875668</v>
      </c>
      <c r="AC7" s="24">
        <f t="shared" si="1"/>
        <v>1.4888888888892233</v>
      </c>
      <c r="AD7" s="24">
        <f t="shared" si="1"/>
        <v>1.6666666666665761</v>
      </c>
      <c r="AE7" s="24">
        <f t="shared" si="1"/>
        <v>1.7777777777772725</v>
      </c>
      <c r="AF7" s="25">
        <f t="shared" si="1"/>
        <v>1.3777777777773075</v>
      </c>
      <c r="AG7" s="25">
        <f t="shared" si="1"/>
        <v>1.5555555555564022</v>
      </c>
      <c r="AH7" s="25">
        <f t="shared" si="1"/>
        <v>1.6666666666665761</v>
      </c>
      <c r="AI7" s="26">
        <f t="shared" si="1"/>
        <v>1.2666666666669493</v>
      </c>
      <c r="AJ7" s="26">
        <f t="shared" si="1"/>
        <v>1.4444444444436186</v>
      </c>
      <c r="AK7" s="26">
        <f t="shared" si="2"/>
        <v>1.5555555555564022</v>
      </c>
    </row>
    <row r="8" spans="1:37" ht="20.100000000000001" customHeight="1">
      <c r="D8" s="27">
        <f t="shared" si="3"/>
        <v>1.388888888888889E-2</v>
      </c>
      <c r="E8" s="16">
        <f t="shared" si="0"/>
        <v>3.9722222222213475</v>
      </c>
      <c r="F8" s="16">
        <f t="shared" si="0"/>
        <v>4.1944444444416149</v>
      </c>
      <c r="G8" s="16">
        <f t="shared" si="0"/>
        <v>4.3333333333321846</v>
      </c>
      <c r="H8" s="17">
        <f t="shared" si="0"/>
        <v>3.6944444444457343</v>
      </c>
      <c r="I8" s="17">
        <f t="shared" si="0"/>
        <v>3.9166666666663019</v>
      </c>
      <c r="J8" s="17">
        <f t="shared" si="0"/>
        <v>4.0555555555555491</v>
      </c>
      <c r="K8" s="18">
        <f t="shared" si="0"/>
        <v>3.4166666666658045</v>
      </c>
      <c r="L8" s="18">
        <f t="shared" si="0"/>
        <v>3.6388888888875961</v>
      </c>
      <c r="M8" s="18">
        <f t="shared" si="0"/>
        <v>3.7777777777772439</v>
      </c>
      <c r="N8" s="19">
        <f t="shared" si="0"/>
        <v>2.5555555555551006</v>
      </c>
      <c r="O8" s="19">
        <f t="shared" si="0"/>
        <v>2.7777777777790931</v>
      </c>
      <c r="P8" s="19">
        <f t="shared" si="0"/>
        <v>2.9166666666657566</v>
      </c>
      <c r="Q8" s="20">
        <f t="shared" si="0"/>
        <v>2.4166666666677212</v>
      </c>
      <c r="R8" s="20">
        <f t="shared" si="0"/>
        <v>2.6388888888903095</v>
      </c>
      <c r="S8" s="20">
        <f t="shared" si="0"/>
        <v>2.7777777777790931</v>
      </c>
      <c r="T8" s="21">
        <f t="shared" si="0"/>
        <v>2.2777777777792778</v>
      </c>
      <c r="U8" s="21">
        <f t="shared" si="1"/>
        <v>2.5</v>
      </c>
      <c r="V8" s="21">
        <f t="shared" si="1"/>
        <v>2.6388888888903095</v>
      </c>
      <c r="W8" s="22">
        <f t="shared" si="1"/>
        <v>2.1388888888891029</v>
      </c>
      <c r="X8" s="22">
        <f t="shared" si="1"/>
        <v>2.3611111111097891</v>
      </c>
      <c r="Y8" s="22">
        <f t="shared" si="1"/>
        <v>2.5</v>
      </c>
      <c r="Z8" s="23">
        <f t="shared" si="1"/>
        <v>1.9999999999990292</v>
      </c>
      <c r="AA8" s="23">
        <f t="shared" si="1"/>
        <v>2.2222222222217169</v>
      </c>
      <c r="AB8" s="23">
        <f t="shared" si="1"/>
        <v>2.3611111111097891</v>
      </c>
      <c r="AC8" s="24">
        <f t="shared" si="1"/>
        <v>1.8611111111114456</v>
      </c>
      <c r="AD8" s="24">
        <f t="shared" si="1"/>
        <v>2.0833333333332429</v>
      </c>
      <c r="AE8" s="24">
        <f t="shared" si="1"/>
        <v>2.2222222222217169</v>
      </c>
      <c r="AF8" s="25">
        <f t="shared" si="1"/>
        <v>1.722222222221752</v>
      </c>
      <c r="AG8" s="25">
        <f t="shared" si="1"/>
        <v>1.9444444444452911</v>
      </c>
      <c r="AH8" s="25">
        <f t="shared" si="1"/>
        <v>2.0833333333332429</v>
      </c>
      <c r="AI8" s="26">
        <f t="shared" si="1"/>
        <v>1.5833333333336159</v>
      </c>
      <c r="AJ8" s="26">
        <f t="shared" si="1"/>
        <v>1.8055555555547298</v>
      </c>
      <c r="AK8" s="26">
        <f t="shared" si="2"/>
        <v>1.9444444444452911</v>
      </c>
    </row>
    <row r="9" spans="1:37" ht="20.100000000000001" customHeight="1">
      <c r="D9" s="27">
        <f t="shared" si="3"/>
        <v>1.6666666666666666E-2</v>
      </c>
      <c r="E9" s="16">
        <f t="shared" si="0"/>
        <v>4.7666666666657918</v>
      </c>
      <c r="F9" s="16">
        <f t="shared" si="0"/>
        <v>5.0333333333305035</v>
      </c>
      <c r="G9" s="16">
        <f t="shared" si="0"/>
        <v>5.1999999999988518</v>
      </c>
      <c r="H9" s="17">
        <f t="shared" si="0"/>
        <v>4.4333333333346232</v>
      </c>
      <c r="I9" s="17">
        <f t="shared" si="0"/>
        <v>4.6999999999996351</v>
      </c>
      <c r="J9" s="17">
        <f t="shared" si="0"/>
        <v>4.86666666666666</v>
      </c>
      <c r="K9" s="18">
        <f t="shared" si="0"/>
        <v>4.0999999999991381</v>
      </c>
      <c r="L9" s="18">
        <f t="shared" si="0"/>
        <v>4.366666666665374</v>
      </c>
      <c r="M9" s="18">
        <f t="shared" si="0"/>
        <v>4.5333333333327994</v>
      </c>
      <c r="N9" s="19">
        <f t="shared" si="0"/>
        <v>3.0666666666662117</v>
      </c>
      <c r="O9" s="19">
        <f t="shared" si="0"/>
        <v>3.3333333333346484</v>
      </c>
      <c r="P9" s="19">
        <f t="shared" si="0"/>
        <v>3.4999999999990901</v>
      </c>
      <c r="Q9" s="20">
        <f t="shared" si="0"/>
        <v>2.9000000000010546</v>
      </c>
      <c r="R9" s="20">
        <f t="shared" si="0"/>
        <v>3.1666666666680872</v>
      </c>
      <c r="S9" s="20">
        <f t="shared" si="0"/>
        <v>3.3333333333346484</v>
      </c>
      <c r="T9" s="21">
        <f t="shared" si="0"/>
        <v>2.7333333333348335</v>
      </c>
      <c r="U9" s="21">
        <f t="shared" si="1"/>
        <v>3</v>
      </c>
      <c r="V9" s="21">
        <f t="shared" si="1"/>
        <v>3.1666666666680872</v>
      </c>
      <c r="W9" s="22">
        <f t="shared" si="1"/>
        <v>2.5666666666668805</v>
      </c>
      <c r="X9" s="22">
        <f t="shared" si="1"/>
        <v>2.8333333333320114</v>
      </c>
      <c r="Y9" s="22">
        <f t="shared" si="1"/>
        <v>3</v>
      </c>
      <c r="Z9" s="23">
        <f t="shared" si="1"/>
        <v>2.3999999999990291</v>
      </c>
      <c r="AA9" s="23">
        <f t="shared" si="1"/>
        <v>2.6666666666661616</v>
      </c>
      <c r="AB9" s="23">
        <f t="shared" si="1"/>
        <v>2.8333333333320114</v>
      </c>
      <c r="AC9" s="24">
        <f t="shared" si="1"/>
        <v>2.2333333333336678</v>
      </c>
      <c r="AD9" s="24">
        <f t="shared" si="1"/>
        <v>2.4999999999999094</v>
      </c>
      <c r="AE9" s="24">
        <f t="shared" si="1"/>
        <v>2.6666666666661616</v>
      </c>
      <c r="AF9" s="25">
        <f t="shared" si="1"/>
        <v>2.0666666666661966</v>
      </c>
      <c r="AG9" s="25">
        <f t="shared" si="1"/>
        <v>2.3333333333341799</v>
      </c>
      <c r="AH9" s="25">
        <f t="shared" si="1"/>
        <v>2.4999999999999094</v>
      </c>
      <c r="AI9" s="26">
        <f t="shared" si="1"/>
        <v>1.9000000000002826</v>
      </c>
      <c r="AJ9" s="26">
        <f t="shared" si="1"/>
        <v>2.166666666665841</v>
      </c>
      <c r="AK9" s="26">
        <f t="shared" si="2"/>
        <v>2.3333333333341799</v>
      </c>
    </row>
    <row r="10" spans="1:37" ht="20.100000000000001" customHeight="1">
      <c r="D10" s="27">
        <f t="shared" si="3"/>
        <v>1.9444444444444445E-2</v>
      </c>
      <c r="E10" s="16">
        <f t="shared" si="0"/>
        <v>5.561111111110236</v>
      </c>
      <c r="F10" s="16">
        <f t="shared" si="0"/>
        <v>5.8722222222193921</v>
      </c>
      <c r="G10" s="16">
        <f t="shared" si="0"/>
        <v>6.0666666666655189</v>
      </c>
      <c r="H10" s="17">
        <f t="shared" si="0"/>
        <v>5.1722222222235121</v>
      </c>
      <c r="I10" s="17">
        <f t="shared" si="0"/>
        <v>5.4833333333329684</v>
      </c>
      <c r="J10" s="17">
        <f t="shared" si="0"/>
        <v>5.6777777777777709</v>
      </c>
      <c r="K10" s="18">
        <f t="shared" si="0"/>
        <v>4.7833333333324717</v>
      </c>
      <c r="L10" s="18">
        <f t="shared" si="0"/>
        <v>5.0944444444431518</v>
      </c>
      <c r="M10" s="18">
        <f t="shared" si="0"/>
        <v>5.288888888888355</v>
      </c>
      <c r="N10" s="19">
        <f t="shared" si="0"/>
        <v>3.5777777777773228</v>
      </c>
      <c r="O10" s="19">
        <f t="shared" si="0"/>
        <v>3.8888888888902038</v>
      </c>
      <c r="P10" s="19">
        <f t="shared" si="0"/>
        <v>4.0833333333324235</v>
      </c>
      <c r="Q10" s="20">
        <f t="shared" si="0"/>
        <v>3.383333333334388</v>
      </c>
      <c r="R10" s="20">
        <f t="shared" si="0"/>
        <v>3.6944444444458648</v>
      </c>
      <c r="S10" s="20">
        <f t="shared" si="0"/>
        <v>3.8888888888902038</v>
      </c>
      <c r="T10" s="21">
        <f t="shared" si="0"/>
        <v>3.1888888888903892</v>
      </c>
      <c r="U10" s="21">
        <f t="shared" si="1"/>
        <v>3.5</v>
      </c>
      <c r="V10" s="21">
        <f t="shared" si="1"/>
        <v>3.6944444444458648</v>
      </c>
      <c r="W10" s="22">
        <f t="shared" si="1"/>
        <v>2.9944444444446581</v>
      </c>
      <c r="X10" s="22">
        <f t="shared" si="1"/>
        <v>3.3055555555542337</v>
      </c>
      <c r="Y10" s="22">
        <f t="shared" si="1"/>
        <v>3.5</v>
      </c>
      <c r="Z10" s="23">
        <f t="shared" si="1"/>
        <v>2.799999999999029</v>
      </c>
      <c r="AA10" s="23">
        <f t="shared" si="1"/>
        <v>3.1111111111106062</v>
      </c>
      <c r="AB10" s="23">
        <f t="shared" si="1"/>
        <v>3.3055555555542337</v>
      </c>
      <c r="AC10" s="24">
        <f t="shared" si="1"/>
        <v>2.60555555555589</v>
      </c>
      <c r="AD10" s="24">
        <f t="shared" si="1"/>
        <v>2.9166666666665759</v>
      </c>
      <c r="AE10" s="24">
        <f t="shared" si="1"/>
        <v>3.1111111111106062</v>
      </c>
      <c r="AF10" s="25">
        <f t="shared" si="1"/>
        <v>2.4111111111106411</v>
      </c>
      <c r="AG10" s="25">
        <f t="shared" si="1"/>
        <v>2.7222222222230688</v>
      </c>
      <c r="AH10" s="25">
        <f t="shared" si="1"/>
        <v>2.9166666666665759</v>
      </c>
      <c r="AI10" s="26">
        <f t="shared" si="1"/>
        <v>2.2166666666669492</v>
      </c>
      <c r="AJ10" s="26">
        <f t="shared" si="1"/>
        <v>2.5277777777769521</v>
      </c>
      <c r="AK10" s="26">
        <f t="shared" si="2"/>
        <v>2.7222222222230688</v>
      </c>
    </row>
    <row r="11" spans="1:37" ht="20.100000000000001" customHeight="1">
      <c r="D11" s="27">
        <f t="shared" si="3"/>
        <v>2.2222222222222223E-2</v>
      </c>
      <c r="E11" s="16">
        <f t="shared" si="0"/>
        <v>6.3555555555546803</v>
      </c>
      <c r="F11" s="16">
        <f t="shared" si="0"/>
        <v>6.7111111111082806</v>
      </c>
      <c r="G11" s="16">
        <f t="shared" si="0"/>
        <v>6.933333333332186</v>
      </c>
      <c r="H11" s="17">
        <f t="shared" si="0"/>
        <v>5.9111111111124011</v>
      </c>
      <c r="I11" s="17">
        <f t="shared" si="0"/>
        <v>6.2666666666663016</v>
      </c>
      <c r="J11" s="17">
        <f t="shared" si="0"/>
        <v>6.4888888888888818</v>
      </c>
      <c r="K11" s="18">
        <f t="shared" si="0"/>
        <v>5.4666666666658053</v>
      </c>
      <c r="L11" s="18">
        <f t="shared" si="0"/>
        <v>5.8222222222209297</v>
      </c>
      <c r="M11" s="18">
        <f t="shared" si="0"/>
        <v>6.0444444444439105</v>
      </c>
      <c r="N11" s="19">
        <f t="shared" si="0"/>
        <v>4.0888888888884338</v>
      </c>
      <c r="O11" s="19">
        <f t="shared" si="0"/>
        <v>4.4444444444457591</v>
      </c>
      <c r="P11" s="19">
        <f t="shared" si="0"/>
        <v>4.6666666666657566</v>
      </c>
      <c r="Q11" s="20">
        <f t="shared" si="0"/>
        <v>3.8666666666677214</v>
      </c>
      <c r="R11" s="20">
        <f t="shared" si="0"/>
        <v>4.2222222222236425</v>
      </c>
      <c r="S11" s="20">
        <f t="shared" si="0"/>
        <v>4.4444444444457591</v>
      </c>
      <c r="T11" s="21">
        <f t="shared" si="0"/>
        <v>3.644444444445945</v>
      </c>
      <c r="U11" s="21">
        <f t="shared" si="1"/>
        <v>4</v>
      </c>
      <c r="V11" s="21">
        <f t="shared" si="1"/>
        <v>4.2222222222236425</v>
      </c>
      <c r="W11" s="22">
        <f t="shared" si="1"/>
        <v>3.4222222222224357</v>
      </c>
      <c r="X11" s="22">
        <f t="shared" si="1"/>
        <v>3.7777777777764561</v>
      </c>
      <c r="Y11" s="22">
        <f t="shared" si="1"/>
        <v>4</v>
      </c>
      <c r="Z11" s="23">
        <f t="shared" si="1"/>
        <v>3.199999999999029</v>
      </c>
      <c r="AA11" s="23">
        <f t="shared" si="1"/>
        <v>3.5555555555550509</v>
      </c>
      <c r="AB11" s="23">
        <f t="shared" si="1"/>
        <v>3.7777777777764561</v>
      </c>
      <c r="AC11" s="24">
        <f t="shared" si="1"/>
        <v>2.9777777777781123</v>
      </c>
      <c r="AD11" s="24">
        <f t="shared" si="1"/>
        <v>3.3333333333332424</v>
      </c>
      <c r="AE11" s="24">
        <f t="shared" si="1"/>
        <v>3.5555555555550509</v>
      </c>
      <c r="AF11" s="25">
        <f t="shared" si="1"/>
        <v>2.7555555555550857</v>
      </c>
      <c r="AG11" s="25">
        <f t="shared" si="1"/>
        <v>3.1111111111119576</v>
      </c>
      <c r="AH11" s="25">
        <f t="shared" si="1"/>
        <v>3.3333333333332424</v>
      </c>
      <c r="AI11" s="26">
        <f t="shared" si="1"/>
        <v>2.5333333333336157</v>
      </c>
      <c r="AJ11" s="26">
        <f t="shared" si="1"/>
        <v>2.8888888888880633</v>
      </c>
      <c r="AK11" s="26">
        <f t="shared" si="2"/>
        <v>3.1111111111119576</v>
      </c>
    </row>
    <row r="12" spans="1:37" ht="20.100000000000001" customHeight="1">
      <c r="D12" s="27">
        <f t="shared" si="3"/>
        <v>2.5000000000000001E-2</v>
      </c>
      <c r="E12" s="16">
        <f t="shared" si="0"/>
        <v>7.1499999999991246</v>
      </c>
      <c r="F12" s="16">
        <f t="shared" si="0"/>
        <v>7.5499999999971692</v>
      </c>
      <c r="G12" s="16">
        <f t="shared" si="0"/>
        <v>7.7999999999988532</v>
      </c>
      <c r="H12" s="17">
        <f t="shared" si="0"/>
        <v>6.65000000000129</v>
      </c>
      <c r="I12" s="17">
        <f t="shared" si="0"/>
        <v>7.0499999999996348</v>
      </c>
      <c r="J12" s="17">
        <f t="shared" si="0"/>
        <v>7.2999999999999927</v>
      </c>
      <c r="K12" s="18">
        <f t="shared" si="0"/>
        <v>6.1499999999991388</v>
      </c>
      <c r="L12" s="18">
        <f t="shared" si="0"/>
        <v>6.5499999999987075</v>
      </c>
      <c r="M12" s="18">
        <f t="shared" si="0"/>
        <v>6.799999999999466</v>
      </c>
      <c r="N12" s="19">
        <f t="shared" si="0"/>
        <v>4.5999999999995449</v>
      </c>
      <c r="O12" s="19">
        <f t="shared" si="0"/>
        <v>5.0000000000013145</v>
      </c>
      <c r="P12" s="19">
        <f t="shared" si="0"/>
        <v>5.2499999999990896</v>
      </c>
      <c r="Q12" s="20">
        <f t="shared" si="0"/>
        <v>4.3500000000010548</v>
      </c>
      <c r="R12" s="20">
        <f t="shared" si="0"/>
        <v>4.7500000000014202</v>
      </c>
      <c r="S12" s="20">
        <f t="shared" si="0"/>
        <v>5.0000000000013145</v>
      </c>
      <c r="T12" s="21">
        <f t="shared" si="0"/>
        <v>4.1000000000015007</v>
      </c>
      <c r="U12" s="21">
        <f t="shared" si="1"/>
        <v>4.5</v>
      </c>
      <c r="V12" s="21">
        <f t="shared" si="1"/>
        <v>4.7500000000014202</v>
      </c>
      <c r="W12" s="22">
        <f t="shared" si="1"/>
        <v>3.8500000000002133</v>
      </c>
      <c r="X12" s="22">
        <f t="shared" si="1"/>
        <v>4.2499999999986784</v>
      </c>
      <c r="Y12" s="22">
        <f t="shared" si="1"/>
        <v>4.5</v>
      </c>
      <c r="Z12" s="23">
        <f t="shared" si="1"/>
        <v>3.5999999999990289</v>
      </c>
      <c r="AA12" s="23">
        <f t="shared" si="1"/>
        <v>3.9999999999994955</v>
      </c>
      <c r="AB12" s="23">
        <f t="shared" si="1"/>
        <v>4.2499999999986784</v>
      </c>
      <c r="AC12" s="24">
        <f t="shared" si="1"/>
        <v>3.3500000000003345</v>
      </c>
      <c r="AD12" s="24">
        <f t="shared" si="1"/>
        <v>3.749999999999909</v>
      </c>
      <c r="AE12" s="24">
        <f t="shared" si="1"/>
        <v>3.9999999999994955</v>
      </c>
      <c r="AF12" s="25">
        <f t="shared" si="1"/>
        <v>3.0999999999995302</v>
      </c>
      <c r="AG12" s="25">
        <f t="shared" si="1"/>
        <v>3.5000000000008464</v>
      </c>
      <c r="AH12" s="25">
        <f t="shared" si="1"/>
        <v>3.749999999999909</v>
      </c>
      <c r="AI12" s="26">
        <f t="shared" si="1"/>
        <v>2.8500000000002821</v>
      </c>
      <c r="AJ12" s="26">
        <f t="shared" si="1"/>
        <v>3.2499999999991744</v>
      </c>
      <c r="AK12" s="26">
        <f t="shared" si="2"/>
        <v>3.5000000000008464</v>
      </c>
    </row>
    <row r="13" spans="1:37" ht="20.100000000000001" customHeight="1">
      <c r="D13" s="27">
        <f t="shared" si="3"/>
        <v>2.777777777777778E-2</v>
      </c>
      <c r="E13" s="16">
        <f t="shared" si="0"/>
        <v>7.9444444444435689</v>
      </c>
      <c r="F13" s="16">
        <f t="shared" si="0"/>
        <v>8.3888888888860578</v>
      </c>
      <c r="G13" s="16">
        <f t="shared" si="0"/>
        <v>8.6666666666655203</v>
      </c>
      <c r="H13" s="17">
        <f t="shared" si="0"/>
        <v>7.3888888888901789</v>
      </c>
      <c r="I13" s="17">
        <f t="shared" si="0"/>
        <v>7.833333333332968</v>
      </c>
      <c r="J13" s="17">
        <f t="shared" si="0"/>
        <v>8.1111111111111036</v>
      </c>
      <c r="K13" s="18">
        <f t="shared" si="0"/>
        <v>6.8333333333324724</v>
      </c>
      <c r="L13" s="18">
        <f t="shared" si="0"/>
        <v>7.2777777777764854</v>
      </c>
      <c r="M13" s="18">
        <f t="shared" si="0"/>
        <v>7.5555555555550216</v>
      </c>
      <c r="N13" s="19">
        <f t="shared" si="0"/>
        <v>5.111111111110656</v>
      </c>
      <c r="O13" s="19">
        <f t="shared" si="0"/>
        <v>5.5555555555568699</v>
      </c>
      <c r="P13" s="19">
        <f t="shared" si="0"/>
        <v>5.8333333333324227</v>
      </c>
      <c r="Q13" s="20">
        <f t="shared" si="0"/>
        <v>4.8333333333343882</v>
      </c>
      <c r="R13" s="20">
        <f t="shared" si="0"/>
        <v>5.2777777777791979</v>
      </c>
      <c r="S13" s="20">
        <f t="shared" si="0"/>
        <v>5.5555555555568699</v>
      </c>
      <c r="T13" s="21">
        <f t="shared" si="0"/>
        <v>4.5555555555570564</v>
      </c>
      <c r="U13" s="21">
        <f t="shared" si="1"/>
        <v>5</v>
      </c>
      <c r="V13" s="21">
        <f t="shared" si="1"/>
        <v>5.2777777777791979</v>
      </c>
      <c r="W13" s="22">
        <f t="shared" si="1"/>
        <v>4.2777777777779908</v>
      </c>
      <c r="X13" s="22">
        <f t="shared" si="1"/>
        <v>4.7222222222209007</v>
      </c>
      <c r="Y13" s="22">
        <f t="shared" si="1"/>
        <v>5</v>
      </c>
      <c r="Z13" s="23">
        <f t="shared" si="1"/>
        <v>3.9999999999990288</v>
      </c>
      <c r="AA13" s="23">
        <f t="shared" si="1"/>
        <v>4.4444444444439402</v>
      </c>
      <c r="AB13" s="23">
        <f t="shared" si="1"/>
        <v>4.7222222222209007</v>
      </c>
      <c r="AC13" s="24">
        <f t="shared" si="1"/>
        <v>3.7222222222225567</v>
      </c>
      <c r="AD13" s="24">
        <f t="shared" si="1"/>
        <v>4.1666666666665755</v>
      </c>
      <c r="AE13" s="24">
        <f t="shared" si="1"/>
        <v>4.4444444444439402</v>
      </c>
      <c r="AF13" s="25">
        <f t="shared" si="1"/>
        <v>3.4444444444439748</v>
      </c>
      <c r="AG13" s="25">
        <f t="shared" si="1"/>
        <v>3.8888888888897353</v>
      </c>
      <c r="AH13" s="25">
        <f t="shared" si="1"/>
        <v>4.1666666666665755</v>
      </c>
      <c r="AI13" s="26">
        <f t="shared" si="1"/>
        <v>3.1666666666669485</v>
      </c>
      <c r="AJ13" s="26">
        <f t="shared" si="1"/>
        <v>3.6111111111102856</v>
      </c>
      <c r="AK13" s="26">
        <f t="shared" si="2"/>
        <v>3.8888888888897353</v>
      </c>
    </row>
    <row r="14" spans="1:37" ht="20.100000000000001" customHeight="1">
      <c r="D14" s="27">
        <f t="shared" si="3"/>
        <v>3.0555555555555558E-2</v>
      </c>
      <c r="E14" s="16">
        <f t="shared" si="0"/>
        <v>8.7388888888880132</v>
      </c>
      <c r="F14" s="16">
        <f t="shared" si="0"/>
        <v>9.2277777777749463</v>
      </c>
      <c r="G14" s="16">
        <f t="shared" si="0"/>
        <v>9.5333333333321875</v>
      </c>
      <c r="H14" s="17">
        <f t="shared" si="0"/>
        <v>8.1277777777790678</v>
      </c>
      <c r="I14" s="17">
        <f t="shared" si="0"/>
        <v>8.6166666666663012</v>
      </c>
      <c r="J14" s="17">
        <f t="shared" si="0"/>
        <v>8.9222222222222154</v>
      </c>
      <c r="K14" s="18">
        <f t="shared" si="0"/>
        <v>7.516666666665806</v>
      </c>
      <c r="L14" s="18">
        <f t="shared" si="0"/>
        <v>8.0055555555542632</v>
      </c>
      <c r="M14" s="18">
        <f t="shared" si="0"/>
        <v>8.3111111111105771</v>
      </c>
      <c r="N14" s="19">
        <f t="shared" si="0"/>
        <v>5.622222222221767</v>
      </c>
      <c r="O14" s="19">
        <f t="shared" si="0"/>
        <v>6.1111111111124252</v>
      </c>
      <c r="P14" s="19">
        <f t="shared" si="0"/>
        <v>6.4166666666657557</v>
      </c>
      <c r="Q14" s="20">
        <f t="shared" si="0"/>
        <v>5.3166666666677216</v>
      </c>
      <c r="R14" s="20">
        <f t="shared" si="0"/>
        <v>5.8055555555569756</v>
      </c>
      <c r="S14" s="20">
        <f t="shared" si="0"/>
        <v>6.1111111111124252</v>
      </c>
      <c r="T14" s="21">
        <f t="shared" si="0"/>
        <v>5.0111111111126121</v>
      </c>
      <c r="U14" s="21">
        <f t="shared" si="1"/>
        <v>5.5</v>
      </c>
      <c r="V14" s="21">
        <f t="shared" si="1"/>
        <v>5.8055555555569756</v>
      </c>
      <c r="W14" s="22">
        <f t="shared" si="1"/>
        <v>4.7055555555557689</v>
      </c>
      <c r="X14" s="22">
        <f t="shared" si="1"/>
        <v>5.194444444443123</v>
      </c>
      <c r="Y14" s="22">
        <f t="shared" si="1"/>
        <v>5.5</v>
      </c>
      <c r="Z14" s="23">
        <f t="shared" si="1"/>
        <v>4.3999999999990287</v>
      </c>
      <c r="AA14" s="23">
        <f t="shared" si="1"/>
        <v>4.8888888888883848</v>
      </c>
      <c r="AB14" s="23">
        <f t="shared" si="1"/>
        <v>5.194444444443123</v>
      </c>
      <c r="AC14" s="24">
        <f t="shared" si="1"/>
        <v>4.094444444444779</v>
      </c>
      <c r="AD14" s="24">
        <f t="shared" si="1"/>
        <v>4.5833333333332424</v>
      </c>
      <c r="AE14" s="24">
        <f t="shared" si="1"/>
        <v>4.8888888888883848</v>
      </c>
      <c r="AF14" s="25">
        <f t="shared" si="1"/>
        <v>3.7888888888884193</v>
      </c>
      <c r="AG14" s="25">
        <f t="shared" si="1"/>
        <v>4.2777777777786241</v>
      </c>
      <c r="AH14" s="25">
        <f t="shared" si="1"/>
        <v>4.5833333333332424</v>
      </c>
      <c r="AI14" s="26">
        <f t="shared" si="1"/>
        <v>3.4833333333336149</v>
      </c>
      <c r="AJ14" s="26">
        <f t="shared" si="1"/>
        <v>3.9722222222213968</v>
      </c>
      <c r="AK14" s="26">
        <f t="shared" si="2"/>
        <v>4.2777777777786241</v>
      </c>
    </row>
    <row r="15" spans="1:37" ht="20.100000000000001" customHeight="1">
      <c r="D15" s="27">
        <f t="shared" si="3"/>
        <v>3.3333333333333333E-2</v>
      </c>
      <c r="E15" s="16">
        <f t="shared" si="0"/>
        <v>9.5333333333324575</v>
      </c>
      <c r="F15" s="16">
        <f t="shared" si="0"/>
        <v>10.066666666663835</v>
      </c>
      <c r="G15" s="16">
        <f t="shared" si="0"/>
        <v>10.399999999998855</v>
      </c>
      <c r="H15" s="17">
        <f t="shared" si="0"/>
        <v>8.8666666666679568</v>
      </c>
      <c r="I15" s="17">
        <f t="shared" si="0"/>
        <v>9.3999999999996344</v>
      </c>
      <c r="J15" s="17">
        <f t="shared" si="0"/>
        <v>9.7333333333333272</v>
      </c>
      <c r="K15" s="18">
        <f t="shared" si="0"/>
        <v>8.1999999999991395</v>
      </c>
      <c r="L15" s="18">
        <f t="shared" si="0"/>
        <v>8.7333333333320411</v>
      </c>
      <c r="M15" s="18">
        <f t="shared" si="0"/>
        <v>9.0666666666661335</v>
      </c>
      <c r="N15" s="19">
        <f t="shared" si="0"/>
        <v>6.1333333333328781</v>
      </c>
      <c r="O15" s="19">
        <f t="shared" si="0"/>
        <v>6.6666666666679806</v>
      </c>
      <c r="P15" s="19">
        <f t="shared" si="0"/>
        <v>6.9999999999990887</v>
      </c>
      <c r="Q15" s="20">
        <f t="shared" si="0"/>
        <v>5.800000000001055</v>
      </c>
      <c r="R15" s="20">
        <f t="shared" si="0"/>
        <v>6.3333333333347532</v>
      </c>
      <c r="S15" s="20">
        <f t="shared" si="0"/>
        <v>6.6666666666679806</v>
      </c>
      <c r="T15" s="21">
        <f t="shared" si="0"/>
        <v>5.4666666666681678</v>
      </c>
      <c r="U15" s="21">
        <f t="shared" si="1"/>
        <v>6</v>
      </c>
      <c r="V15" s="21">
        <f t="shared" si="1"/>
        <v>6.3333333333347532</v>
      </c>
      <c r="W15" s="22">
        <f t="shared" si="1"/>
        <v>5.1333333333335469</v>
      </c>
      <c r="X15" s="22">
        <f t="shared" si="1"/>
        <v>5.6666666666653454</v>
      </c>
      <c r="Y15" s="22">
        <f t="shared" si="1"/>
        <v>6</v>
      </c>
      <c r="Z15" s="23">
        <f t="shared" si="1"/>
        <v>4.799999999999029</v>
      </c>
      <c r="AA15" s="23">
        <f t="shared" si="1"/>
        <v>5.3333333333328294</v>
      </c>
      <c r="AB15" s="23">
        <f t="shared" si="1"/>
        <v>5.6666666666653454</v>
      </c>
      <c r="AC15" s="24">
        <f t="shared" si="1"/>
        <v>4.4666666666670007</v>
      </c>
      <c r="AD15" s="24">
        <f t="shared" si="1"/>
        <v>4.9999999999999094</v>
      </c>
      <c r="AE15" s="24">
        <f t="shared" si="1"/>
        <v>5.3333333333328294</v>
      </c>
      <c r="AF15" s="25">
        <f t="shared" si="1"/>
        <v>4.1333333333328639</v>
      </c>
      <c r="AG15" s="25">
        <f t="shared" si="1"/>
        <v>4.6666666666675134</v>
      </c>
      <c r="AH15" s="25">
        <f t="shared" si="1"/>
        <v>4.9999999999999094</v>
      </c>
      <c r="AI15" s="26">
        <f t="shared" si="1"/>
        <v>3.8000000000002814</v>
      </c>
      <c r="AJ15" s="26">
        <f t="shared" si="1"/>
        <v>4.3333333333325079</v>
      </c>
      <c r="AK15" s="26">
        <f t="shared" si="2"/>
        <v>4.6666666666675134</v>
      </c>
    </row>
    <row r="16" spans="1:37" ht="20.100000000000001" customHeight="1">
      <c r="D16" s="27">
        <f t="shared" si="3"/>
        <v>3.6111111111111108E-2</v>
      </c>
      <c r="E16" s="16">
        <f t="shared" si="0"/>
        <v>10.327777777776902</v>
      </c>
      <c r="F16" s="16">
        <f t="shared" si="0"/>
        <v>10.905555555552723</v>
      </c>
      <c r="G16" s="16">
        <f t="shared" si="0"/>
        <v>11.266666666665522</v>
      </c>
      <c r="H16" s="17">
        <f t="shared" si="0"/>
        <v>9.6055555555568457</v>
      </c>
      <c r="I16" s="17">
        <f t="shared" si="0"/>
        <v>10.183333333332968</v>
      </c>
      <c r="J16" s="17">
        <f t="shared" si="0"/>
        <v>10.544444444444439</v>
      </c>
      <c r="K16" s="18">
        <f t="shared" si="0"/>
        <v>8.8833333333324731</v>
      </c>
      <c r="L16" s="18">
        <f t="shared" si="0"/>
        <v>9.4611111111098189</v>
      </c>
      <c r="M16" s="18">
        <f t="shared" si="0"/>
        <v>9.8222222222216899</v>
      </c>
      <c r="N16" s="19">
        <f t="shared" si="0"/>
        <v>6.6444444444439892</v>
      </c>
      <c r="O16" s="19">
        <f t="shared" si="0"/>
        <v>7.2222222222235359</v>
      </c>
      <c r="P16" s="19">
        <f t="shared" si="0"/>
        <v>7.5833333333324218</v>
      </c>
      <c r="Q16" s="20">
        <f t="shared" si="0"/>
        <v>6.2833333333343884</v>
      </c>
      <c r="R16" s="20">
        <f t="shared" si="0"/>
        <v>6.8611111111125309</v>
      </c>
      <c r="S16" s="20">
        <f t="shared" si="0"/>
        <v>7.2222222222235359</v>
      </c>
      <c r="T16" s="21">
        <f t="shared" si="0"/>
        <v>5.9222222222237235</v>
      </c>
      <c r="U16" s="21">
        <f t="shared" si="1"/>
        <v>6.5</v>
      </c>
      <c r="V16" s="21">
        <f t="shared" si="1"/>
        <v>6.8611111111125309</v>
      </c>
      <c r="W16" s="22">
        <f t="shared" si="1"/>
        <v>5.5611111111113249</v>
      </c>
      <c r="X16" s="22">
        <f t="shared" si="1"/>
        <v>6.1388888888875677</v>
      </c>
      <c r="Y16" s="22">
        <f t="shared" si="1"/>
        <v>6.5</v>
      </c>
      <c r="Z16" s="23">
        <f t="shared" si="1"/>
        <v>5.1999999999990294</v>
      </c>
      <c r="AA16" s="23">
        <f t="shared" si="1"/>
        <v>5.7777777777772741</v>
      </c>
      <c r="AB16" s="23">
        <f t="shared" si="1"/>
        <v>6.1388888888875677</v>
      </c>
      <c r="AC16" s="24">
        <f t="shared" si="1"/>
        <v>4.8388888888892225</v>
      </c>
      <c r="AD16" s="24">
        <f t="shared" si="1"/>
        <v>5.4166666666665764</v>
      </c>
      <c r="AE16" s="24">
        <f t="shared" si="1"/>
        <v>5.7777777777772741</v>
      </c>
      <c r="AF16" s="25">
        <f t="shared" si="1"/>
        <v>4.477777777777308</v>
      </c>
      <c r="AG16" s="25">
        <f t="shared" si="1"/>
        <v>5.0555555555564027</v>
      </c>
      <c r="AH16" s="25">
        <f t="shared" si="1"/>
        <v>5.4166666666665764</v>
      </c>
      <c r="AI16" s="26">
        <f t="shared" si="1"/>
        <v>4.1166666666669478</v>
      </c>
      <c r="AJ16" s="26">
        <f t="shared" si="1"/>
        <v>4.6944444444436186</v>
      </c>
      <c r="AK16" s="26">
        <f t="shared" si="2"/>
        <v>5.0555555555564027</v>
      </c>
    </row>
    <row r="17" spans="4:37" ht="20.100000000000001" customHeight="1">
      <c r="D17" s="27">
        <f t="shared" si="3"/>
        <v>3.8888888888888883E-2</v>
      </c>
      <c r="E17" s="16">
        <f t="shared" si="0"/>
        <v>11.122222222221346</v>
      </c>
      <c r="F17" s="16">
        <f t="shared" si="0"/>
        <v>11.744444444441612</v>
      </c>
      <c r="G17" s="16">
        <f t="shared" si="0"/>
        <v>12.133333333332189</v>
      </c>
      <c r="H17" s="17">
        <f t="shared" si="0"/>
        <v>10.344444444445735</v>
      </c>
      <c r="I17" s="17">
        <f t="shared" si="0"/>
        <v>10.966666666666301</v>
      </c>
      <c r="J17" s="17">
        <f t="shared" si="0"/>
        <v>11.355555555555551</v>
      </c>
      <c r="K17" s="18">
        <f t="shared" si="0"/>
        <v>9.5666666666658067</v>
      </c>
      <c r="L17" s="18">
        <f t="shared" si="0"/>
        <v>10.188888888887597</v>
      </c>
      <c r="M17" s="18">
        <f t="shared" si="0"/>
        <v>10.577777777777246</v>
      </c>
      <c r="N17" s="19">
        <f t="shared" si="0"/>
        <v>7.1555555555551003</v>
      </c>
      <c r="O17" s="19">
        <f t="shared" si="0"/>
        <v>7.7777777777790913</v>
      </c>
      <c r="P17" s="19">
        <f t="shared" si="0"/>
        <v>8.1666666666657548</v>
      </c>
      <c r="Q17" s="20">
        <f t="shared" si="0"/>
        <v>6.7666666666677218</v>
      </c>
      <c r="R17" s="20">
        <f t="shared" si="0"/>
        <v>7.3888888888903086</v>
      </c>
      <c r="S17" s="20">
        <f t="shared" si="0"/>
        <v>7.7777777777790913</v>
      </c>
      <c r="T17" s="21">
        <f t="shared" si="0"/>
        <v>6.3777777777792792</v>
      </c>
      <c r="U17" s="21">
        <f t="shared" si="1"/>
        <v>7</v>
      </c>
      <c r="V17" s="21">
        <f t="shared" si="1"/>
        <v>7.3888888888903086</v>
      </c>
      <c r="W17" s="22">
        <f t="shared" si="1"/>
        <v>5.988888888889103</v>
      </c>
      <c r="X17" s="22">
        <f t="shared" si="1"/>
        <v>6.61111111110979</v>
      </c>
      <c r="Y17" s="22">
        <f t="shared" si="1"/>
        <v>7</v>
      </c>
      <c r="Z17" s="23">
        <f t="shared" si="1"/>
        <v>5.5999999999990298</v>
      </c>
      <c r="AA17" s="23">
        <f t="shared" si="1"/>
        <v>6.2222222222217187</v>
      </c>
      <c r="AB17" s="23">
        <f t="shared" si="1"/>
        <v>6.61111111110979</v>
      </c>
      <c r="AC17" s="24">
        <f t="shared" si="1"/>
        <v>5.2111111111114443</v>
      </c>
      <c r="AD17" s="24">
        <f t="shared" si="1"/>
        <v>5.8333333333332433</v>
      </c>
      <c r="AE17" s="24">
        <f t="shared" si="1"/>
        <v>6.2222222222217187</v>
      </c>
      <c r="AF17" s="25">
        <f t="shared" si="1"/>
        <v>4.8222222222217521</v>
      </c>
      <c r="AG17" s="25">
        <f t="shared" si="1"/>
        <v>5.444444444445292</v>
      </c>
      <c r="AH17" s="25">
        <f t="shared" si="1"/>
        <v>5.8333333333332433</v>
      </c>
      <c r="AI17" s="26">
        <f t="shared" si="1"/>
        <v>4.4333333333336142</v>
      </c>
      <c r="AJ17" s="26">
        <f t="shared" si="1"/>
        <v>5.0555555555547294</v>
      </c>
      <c r="AK17" s="26">
        <f t="shared" si="2"/>
        <v>5.444444444445292</v>
      </c>
    </row>
    <row r="18" spans="4:37" ht="20.100000000000001" customHeight="1">
      <c r="D18" s="27">
        <f t="shared" si="3"/>
        <v>4.1666666666666657E-2</v>
      </c>
      <c r="E18" s="16">
        <f t="shared" si="0"/>
        <v>11.91666666666579</v>
      </c>
      <c r="F18" s="16">
        <f t="shared" si="0"/>
        <v>12.583333333330501</v>
      </c>
      <c r="G18" s="16">
        <f t="shared" si="0"/>
        <v>12.999999999998856</v>
      </c>
      <c r="H18" s="17">
        <f t="shared" si="0"/>
        <v>11.083333333334624</v>
      </c>
      <c r="I18" s="17">
        <f t="shared" si="0"/>
        <v>11.749999999999634</v>
      </c>
      <c r="J18" s="17">
        <f t="shared" si="0"/>
        <v>12.166666666666663</v>
      </c>
      <c r="K18" s="18">
        <f t="shared" si="0"/>
        <v>10.24999999999914</v>
      </c>
      <c r="L18" s="18">
        <f t="shared" si="0"/>
        <v>10.916666666665375</v>
      </c>
      <c r="M18" s="18">
        <f t="shared" si="0"/>
        <v>11.333333333332803</v>
      </c>
      <c r="N18" s="19">
        <f t="shared" si="0"/>
        <v>7.6666666666662113</v>
      </c>
      <c r="O18" s="19">
        <f t="shared" si="0"/>
        <v>8.3333333333346467</v>
      </c>
      <c r="P18" s="19">
        <f t="shared" si="0"/>
        <v>8.7499999999990887</v>
      </c>
      <c r="Q18" s="20">
        <f t="shared" si="0"/>
        <v>7.2500000000010552</v>
      </c>
      <c r="R18" s="20">
        <f t="shared" si="0"/>
        <v>7.9166666666680863</v>
      </c>
      <c r="S18" s="20">
        <f t="shared" si="0"/>
        <v>8.3333333333346467</v>
      </c>
      <c r="T18" s="21">
        <f t="shared" ref="T18:AI34" si="4">T19-(T$363/360)</f>
        <v>6.8333333333348349</v>
      </c>
      <c r="U18" s="21">
        <f t="shared" si="1"/>
        <v>7.5</v>
      </c>
      <c r="V18" s="21">
        <f t="shared" si="1"/>
        <v>7.9166666666680863</v>
      </c>
      <c r="W18" s="22">
        <f t="shared" si="1"/>
        <v>6.416666666666881</v>
      </c>
      <c r="X18" s="22">
        <f t="shared" si="1"/>
        <v>7.0833333333320123</v>
      </c>
      <c r="Y18" s="22">
        <f t="shared" si="1"/>
        <v>7.5</v>
      </c>
      <c r="Z18" s="23">
        <f t="shared" si="1"/>
        <v>5.9999999999990301</v>
      </c>
      <c r="AA18" s="23">
        <f t="shared" si="1"/>
        <v>6.6666666666661634</v>
      </c>
      <c r="AB18" s="23">
        <f t="shared" si="1"/>
        <v>7.0833333333320123</v>
      </c>
      <c r="AC18" s="24">
        <f t="shared" si="1"/>
        <v>5.5833333333336661</v>
      </c>
      <c r="AD18" s="24">
        <f t="shared" si="1"/>
        <v>6.2499999999999103</v>
      </c>
      <c r="AE18" s="24">
        <f t="shared" si="1"/>
        <v>6.6666666666661634</v>
      </c>
      <c r="AF18" s="25">
        <f t="shared" si="1"/>
        <v>5.1666666666661962</v>
      </c>
      <c r="AG18" s="25">
        <f t="shared" si="1"/>
        <v>5.8333333333341812</v>
      </c>
      <c r="AH18" s="25">
        <f t="shared" si="1"/>
        <v>6.2499999999999103</v>
      </c>
      <c r="AI18" s="26">
        <f t="shared" si="1"/>
        <v>4.7500000000002807</v>
      </c>
      <c r="AJ18" s="26">
        <f t="shared" ref="AJ18:AK33" si="5">AJ19-(AJ$363/360)</f>
        <v>5.4166666666658401</v>
      </c>
      <c r="AK18" s="26">
        <f t="shared" si="5"/>
        <v>5.8333333333341812</v>
      </c>
    </row>
    <row r="19" spans="4:37" ht="20.100000000000001" customHeight="1">
      <c r="D19" s="27">
        <f t="shared" si="3"/>
        <v>4.4444444444444432E-2</v>
      </c>
      <c r="E19" s="16">
        <f t="shared" ref="E19:S35" si="6">E20-(E$363/360)</f>
        <v>12.711111111110235</v>
      </c>
      <c r="F19" s="16">
        <f t="shared" si="6"/>
        <v>13.422222222219389</v>
      </c>
      <c r="G19" s="16">
        <f t="shared" si="6"/>
        <v>13.866666666665523</v>
      </c>
      <c r="H19" s="17">
        <f t="shared" si="6"/>
        <v>11.822222222223512</v>
      </c>
      <c r="I19" s="17">
        <f t="shared" si="6"/>
        <v>12.533333333332967</v>
      </c>
      <c r="J19" s="17">
        <f t="shared" si="6"/>
        <v>12.977777777777774</v>
      </c>
      <c r="K19" s="18">
        <f t="shared" si="6"/>
        <v>10.933333333332474</v>
      </c>
      <c r="L19" s="18">
        <f t="shared" si="6"/>
        <v>11.644444444443153</v>
      </c>
      <c r="M19" s="18">
        <f t="shared" si="6"/>
        <v>12.088888888888359</v>
      </c>
      <c r="N19" s="19">
        <f t="shared" si="6"/>
        <v>8.1777777777773224</v>
      </c>
      <c r="O19" s="19">
        <f t="shared" si="6"/>
        <v>8.888888888890202</v>
      </c>
      <c r="P19" s="19">
        <f t="shared" si="6"/>
        <v>9.3333333333324227</v>
      </c>
      <c r="Q19" s="20">
        <f t="shared" si="6"/>
        <v>7.7333333333343885</v>
      </c>
      <c r="R19" s="20">
        <f t="shared" si="6"/>
        <v>8.444444444445864</v>
      </c>
      <c r="S19" s="20">
        <f t="shared" si="6"/>
        <v>8.888888888890202</v>
      </c>
      <c r="T19" s="21">
        <f t="shared" si="4"/>
        <v>7.2888888888903907</v>
      </c>
      <c r="U19" s="21">
        <f t="shared" si="4"/>
        <v>8</v>
      </c>
      <c r="V19" s="21">
        <f t="shared" si="4"/>
        <v>8.444444444445864</v>
      </c>
      <c r="W19" s="22">
        <f t="shared" si="4"/>
        <v>6.844444444444659</v>
      </c>
      <c r="X19" s="22">
        <f t="shared" si="4"/>
        <v>7.5555555555542346</v>
      </c>
      <c r="Y19" s="22">
        <f t="shared" si="4"/>
        <v>8</v>
      </c>
      <c r="Z19" s="23">
        <f t="shared" si="4"/>
        <v>6.3999999999990305</v>
      </c>
      <c r="AA19" s="23">
        <f t="shared" si="4"/>
        <v>7.111111111110608</v>
      </c>
      <c r="AB19" s="23">
        <f t="shared" si="4"/>
        <v>7.5555555555542346</v>
      </c>
      <c r="AC19" s="24">
        <f t="shared" si="4"/>
        <v>5.9555555555558879</v>
      </c>
      <c r="AD19" s="24">
        <f t="shared" si="4"/>
        <v>6.6666666666665773</v>
      </c>
      <c r="AE19" s="24">
        <f t="shared" si="4"/>
        <v>7.111111111110608</v>
      </c>
      <c r="AF19" s="25">
        <f t="shared" si="4"/>
        <v>5.5111111111106403</v>
      </c>
      <c r="AG19" s="25">
        <f t="shared" si="4"/>
        <v>6.2222222222230705</v>
      </c>
      <c r="AH19" s="25">
        <f t="shared" si="4"/>
        <v>6.6666666666665773</v>
      </c>
      <c r="AI19" s="26">
        <f t="shared" si="4"/>
        <v>5.0666666666669471</v>
      </c>
      <c r="AJ19" s="26">
        <f t="shared" si="5"/>
        <v>5.7777777777769508</v>
      </c>
      <c r="AK19" s="26">
        <f t="shared" si="5"/>
        <v>6.2222222222230705</v>
      </c>
    </row>
    <row r="20" spans="4:37" ht="20.100000000000001" customHeight="1">
      <c r="D20" s="27">
        <f t="shared" si="3"/>
        <v>4.7222222222222207E-2</v>
      </c>
      <c r="E20" s="16">
        <f t="shared" si="6"/>
        <v>13.505555555554679</v>
      </c>
      <c r="F20" s="16">
        <f t="shared" si="6"/>
        <v>14.261111111108278</v>
      </c>
      <c r="G20" s="16">
        <f t="shared" si="6"/>
        <v>14.73333333333219</v>
      </c>
      <c r="H20" s="17">
        <f t="shared" si="6"/>
        <v>12.561111111112401</v>
      </c>
      <c r="I20" s="17">
        <f t="shared" si="6"/>
        <v>13.316666666666301</v>
      </c>
      <c r="J20" s="17">
        <f t="shared" si="6"/>
        <v>13.788888888888886</v>
      </c>
      <c r="K20" s="18">
        <f t="shared" si="6"/>
        <v>11.616666666665807</v>
      </c>
      <c r="L20" s="18">
        <f t="shared" si="6"/>
        <v>12.37222222222093</v>
      </c>
      <c r="M20" s="18">
        <f t="shared" si="6"/>
        <v>12.844444444443916</v>
      </c>
      <c r="N20" s="19">
        <f t="shared" si="6"/>
        <v>8.6888888888884335</v>
      </c>
      <c r="O20" s="19">
        <f t="shared" si="6"/>
        <v>9.4444444444457574</v>
      </c>
      <c r="P20" s="19">
        <f t="shared" si="6"/>
        <v>9.9166666666657566</v>
      </c>
      <c r="Q20" s="20">
        <f t="shared" si="6"/>
        <v>8.2166666666677219</v>
      </c>
      <c r="R20" s="20">
        <f t="shared" si="6"/>
        <v>8.9722222222236425</v>
      </c>
      <c r="S20" s="20">
        <f t="shared" si="6"/>
        <v>9.4444444444457574</v>
      </c>
      <c r="T20" s="21">
        <f t="shared" si="4"/>
        <v>7.7444444444459464</v>
      </c>
      <c r="U20" s="21">
        <f t="shared" si="4"/>
        <v>8.5</v>
      </c>
      <c r="V20" s="21">
        <f t="shared" si="4"/>
        <v>8.9722222222236425</v>
      </c>
      <c r="W20" s="22">
        <f t="shared" si="4"/>
        <v>7.2722222222224371</v>
      </c>
      <c r="X20" s="22">
        <f t="shared" si="4"/>
        <v>8.027777777776457</v>
      </c>
      <c r="Y20" s="22">
        <f t="shared" si="4"/>
        <v>8.5</v>
      </c>
      <c r="Z20" s="23">
        <f t="shared" si="4"/>
        <v>6.7999999999990308</v>
      </c>
      <c r="AA20" s="23">
        <f t="shared" si="4"/>
        <v>7.5555555555550526</v>
      </c>
      <c r="AB20" s="23">
        <f t="shared" si="4"/>
        <v>8.027777777776457</v>
      </c>
      <c r="AC20" s="24">
        <f t="shared" si="4"/>
        <v>6.3277777777781097</v>
      </c>
      <c r="AD20" s="24">
        <f t="shared" si="4"/>
        <v>7.0833333333332442</v>
      </c>
      <c r="AE20" s="24">
        <f t="shared" si="4"/>
        <v>7.5555555555550526</v>
      </c>
      <c r="AF20" s="25">
        <f t="shared" si="4"/>
        <v>5.8555555555550844</v>
      </c>
      <c r="AG20" s="25">
        <f t="shared" si="4"/>
        <v>6.6111111111119598</v>
      </c>
      <c r="AH20" s="25">
        <f t="shared" si="4"/>
        <v>7.0833333333332442</v>
      </c>
      <c r="AI20" s="26">
        <f t="shared" si="4"/>
        <v>5.3833333333336135</v>
      </c>
      <c r="AJ20" s="26">
        <f t="shared" si="5"/>
        <v>6.1388888888880615</v>
      </c>
      <c r="AK20" s="26">
        <f t="shared" si="5"/>
        <v>6.6111111111119598</v>
      </c>
    </row>
    <row r="21" spans="4:37" ht="20.100000000000001" customHeight="1">
      <c r="D21" s="27">
        <f t="shared" si="3"/>
        <v>4.9999999999999982E-2</v>
      </c>
      <c r="E21" s="16">
        <f t="shared" si="6"/>
        <v>14.299999999999123</v>
      </c>
      <c r="F21" s="16">
        <f t="shared" si="6"/>
        <v>15.099999999997166</v>
      </c>
      <c r="G21" s="16">
        <f t="shared" si="6"/>
        <v>15.599999999998857</v>
      </c>
      <c r="H21" s="17">
        <f t="shared" si="6"/>
        <v>13.30000000000129</v>
      </c>
      <c r="I21" s="17">
        <f t="shared" si="6"/>
        <v>14.099999999999634</v>
      </c>
      <c r="J21" s="17">
        <f t="shared" si="6"/>
        <v>14.599999999999998</v>
      </c>
      <c r="K21" s="18">
        <f t="shared" si="6"/>
        <v>12.299999999999141</v>
      </c>
      <c r="L21" s="18">
        <f t="shared" si="6"/>
        <v>13.099999999998708</v>
      </c>
      <c r="M21" s="18">
        <f t="shared" si="6"/>
        <v>13.599999999999472</v>
      </c>
      <c r="N21" s="19">
        <f t="shared" si="6"/>
        <v>9.1999999999995445</v>
      </c>
      <c r="O21" s="19">
        <f t="shared" si="6"/>
        <v>10.000000000001313</v>
      </c>
      <c r="P21" s="19">
        <f t="shared" si="6"/>
        <v>10.499999999999091</v>
      </c>
      <c r="Q21" s="20">
        <f t="shared" si="6"/>
        <v>8.7000000000010544</v>
      </c>
      <c r="R21" s="20">
        <f t="shared" si="6"/>
        <v>9.5000000000014211</v>
      </c>
      <c r="S21" s="20">
        <f t="shared" si="6"/>
        <v>10.000000000001313</v>
      </c>
      <c r="T21" s="21">
        <f t="shared" si="4"/>
        <v>8.2000000000015021</v>
      </c>
      <c r="U21" s="21">
        <f t="shared" si="4"/>
        <v>9</v>
      </c>
      <c r="V21" s="21">
        <f t="shared" si="4"/>
        <v>9.5000000000014211</v>
      </c>
      <c r="W21" s="22">
        <f t="shared" si="4"/>
        <v>7.7000000000002151</v>
      </c>
      <c r="X21" s="22">
        <f t="shared" si="4"/>
        <v>8.4999999999986784</v>
      </c>
      <c r="Y21" s="22">
        <f t="shared" si="4"/>
        <v>9</v>
      </c>
      <c r="Z21" s="23">
        <f t="shared" si="4"/>
        <v>7.1999999999990312</v>
      </c>
      <c r="AA21" s="23">
        <f t="shared" si="4"/>
        <v>7.9999999999994973</v>
      </c>
      <c r="AB21" s="23">
        <f t="shared" si="4"/>
        <v>8.4999999999986784</v>
      </c>
      <c r="AC21" s="24">
        <f t="shared" si="4"/>
        <v>6.7000000000003315</v>
      </c>
      <c r="AD21" s="24">
        <f t="shared" si="4"/>
        <v>7.4999999999999112</v>
      </c>
      <c r="AE21" s="24">
        <f t="shared" si="4"/>
        <v>7.9999999999994973</v>
      </c>
      <c r="AF21" s="25">
        <f t="shared" si="4"/>
        <v>6.1999999999995286</v>
      </c>
      <c r="AG21" s="25">
        <f t="shared" si="4"/>
        <v>7.0000000000008491</v>
      </c>
      <c r="AH21" s="25">
        <f t="shared" si="4"/>
        <v>7.4999999999999112</v>
      </c>
      <c r="AI21" s="26">
        <f t="shared" si="4"/>
        <v>5.70000000000028</v>
      </c>
      <c r="AJ21" s="26">
        <f t="shared" si="5"/>
        <v>6.4999999999991722</v>
      </c>
      <c r="AK21" s="26">
        <f t="shared" si="5"/>
        <v>7.0000000000008491</v>
      </c>
    </row>
    <row r="22" spans="4:37" ht="20.100000000000001" customHeight="1">
      <c r="D22" s="27">
        <f t="shared" si="3"/>
        <v>5.2777777777777757E-2</v>
      </c>
      <c r="E22" s="16">
        <f t="shared" si="6"/>
        <v>15.094444444443567</v>
      </c>
      <c r="F22" s="16">
        <f t="shared" si="6"/>
        <v>15.938888888886055</v>
      </c>
      <c r="G22" s="16">
        <f t="shared" si="6"/>
        <v>16.466666666665525</v>
      </c>
      <c r="H22" s="17">
        <f t="shared" si="6"/>
        <v>14.038888888890179</v>
      </c>
      <c r="I22" s="17">
        <f t="shared" si="6"/>
        <v>14.883333333332967</v>
      </c>
      <c r="J22" s="17">
        <f t="shared" si="6"/>
        <v>15.41111111111111</v>
      </c>
      <c r="K22" s="18">
        <f t="shared" si="6"/>
        <v>12.983333333332475</v>
      </c>
      <c r="L22" s="18">
        <f t="shared" si="6"/>
        <v>13.827777777776486</v>
      </c>
      <c r="M22" s="18">
        <f t="shared" si="6"/>
        <v>14.355555555555028</v>
      </c>
      <c r="N22" s="19">
        <f t="shared" si="6"/>
        <v>9.7111111111106556</v>
      </c>
      <c r="O22" s="19">
        <f t="shared" si="6"/>
        <v>10.555555555556868</v>
      </c>
      <c r="P22" s="19">
        <f t="shared" si="6"/>
        <v>11.083333333332424</v>
      </c>
      <c r="Q22" s="20">
        <f t="shared" si="6"/>
        <v>9.1833333333343869</v>
      </c>
      <c r="R22" s="20">
        <f t="shared" si="6"/>
        <v>10.0277777777792</v>
      </c>
      <c r="S22" s="20">
        <f t="shared" si="6"/>
        <v>10.555555555556868</v>
      </c>
      <c r="T22" s="21">
        <f t="shared" si="4"/>
        <v>8.6555555555570578</v>
      </c>
      <c r="U22" s="21">
        <f t="shared" si="4"/>
        <v>9.5</v>
      </c>
      <c r="V22" s="21">
        <f t="shared" si="4"/>
        <v>10.0277777777792</v>
      </c>
      <c r="W22" s="22">
        <f t="shared" si="4"/>
        <v>8.1277777777779932</v>
      </c>
      <c r="X22" s="22">
        <f t="shared" si="4"/>
        <v>8.9722222222208998</v>
      </c>
      <c r="Y22" s="22">
        <f t="shared" si="4"/>
        <v>9.5</v>
      </c>
      <c r="Z22" s="23">
        <f t="shared" si="4"/>
        <v>7.5999999999990315</v>
      </c>
      <c r="AA22" s="23">
        <f t="shared" si="4"/>
        <v>8.4444444444439419</v>
      </c>
      <c r="AB22" s="23">
        <f t="shared" si="4"/>
        <v>8.9722222222208998</v>
      </c>
      <c r="AC22" s="24">
        <f t="shared" si="4"/>
        <v>7.0722222222225533</v>
      </c>
      <c r="AD22" s="24">
        <f t="shared" si="4"/>
        <v>7.9166666666665781</v>
      </c>
      <c r="AE22" s="24">
        <f t="shared" si="4"/>
        <v>8.4444444444439419</v>
      </c>
      <c r="AF22" s="25">
        <f t="shared" si="4"/>
        <v>6.5444444444439727</v>
      </c>
      <c r="AG22" s="25">
        <f t="shared" si="4"/>
        <v>7.3888888888897384</v>
      </c>
      <c r="AH22" s="25">
        <f t="shared" si="4"/>
        <v>7.9166666666665781</v>
      </c>
      <c r="AI22" s="26">
        <f t="shared" si="4"/>
        <v>6.0166666666669464</v>
      </c>
      <c r="AJ22" s="26">
        <f t="shared" si="5"/>
        <v>6.8611111111102829</v>
      </c>
      <c r="AK22" s="26">
        <f t="shared" si="5"/>
        <v>7.3888888888897384</v>
      </c>
    </row>
    <row r="23" spans="4:37" ht="20.100000000000001" customHeight="1">
      <c r="D23" s="27">
        <f t="shared" si="3"/>
        <v>5.5555555555555532E-2</v>
      </c>
      <c r="E23" s="16">
        <f t="shared" si="6"/>
        <v>15.888888888888012</v>
      </c>
      <c r="F23" s="16">
        <f t="shared" si="6"/>
        <v>16.777777777774944</v>
      </c>
      <c r="G23" s="16">
        <f t="shared" si="6"/>
        <v>17.333333333332192</v>
      </c>
      <c r="H23" s="17">
        <f t="shared" si="6"/>
        <v>14.777777777779068</v>
      </c>
      <c r="I23" s="17">
        <f t="shared" si="6"/>
        <v>15.6666666666663</v>
      </c>
      <c r="J23" s="17">
        <f t="shared" si="6"/>
        <v>16.222222222222221</v>
      </c>
      <c r="K23" s="18">
        <f t="shared" si="6"/>
        <v>13.666666666665808</v>
      </c>
      <c r="L23" s="18">
        <f t="shared" si="6"/>
        <v>14.555555555554264</v>
      </c>
      <c r="M23" s="18">
        <f t="shared" si="6"/>
        <v>15.111111111110585</v>
      </c>
      <c r="N23" s="19">
        <f t="shared" si="6"/>
        <v>10.222222222221767</v>
      </c>
      <c r="O23" s="19">
        <f t="shared" si="6"/>
        <v>11.111111111112423</v>
      </c>
      <c r="P23" s="19">
        <f t="shared" si="6"/>
        <v>11.666666666665758</v>
      </c>
      <c r="Q23" s="20">
        <f t="shared" si="6"/>
        <v>9.6666666666677195</v>
      </c>
      <c r="R23" s="20">
        <f t="shared" si="6"/>
        <v>10.555555555556978</v>
      </c>
      <c r="S23" s="20">
        <f t="shared" si="6"/>
        <v>11.111111111112423</v>
      </c>
      <c r="T23" s="21">
        <f t="shared" si="4"/>
        <v>9.1111111111126135</v>
      </c>
      <c r="U23" s="21">
        <f t="shared" si="4"/>
        <v>10</v>
      </c>
      <c r="V23" s="21">
        <f t="shared" si="4"/>
        <v>10.555555555556978</v>
      </c>
      <c r="W23" s="22">
        <f t="shared" si="4"/>
        <v>8.5555555555557703</v>
      </c>
      <c r="X23" s="22">
        <f t="shared" si="4"/>
        <v>9.4444444444431213</v>
      </c>
      <c r="Y23" s="22">
        <f t="shared" si="4"/>
        <v>10</v>
      </c>
      <c r="Z23" s="23">
        <f t="shared" si="4"/>
        <v>7.9999999999990319</v>
      </c>
      <c r="AA23" s="23">
        <f t="shared" si="4"/>
        <v>8.8888888888883866</v>
      </c>
      <c r="AB23" s="23">
        <f t="shared" si="4"/>
        <v>9.4444444444431213</v>
      </c>
      <c r="AC23" s="24">
        <f t="shared" si="4"/>
        <v>7.444444444444775</v>
      </c>
      <c r="AD23" s="24">
        <f t="shared" si="4"/>
        <v>8.3333333333332451</v>
      </c>
      <c r="AE23" s="24">
        <f t="shared" si="4"/>
        <v>8.8888888888883866</v>
      </c>
      <c r="AF23" s="25">
        <f t="shared" si="4"/>
        <v>6.8888888888884168</v>
      </c>
      <c r="AG23" s="25">
        <f t="shared" si="4"/>
        <v>7.7777777777786277</v>
      </c>
      <c r="AH23" s="25">
        <f t="shared" si="4"/>
        <v>8.3333333333332451</v>
      </c>
      <c r="AI23" s="26">
        <f t="shared" si="4"/>
        <v>6.3333333333336128</v>
      </c>
      <c r="AJ23" s="26">
        <f t="shared" si="5"/>
        <v>7.2222222222213937</v>
      </c>
      <c r="AK23" s="26">
        <f t="shared" si="5"/>
        <v>7.7777777777786277</v>
      </c>
    </row>
    <row r="24" spans="4:37" ht="20.100000000000001" customHeight="1">
      <c r="D24" s="27">
        <f t="shared" si="3"/>
        <v>5.8333333333333307E-2</v>
      </c>
      <c r="E24" s="16">
        <f t="shared" si="6"/>
        <v>16.683333333332456</v>
      </c>
      <c r="F24" s="16">
        <f t="shared" si="6"/>
        <v>17.616666666663832</v>
      </c>
      <c r="G24" s="16">
        <f t="shared" si="6"/>
        <v>18.199999999998859</v>
      </c>
      <c r="H24" s="17">
        <f t="shared" si="6"/>
        <v>15.516666666667957</v>
      </c>
      <c r="I24" s="17">
        <f t="shared" si="6"/>
        <v>16.449999999999633</v>
      </c>
      <c r="J24" s="17">
        <f t="shared" si="6"/>
        <v>17.033333333333331</v>
      </c>
      <c r="K24" s="18">
        <f t="shared" si="6"/>
        <v>14.349999999999142</v>
      </c>
      <c r="L24" s="18">
        <f t="shared" si="6"/>
        <v>15.283333333332042</v>
      </c>
      <c r="M24" s="18">
        <f t="shared" si="6"/>
        <v>15.866666666666141</v>
      </c>
      <c r="N24" s="19">
        <f t="shared" si="6"/>
        <v>10.733333333332878</v>
      </c>
      <c r="O24" s="19">
        <f t="shared" si="6"/>
        <v>11.666666666667979</v>
      </c>
      <c r="P24" s="19">
        <f t="shared" si="6"/>
        <v>12.249999999999092</v>
      </c>
      <c r="Q24" s="20">
        <f t="shared" si="6"/>
        <v>10.150000000001052</v>
      </c>
      <c r="R24" s="20">
        <f t="shared" si="6"/>
        <v>11.083333333334757</v>
      </c>
      <c r="S24" s="20">
        <f t="shared" si="6"/>
        <v>11.666666666667979</v>
      </c>
      <c r="T24" s="21">
        <f t="shared" si="4"/>
        <v>9.5666666666681692</v>
      </c>
      <c r="U24" s="21">
        <f t="shared" si="4"/>
        <v>10.5</v>
      </c>
      <c r="V24" s="21">
        <f t="shared" si="4"/>
        <v>11.083333333334757</v>
      </c>
      <c r="W24" s="22">
        <f t="shared" si="4"/>
        <v>8.9833333333335474</v>
      </c>
      <c r="X24" s="22">
        <f t="shared" si="4"/>
        <v>9.9166666666653427</v>
      </c>
      <c r="Y24" s="22">
        <f t="shared" si="4"/>
        <v>10.5</v>
      </c>
      <c r="Z24" s="23">
        <f t="shared" si="4"/>
        <v>8.3999999999990322</v>
      </c>
      <c r="AA24" s="23">
        <f t="shared" si="4"/>
        <v>9.3333333333328312</v>
      </c>
      <c r="AB24" s="23">
        <f t="shared" si="4"/>
        <v>9.9166666666653427</v>
      </c>
      <c r="AC24" s="24">
        <f t="shared" si="4"/>
        <v>7.8166666666669968</v>
      </c>
      <c r="AD24" s="24">
        <f t="shared" si="4"/>
        <v>8.7499999999999112</v>
      </c>
      <c r="AE24" s="24">
        <f t="shared" si="4"/>
        <v>9.3333333333328312</v>
      </c>
      <c r="AF24" s="25">
        <f t="shared" si="4"/>
        <v>7.2333333333328609</v>
      </c>
      <c r="AG24" s="25">
        <f t="shared" si="4"/>
        <v>8.1666666666675169</v>
      </c>
      <c r="AH24" s="25">
        <f t="shared" si="4"/>
        <v>8.7499999999999112</v>
      </c>
      <c r="AI24" s="26">
        <f t="shared" si="4"/>
        <v>6.6500000000002792</v>
      </c>
      <c r="AJ24" s="26">
        <f t="shared" si="5"/>
        <v>7.5833333333325044</v>
      </c>
      <c r="AK24" s="26">
        <f t="shared" si="5"/>
        <v>8.1666666666675169</v>
      </c>
    </row>
    <row r="25" spans="4:37" ht="20.100000000000001" customHeight="1">
      <c r="D25" s="27">
        <f t="shared" si="3"/>
        <v>6.1111111111111081E-2</v>
      </c>
      <c r="E25" s="16">
        <f t="shared" si="6"/>
        <v>17.4777777777769</v>
      </c>
      <c r="F25" s="16">
        <f t="shared" si="6"/>
        <v>18.455555555552721</v>
      </c>
      <c r="G25" s="16">
        <f t="shared" si="6"/>
        <v>19.066666666665526</v>
      </c>
      <c r="H25" s="17">
        <f t="shared" si="6"/>
        <v>16.255555555556846</v>
      </c>
      <c r="I25" s="17">
        <f t="shared" si="6"/>
        <v>17.233333333332968</v>
      </c>
      <c r="J25" s="17">
        <f t="shared" si="6"/>
        <v>17.844444444444441</v>
      </c>
      <c r="K25" s="18">
        <f t="shared" si="6"/>
        <v>15.033333333332475</v>
      </c>
      <c r="L25" s="18">
        <f t="shared" si="6"/>
        <v>16.01111111110982</v>
      </c>
      <c r="M25" s="18">
        <f t="shared" si="6"/>
        <v>16.622222222221698</v>
      </c>
      <c r="N25" s="19">
        <f t="shared" si="6"/>
        <v>11.244444444443989</v>
      </c>
      <c r="O25" s="19">
        <f t="shared" si="6"/>
        <v>12.222222222223534</v>
      </c>
      <c r="P25" s="19">
        <f t="shared" si="6"/>
        <v>12.833333333332426</v>
      </c>
      <c r="Q25" s="20">
        <f t="shared" si="6"/>
        <v>10.633333333334384</v>
      </c>
      <c r="R25" s="20">
        <f t="shared" si="6"/>
        <v>11.611111111112535</v>
      </c>
      <c r="S25" s="20">
        <f t="shared" si="6"/>
        <v>12.222222222223534</v>
      </c>
      <c r="T25" s="21">
        <f t="shared" si="4"/>
        <v>10.022222222223725</v>
      </c>
      <c r="U25" s="21">
        <f t="shared" si="4"/>
        <v>11</v>
      </c>
      <c r="V25" s="21">
        <f t="shared" si="4"/>
        <v>11.611111111112535</v>
      </c>
      <c r="W25" s="22">
        <f t="shared" si="4"/>
        <v>9.4111111111113246</v>
      </c>
      <c r="X25" s="22">
        <f t="shared" si="4"/>
        <v>10.388888888887564</v>
      </c>
      <c r="Y25" s="22">
        <f t="shared" si="4"/>
        <v>11</v>
      </c>
      <c r="Z25" s="23">
        <f t="shared" si="4"/>
        <v>8.7999999999990326</v>
      </c>
      <c r="AA25" s="23">
        <f t="shared" si="4"/>
        <v>9.7777777777772759</v>
      </c>
      <c r="AB25" s="23">
        <f t="shared" si="4"/>
        <v>10.388888888887564</v>
      </c>
      <c r="AC25" s="24">
        <f t="shared" si="4"/>
        <v>8.1888888888892186</v>
      </c>
      <c r="AD25" s="24">
        <f t="shared" si="4"/>
        <v>9.1666666666665773</v>
      </c>
      <c r="AE25" s="24">
        <f t="shared" si="4"/>
        <v>9.7777777777772759</v>
      </c>
      <c r="AF25" s="25">
        <f t="shared" si="4"/>
        <v>7.577777777777305</v>
      </c>
      <c r="AG25" s="25">
        <f t="shared" si="4"/>
        <v>8.5555555555564062</v>
      </c>
      <c r="AH25" s="25">
        <f t="shared" si="4"/>
        <v>9.1666666666665773</v>
      </c>
      <c r="AI25" s="26">
        <f t="shared" si="4"/>
        <v>6.9666666666669457</v>
      </c>
      <c r="AJ25" s="26">
        <f t="shared" si="5"/>
        <v>7.9444444444436151</v>
      </c>
      <c r="AK25" s="26">
        <f t="shared" si="5"/>
        <v>8.5555555555564062</v>
      </c>
    </row>
    <row r="26" spans="4:37" ht="20.100000000000001" customHeight="1">
      <c r="D26" s="27">
        <f t="shared" si="3"/>
        <v>6.3888888888888856E-2</v>
      </c>
      <c r="E26" s="16">
        <f t="shared" si="6"/>
        <v>18.272222222221345</v>
      </c>
      <c r="F26" s="16">
        <f t="shared" si="6"/>
        <v>19.294444444441609</v>
      </c>
      <c r="G26" s="16">
        <f t="shared" si="6"/>
        <v>19.933333333332193</v>
      </c>
      <c r="H26" s="17">
        <f t="shared" si="6"/>
        <v>16.994444444445733</v>
      </c>
      <c r="I26" s="17">
        <f t="shared" si="6"/>
        <v>18.016666666666303</v>
      </c>
      <c r="J26" s="17">
        <f t="shared" si="6"/>
        <v>18.655555555555551</v>
      </c>
      <c r="K26" s="18">
        <f t="shared" si="6"/>
        <v>15.716666666665809</v>
      </c>
      <c r="L26" s="18">
        <f t="shared" si="6"/>
        <v>16.738888888887598</v>
      </c>
      <c r="M26" s="18">
        <f t="shared" si="6"/>
        <v>17.377777777777254</v>
      </c>
      <c r="N26" s="19">
        <f t="shared" si="6"/>
        <v>11.7555555555551</v>
      </c>
      <c r="O26" s="19">
        <f t="shared" si="6"/>
        <v>12.77777777777909</v>
      </c>
      <c r="P26" s="19">
        <f t="shared" si="6"/>
        <v>13.41666666666576</v>
      </c>
      <c r="Q26" s="20">
        <f t="shared" si="6"/>
        <v>11.116666666667717</v>
      </c>
      <c r="R26" s="20">
        <f t="shared" si="6"/>
        <v>12.138888888890314</v>
      </c>
      <c r="S26" s="20">
        <f t="shared" si="6"/>
        <v>12.77777777777909</v>
      </c>
      <c r="T26" s="21">
        <f t="shared" si="4"/>
        <v>10.477777777779281</v>
      </c>
      <c r="U26" s="21">
        <f t="shared" si="4"/>
        <v>11.5</v>
      </c>
      <c r="V26" s="21">
        <f t="shared" si="4"/>
        <v>12.138888888890314</v>
      </c>
      <c r="W26" s="22">
        <f t="shared" si="4"/>
        <v>9.8388888888891017</v>
      </c>
      <c r="X26" s="22">
        <f t="shared" si="4"/>
        <v>10.861111111109786</v>
      </c>
      <c r="Y26" s="22">
        <f t="shared" si="4"/>
        <v>11.5</v>
      </c>
      <c r="Z26" s="23">
        <f t="shared" si="4"/>
        <v>9.199999999999033</v>
      </c>
      <c r="AA26" s="23">
        <f t="shared" si="4"/>
        <v>10.222222222221721</v>
      </c>
      <c r="AB26" s="23">
        <f t="shared" si="4"/>
        <v>10.861111111109786</v>
      </c>
      <c r="AC26" s="24">
        <f t="shared" si="4"/>
        <v>8.5611111111114404</v>
      </c>
      <c r="AD26" s="24">
        <f t="shared" si="4"/>
        <v>9.5833333333332433</v>
      </c>
      <c r="AE26" s="24">
        <f t="shared" si="4"/>
        <v>10.222222222221721</v>
      </c>
      <c r="AF26" s="25">
        <f t="shared" si="4"/>
        <v>7.9222222222217491</v>
      </c>
      <c r="AG26" s="25">
        <f t="shared" si="4"/>
        <v>8.9444444444452955</v>
      </c>
      <c r="AH26" s="25">
        <f t="shared" si="4"/>
        <v>9.5833333333332433</v>
      </c>
      <c r="AI26" s="26">
        <f t="shared" si="4"/>
        <v>7.2833333333336121</v>
      </c>
      <c r="AJ26" s="26">
        <f t="shared" si="5"/>
        <v>8.3055555555547258</v>
      </c>
      <c r="AK26" s="26">
        <f t="shared" si="5"/>
        <v>8.9444444444452955</v>
      </c>
    </row>
    <row r="27" spans="4:37" ht="20.100000000000001" customHeight="1">
      <c r="D27" s="27">
        <f t="shared" si="3"/>
        <v>6.6666666666666638E-2</v>
      </c>
      <c r="E27" s="16">
        <f t="shared" si="6"/>
        <v>19.066666666665789</v>
      </c>
      <c r="F27" s="16">
        <f t="shared" si="6"/>
        <v>20.133333333330498</v>
      </c>
      <c r="G27" s="16">
        <f t="shared" si="6"/>
        <v>20.79999999999886</v>
      </c>
      <c r="H27" s="17">
        <f t="shared" si="6"/>
        <v>17.73333333333462</v>
      </c>
      <c r="I27" s="17">
        <f t="shared" si="6"/>
        <v>18.799999999999638</v>
      </c>
      <c r="J27" s="17">
        <f t="shared" si="6"/>
        <v>19.466666666666661</v>
      </c>
      <c r="K27" s="18">
        <f t="shared" si="6"/>
        <v>16.399999999999142</v>
      </c>
      <c r="L27" s="18">
        <f t="shared" si="6"/>
        <v>17.466666666665375</v>
      </c>
      <c r="M27" s="18">
        <f t="shared" si="6"/>
        <v>18.133333333332811</v>
      </c>
      <c r="N27" s="19">
        <f t="shared" si="6"/>
        <v>12.266666666666211</v>
      </c>
      <c r="O27" s="19">
        <f t="shared" si="6"/>
        <v>13.333333333334645</v>
      </c>
      <c r="P27" s="19">
        <f t="shared" si="6"/>
        <v>13.999999999999094</v>
      </c>
      <c r="Q27" s="20">
        <f t="shared" si="6"/>
        <v>11.600000000001049</v>
      </c>
      <c r="R27" s="20">
        <f t="shared" si="6"/>
        <v>12.666666666668092</v>
      </c>
      <c r="S27" s="20">
        <f t="shared" si="6"/>
        <v>13.333333333334645</v>
      </c>
      <c r="T27" s="21">
        <f t="shared" si="4"/>
        <v>10.933333333334836</v>
      </c>
      <c r="U27" s="21">
        <f t="shared" si="4"/>
        <v>12</v>
      </c>
      <c r="V27" s="21">
        <f t="shared" si="4"/>
        <v>12.666666666668092</v>
      </c>
      <c r="W27" s="22">
        <f t="shared" si="4"/>
        <v>10.266666666666879</v>
      </c>
      <c r="X27" s="22">
        <f t="shared" si="4"/>
        <v>11.333333333332007</v>
      </c>
      <c r="Y27" s="22">
        <f t="shared" si="4"/>
        <v>12</v>
      </c>
      <c r="Z27" s="23">
        <f t="shared" si="4"/>
        <v>9.5999999999990333</v>
      </c>
      <c r="AA27" s="23">
        <f t="shared" si="4"/>
        <v>10.666666666666165</v>
      </c>
      <c r="AB27" s="23">
        <f t="shared" si="4"/>
        <v>11.333333333332007</v>
      </c>
      <c r="AC27" s="24">
        <f t="shared" si="4"/>
        <v>8.9333333333336622</v>
      </c>
      <c r="AD27" s="24">
        <f t="shared" si="4"/>
        <v>9.9999999999999094</v>
      </c>
      <c r="AE27" s="24">
        <f t="shared" si="4"/>
        <v>10.666666666666165</v>
      </c>
      <c r="AF27" s="25">
        <f t="shared" si="4"/>
        <v>8.2666666666661932</v>
      </c>
      <c r="AG27" s="25">
        <f t="shared" si="4"/>
        <v>9.3333333333341848</v>
      </c>
      <c r="AH27" s="25">
        <f t="shared" si="4"/>
        <v>9.9999999999999094</v>
      </c>
      <c r="AI27" s="26">
        <f t="shared" si="4"/>
        <v>7.6000000000002785</v>
      </c>
      <c r="AJ27" s="26">
        <f t="shared" si="5"/>
        <v>8.6666666666658365</v>
      </c>
      <c r="AK27" s="26">
        <f t="shared" si="5"/>
        <v>9.3333333333341848</v>
      </c>
    </row>
    <row r="28" spans="4:37" ht="20.100000000000001" customHeight="1">
      <c r="D28" s="27">
        <f t="shared" si="3"/>
        <v>6.944444444444442E-2</v>
      </c>
      <c r="E28" s="16">
        <f t="shared" si="6"/>
        <v>19.861111111110233</v>
      </c>
      <c r="F28" s="16">
        <f t="shared" si="6"/>
        <v>20.972222222219386</v>
      </c>
      <c r="G28" s="16">
        <f t="shared" si="6"/>
        <v>21.666666666665527</v>
      </c>
      <c r="H28" s="17">
        <f t="shared" si="6"/>
        <v>18.472222222223508</v>
      </c>
      <c r="I28" s="17">
        <f t="shared" si="6"/>
        <v>19.583333333332973</v>
      </c>
      <c r="J28" s="17">
        <f t="shared" si="6"/>
        <v>20.277777777777771</v>
      </c>
      <c r="K28" s="18">
        <f t="shared" si="6"/>
        <v>17.083333333332476</v>
      </c>
      <c r="L28" s="18">
        <f t="shared" si="6"/>
        <v>18.194444444443153</v>
      </c>
      <c r="M28" s="18">
        <f t="shared" si="6"/>
        <v>18.888888888888367</v>
      </c>
      <c r="N28" s="19">
        <f t="shared" si="6"/>
        <v>12.777777777777322</v>
      </c>
      <c r="O28" s="19">
        <f t="shared" si="6"/>
        <v>13.8888888888902</v>
      </c>
      <c r="P28" s="19">
        <f t="shared" si="6"/>
        <v>14.583333333332428</v>
      </c>
      <c r="Q28" s="20">
        <f t="shared" si="6"/>
        <v>12.083333333334382</v>
      </c>
      <c r="R28" s="20">
        <f t="shared" si="6"/>
        <v>13.194444444445871</v>
      </c>
      <c r="S28" s="20">
        <f t="shared" si="6"/>
        <v>13.8888888888902</v>
      </c>
      <c r="T28" s="21">
        <f t="shared" si="4"/>
        <v>11.388888888890392</v>
      </c>
      <c r="U28" s="21">
        <f t="shared" si="4"/>
        <v>12.5</v>
      </c>
      <c r="V28" s="21">
        <f t="shared" si="4"/>
        <v>13.194444444445871</v>
      </c>
      <c r="W28" s="22">
        <f t="shared" si="4"/>
        <v>10.694444444444656</v>
      </c>
      <c r="X28" s="22">
        <f t="shared" si="4"/>
        <v>11.805555555554228</v>
      </c>
      <c r="Y28" s="22">
        <f t="shared" si="4"/>
        <v>12.5</v>
      </c>
      <c r="Z28" s="23">
        <f t="shared" si="4"/>
        <v>9.9999999999990337</v>
      </c>
      <c r="AA28" s="23">
        <f t="shared" si="4"/>
        <v>11.11111111111061</v>
      </c>
      <c r="AB28" s="23">
        <f t="shared" si="4"/>
        <v>11.805555555554228</v>
      </c>
      <c r="AC28" s="24">
        <f t="shared" si="4"/>
        <v>9.305555555555884</v>
      </c>
      <c r="AD28" s="24">
        <f t="shared" si="4"/>
        <v>10.416666666666575</v>
      </c>
      <c r="AE28" s="24">
        <f t="shared" si="4"/>
        <v>11.11111111111061</v>
      </c>
      <c r="AF28" s="25">
        <f t="shared" si="4"/>
        <v>8.6111111111106382</v>
      </c>
      <c r="AG28" s="25">
        <f t="shared" si="4"/>
        <v>9.7222222222230741</v>
      </c>
      <c r="AH28" s="25">
        <f t="shared" si="4"/>
        <v>10.416666666666575</v>
      </c>
      <c r="AI28" s="26">
        <f t="shared" si="4"/>
        <v>7.916666666666945</v>
      </c>
      <c r="AJ28" s="26">
        <f t="shared" si="5"/>
        <v>9.0277777777769472</v>
      </c>
      <c r="AK28" s="26">
        <f t="shared" si="5"/>
        <v>9.7222222222230741</v>
      </c>
    </row>
    <row r="29" spans="4:37" ht="20.100000000000001" customHeight="1">
      <c r="D29" s="27">
        <f t="shared" si="3"/>
        <v>7.2222222222222202E-2</v>
      </c>
      <c r="E29" s="16">
        <f t="shared" si="6"/>
        <v>20.655555555554677</v>
      </c>
      <c r="F29" s="16">
        <f t="shared" si="6"/>
        <v>21.811111111108275</v>
      </c>
      <c r="G29" s="16">
        <f t="shared" si="6"/>
        <v>22.533333333332195</v>
      </c>
      <c r="H29" s="17">
        <f t="shared" si="6"/>
        <v>19.211111111112395</v>
      </c>
      <c r="I29" s="17">
        <f t="shared" si="6"/>
        <v>20.366666666666308</v>
      </c>
      <c r="J29" s="17">
        <f t="shared" si="6"/>
        <v>21.088888888888881</v>
      </c>
      <c r="K29" s="18">
        <f t="shared" si="6"/>
        <v>17.76666666666581</v>
      </c>
      <c r="L29" s="18">
        <f t="shared" si="6"/>
        <v>18.922222222220931</v>
      </c>
      <c r="M29" s="18">
        <f t="shared" si="6"/>
        <v>19.644444444443923</v>
      </c>
      <c r="N29" s="19">
        <f t="shared" si="6"/>
        <v>13.288888888888433</v>
      </c>
      <c r="O29" s="19">
        <f t="shared" si="6"/>
        <v>14.444444444445756</v>
      </c>
      <c r="P29" s="19">
        <f t="shared" si="6"/>
        <v>15.166666666665762</v>
      </c>
      <c r="Q29" s="20">
        <f t="shared" si="6"/>
        <v>12.566666666667714</v>
      </c>
      <c r="R29" s="20">
        <f t="shared" si="6"/>
        <v>13.72222222222365</v>
      </c>
      <c r="S29" s="20">
        <f t="shared" si="6"/>
        <v>14.444444444445756</v>
      </c>
      <c r="T29" s="21">
        <f t="shared" si="4"/>
        <v>11.844444444445948</v>
      </c>
      <c r="U29" s="21">
        <f t="shared" si="4"/>
        <v>13</v>
      </c>
      <c r="V29" s="21">
        <f t="shared" si="4"/>
        <v>13.72222222222365</v>
      </c>
      <c r="W29" s="22">
        <f t="shared" si="4"/>
        <v>11.122222222222433</v>
      </c>
      <c r="X29" s="22">
        <f t="shared" si="4"/>
        <v>12.27777777777645</v>
      </c>
      <c r="Y29" s="22">
        <f t="shared" si="4"/>
        <v>13</v>
      </c>
      <c r="Z29" s="23">
        <f t="shared" si="4"/>
        <v>10.399999999999034</v>
      </c>
      <c r="AA29" s="23">
        <f t="shared" si="4"/>
        <v>11.555555555555054</v>
      </c>
      <c r="AB29" s="23">
        <f t="shared" si="4"/>
        <v>12.27777777777645</v>
      </c>
      <c r="AC29" s="24">
        <f t="shared" si="4"/>
        <v>9.6777777777781058</v>
      </c>
      <c r="AD29" s="24">
        <f t="shared" si="4"/>
        <v>10.833333333333242</v>
      </c>
      <c r="AE29" s="24">
        <f t="shared" si="4"/>
        <v>11.555555555555054</v>
      </c>
      <c r="AF29" s="25">
        <f t="shared" si="4"/>
        <v>8.9555555555550832</v>
      </c>
      <c r="AG29" s="25">
        <f t="shared" si="4"/>
        <v>10.111111111111963</v>
      </c>
      <c r="AH29" s="25">
        <f t="shared" si="4"/>
        <v>10.833333333333242</v>
      </c>
      <c r="AI29" s="26">
        <f t="shared" si="4"/>
        <v>8.2333333333336114</v>
      </c>
      <c r="AJ29" s="26">
        <f t="shared" si="5"/>
        <v>9.3888888888880579</v>
      </c>
      <c r="AK29" s="26">
        <f t="shared" si="5"/>
        <v>10.111111111111963</v>
      </c>
    </row>
    <row r="30" spans="4:37" ht="20.100000000000001" customHeight="1">
      <c r="D30" s="27">
        <f t="shared" si="3"/>
        <v>7.4999999999999983E-2</v>
      </c>
      <c r="E30" s="16">
        <f t="shared" si="6"/>
        <v>21.449999999999122</v>
      </c>
      <c r="F30" s="16">
        <f t="shared" si="6"/>
        <v>22.649999999997164</v>
      </c>
      <c r="G30" s="16">
        <f t="shared" si="6"/>
        <v>23.399999999998862</v>
      </c>
      <c r="H30" s="17">
        <f t="shared" si="6"/>
        <v>19.950000000001282</v>
      </c>
      <c r="I30" s="17">
        <f t="shared" si="6"/>
        <v>21.149999999999643</v>
      </c>
      <c r="J30" s="17">
        <f t="shared" si="6"/>
        <v>21.899999999999991</v>
      </c>
      <c r="K30" s="18">
        <f t="shared" si="6"/>
        <v>18.449999999999143</v>
      </c>
      <c r="L30" s="18">
        <f t="shared" si="6"/>
        <v>19.649999999998709</v>
      </c>
      <c r="M30" s="18">
        <f t="shared" si="6"/>
        <v>20.39999999999948</v>
      </c>
      <c r="N30" s="19">
        <f t="shared" si="6"/>
        <v>13.799999999999544</v>
      </c>
      <c r="O30" s="19">
        <f t="shared" si="6"/>
        <v>15.000000000001311</v>
      </c>
      <c r="P30" s="19">
        <f t="shared" si="6"/>
        <v>15.749999999999096</v>
      </c>
      <c r="Q30" s="20">
        <f t="shared" si="6"/>
        <v>13.050000000001047</v>
      </c>
      <c r="R30" s="20">
        <f t="shared" si="6"/>
        <v>14.250000000001428</v>
      </c>
      <c r="S30" s="20">
        <f t="shared" si="6"/>
        <v>15.000000000001311</v>
      </c>
      <c r="T30" s="21">
        <f t="shared" si="4"/>
        <v>12.300000000001504</v>
      </c>
      <c r="U30" s="21">
        <f t="shared" si="4"/>
        <v>13.5</v>
      </c>
      <c r="V30" s="21">
        <f t="shared" si="4"/>
        <v>14.250000000001428</v>
      </c>
      <c r="W30" s="22">
        <f t="shared" si="4"/>
        <v>11.55000000000021</v>
      </c>
      <c r="X30" s="22">
        <f t="shared" si="4"/>
        <v>12.749999999998671</v>
      </c>
      <c r="Y30" s="22">
        <f t="shared" si="4"/>
        <v>13.5</v>
      </c>
      <c r="Z30" s="23">
        <f t="shared" si="4"/>
        <v>10.799999999999034</v>
      </c>
      <c r="AA30" s="23">
        <f t="shared" si="4"/>
        <v>11.999999999999499</v>
      </c>
      <c r="AB30" s="23">
        <f t="shared" si="4"/>
        <v>12.749999999998671</v>
      </c>
      <c r="AC30" s="24">
        <f t="shared" si="4"/>
        <v>10.050000000000328</v>
      </c>
      <c r="AD30" s="24">
        <f t="shared" si="4"/>
        <v>11.249999999999908</v>
      </c>
      <c r="AE30" s="24">
        <f t="shared" si="4"/>
        <v>11.999999999999499</v>
      </c>
      <c r="AF30" s="25">
        <f t="shared" si="4"/>
        <v>9.2999999999995282</v>
      </c>
      <c r="AG30" s="25">
        <f t="shared" si="4"/>
        <v>10.500000000000853</v>
      </c>
      <c r="AH30" s="25">
        <f t="shared" si="4"/>
        <v>11.249999999999908</v>
      </c>
      <c r="AI30" s="26">
        <f t="shared" si="4"/>
        <v>8.5500000000002778</v>
      </c>
      <c r="AJ30" s="26">
        <f t="shared" si="5"/>
        <v>9.7499999999991687</v>
      </c>
      <c r="AK30" s="26">
        <f t="shared" si="5"/>
        <v>10.500000000000853</v>
      </c>
    </row>
    <row r="31" spans="4:37" ht="20.100000000000001" customHeight="1">
      <c r="D31" s="27">
        <f t="shared" si="3"/>
        <v>7.7777777777777765E-2</v>
      </c>
      <c r="E31" s="16">
        <f t="shared" si="6"/>
        <v>22.244444444443566</v>
      </c>
      <c r="F31" s="16">
        <f t="shared" si="6"/>
        <v>23.488888888886052</v>
      </c>
      <c r="G31" s="16">
        <f t="shared" si="6"/>
        <v>24.266666666665529</v>
      </c>
      <c r="H31" s="17">
        <f t="shared" si="6"/>
        <v>20.688888888890169</v>
      </c>
      <c r="I31" s="17">
        <f t="shared" si="6"/>
        <v>21.933333333332978</v>
      </c>
      <c r="J31" s="17">
        <f t="shared" si="6"/>
        <v>22.711111111111101</v>
      </c>
      <c r="K31" s="18">
        <f t="shared" si="6"/>
        <v>19.133333333332477</v>
      </c>
      <c r="L31" s="18">
        <f t="shared" si="6"/>
        <v>20.377777777776487</v>
      </c>
      <c r="M31" s="18">
        <f t="shared" si="6"/>
        <v>21.155555555555036</v>
      </c>
      <c r="N31" s="19">
        <f t="shared" si="6"/>
        <v>14.311111111110655</v>
      </c>
      <c r="O31" s="19">
        <f t="shared" si="6"/>
        <v>15.555555555556866</v>
      </c>
      <c r="P31" s="19">
        <f t="shared" si="6"/>
        <v>16.33333333333243</v>
      </c>
      <c r="Q31" s="20">
        <f t="shared" si="6"/>
        <v>13.533333333334379</v>
      </c>
      <c r="R31" s="20">
        <f t="shared" si="6"/>
        <v>14.777777777779207</v>
      </c>
      <c r="S31" s="20">
        <f t="shared" si="6"/>
        <v>15.555555555556866</v>
      </c>
      <c r="T31" s="21">
        <f t="shared" si="4"/>
        <v>12.755555555557059</v>
      </c>
      <c r="U31" s="21">
        <f t="shared" si="4"/>
        <v>14</v>
      </c>
      <c r="V31" s="21">
        <f t="shared" si="4"/>
        <v>14.777777777779207</v>
      </c>
      <c r="W31" s="22">
        <f t="shared" si="4"/>
        <v>11.977777777777987</v>
      </c>
      <c r="X31" s="22">
        <f t="shared" si="4"/>
        <v>13.222222222220893</v>
      </c>
      <c r="Y31" s="22">
        <f t="shared" si="4"/>
        <v>14</v>
      </c>
      <c r="Z31" s="23">
        <f t="shared" si="4"/>
        <v>11.199999999999035</v>
      </c>
      <c r="AA31" s="23">
        <f t="shared" si="4"/>
        <v>12.444444444443944</v>
      </c>
      <c r="AB31" s="23">
        <f t="shared" si="4"/>
        <v>13.222222222220893</v>
      </c>
      <c r="AC31" s="24">
        <f t="shared" si="4"/>
        <v>10.422222222222549</v>
      </c>
      <c r="AD31" s="24">
        <f t="shared" si="4"/>
        <v>11.666666666666574</v>
      </c>
      <c r="AE31" s="24">
        <f t="shared" si="4"/>
        <v>12.444444444443944</v>
      </c>
      <c r="AF31" s="25">
        <f t="shared" si="4"/>
        <v>9.6444444444439732</v>
      </c>
      <c r="AG31" s="25">
        <f t="shared" si="4"/>
        <v>10.888888888889742</v>
      </c>
      <c r="AH31" s="25">
        <f t="shared" si="4"/>
        <v>11.666666666666574</v>
      </c>
      <c r="AI31" s="26">
        <f t="shared" si="4"/>
        <v>8.8666666666669443</v>
      </c>
      <c r="AJ31" s="26">
        <f t="shared" si="5"/>
        <v>10.111111111110279</v>
      </c>
      <c r="AK31" s="26">
        <f t="shared" si="5"/>
        <v>10.888888888889742</v>
      </c>
    </row>
    <row r="32" spans="4:37" ht="20.100000000000001" customHeight="1">
      <c r="D32" s="27">
        <f t="shared" si="3"/>
        <v>8.0555555555555547E-2</v>
      </c>
      <c r="E32" s="16">
        <f t="shared" si="6"/>
        <v>23.03888888888801</v>
      </c>
      <c r="F32" s="16">
        <f t="shared" si="6"/>
        <v>24.327777777774941</v>
      </c>
      <c r="G32" s="16">
        <f t="shared" si="6"/>
        <v>25.133333333332196</v>
      </c>
      <c r="H32" s="17">
        <f t="shared" si="6"/>
        <v>21.427777777779056</v>
      </c>
      <c r="I32" s="17">
        <f t="shared" si="6"/>
        <v>22.716666666666313</v>
      </c>
      <c r="J32" s="17">
        <f t="shared" si="6"/>
        <v>23.522222222222211</v>
      </c>
      <c r="K32" s="18">
        <f t="shared" si="6"/>
        <v>19.81666666666581</v>
      </c>
      <c r="L32" s="18">
        <f t="shared" si="6"/>
        <v>21.105555555554265</v>
      </c>
      <c r="M32" s="18">
        <f t="shared" si="6"/>
        <v>21.911111111110593</v>
      </c>
      <c r="N32" s="19">
        <f t="shared" si="6"/>
        <v>14.822222222221766</v>
      </c>
      <c r="O32" s="19">
        <f t="shared" si="6"/>
        <v>16.111111111112422</v>
      </c>
      <c r="P32" s="19">
        <f t="shared" si="6"/>
        <v>16.916666666665762</v>
      </c>
      <c r="Q32" s="20">
        <f t="shared" si="6"/>
        <v>14.016666666667712</v>
      </c>
      <c r="R32" s="20">
        <f t="shared" si="6"/>
        <v>15.305555555556985</v>
      </c>
      <c r="S32" s="20">
        <f t="shared" si="6"/>
        <v>16.111111111112422</v>
      </c>
      <c r="T32" s="21">
        <f t="shared" si="4"/>
        <v>13.211111111112615</v>
      </c>
      <c r="U32" s="21">
        <f t="shared" si="4"/>
        <v>14.5</v>
      </c>
      <c r="V32" s="21">
        <f t="shared" si="4"/>
        <v>15.305555555556985</v>
      </c>
      <c r="W32" s="22">
        <f t="shared" si="4"/>
        <v>12.405555555555765</v>
      </c>
      <c r="X32" s="22">
        <f t="shared" si="4"/>
        <v>13.694444444443114</v>
      </c>
      <c r="Y32" s="22">
        <f t="shared" si="4"/>
        <v>14.5</v>
      </c>
      <c r="Z32" s="23">
        <f t="shared" si="4"/>
        <v>11.599999999999035</v>
      </c>
      <c r="AA32" s="23">
        <f t="shared" si="4"/>
        <v>12.888888888888388</v>
      </c>
      <c r="AB32" s="23">
        <f t="shared" si="4"/>
        <v>13.694444444443114</v>
      </c>
      <c r="AC32" s="24">
        <f t="shared" si="4"/>
        <v>10.794444444444771</v>
      </c>
      <c r="AD32" s="24">
        <f t="shared" si="4"/>
        <v>12.08333333333324</v>
      </c>
      <c r="AE32" s="24">
        <f t="shared" si="4"/>
        <v>12.888888888888388</v>
      </c>
      <c r="AF32" s="25">
        <f t="shared" si="4"/>
        <v>9.9888888888884182</v>
      </c>
      <c r="AG32" s="25">
        <f t="shared" si="4"/>
        <v>11.277777777778631</v>
      </c>
      <c r="AH32" s="25">
        <f t="shared" si="4"/>
        <v>12.08333333333324</v>
      </c>
      <c r="AI32" s="26">
        <f t="shared" si="4"/>
        <v>9.1833333333336107</v>
      </c>
      <c r="AJ32" s="26">
        <f t="shared" si="5"/>
        <v>10.47222222222139</v>
      </c>
      <c r="AK32" s="26">
        <f t="shared" si="5"/>
        <v>11.277777777778631</v>
      </c>
    </row>
    <row r="33" spans="4:37" ht="20.100000000000001" customHeight="1">
      <c r="D33" s="27">
        <f t="shared" si="3"/>
        <v>8.3333333333333329E-2</v>
      </c>
      <c r="E33" s="16">
        <f t="shared" si="6"/>
        <v>23.833333333332455</v>
      </c>
      <c r="F33" s="16">
        <f t="shared" si="6"/>
        <v>25.166666666663829</v>
      </c>
      <c r="G33" s="16">
        <f t="shared" si="6"/>
        <v>25.999999999998863</v>
      </c>
      <c r="H33" s="17">
        <f t="shared" si="6"/>
        <v>22.166666666667943</v>
      </c>
      <c r="I33" s="17">
        <f t="shared" si="6"/>
        <v>23.499999999999648</v>
      </c>
      <c r="J33" s="17">
        <f t="shared" si="6"/>
        <v>24.333333333333321</v>
      </c>
      <c r="K33" s="18">
        <f t="shared" si="6"/>
        <v>20.499999999999144</v>
      </c>
      <c r="L33" s="18">
        <f t="shared" si="6"/>
        <v>21.833333333332043</v>
      </c>
      <c r="M33" s="18">
        <f t="shared" si="6"/>
        <v>22.666666666666149</v>
      </c>
      <c r="N33" s="19">
        <f t="shared" si="6"/>
        <v>15.333333333332877</v>
      </c>
      <c r="O33" s="19">
        <f t="shared" si="6"/>
        <v>16.666666666667979</v>
      </c>
      <c r="P33" s="19">
        <f t="shared" si="6"/>
        <v>17.499999999999094</v>
      </c>
      <c r="Q33" s="20">
        <f t="shared" si="6"/>
        <v>14.500000000001044</v>
      </c>
      <c r="R33" s="20">
        <f t="shared" si="6"/>
        <v>15.833333333334764</v>
      </c>
      <c r="S33" s="20">
        <f t="shared" si="6"/>
        <v>16.666666666667979</v>
      </c>
      <c r="T33" s="21">
        <f t="shared" si="4"/>
        <v>13.666666666668171</v>
      </c>
      <c r="U33" s="21">
        <f t="shared" si="4"/>
        <v>15</v>
      </c>
      <c r="V33" s="21">
        <f t="shared" si="4"/>
        <v>15.833333333334764</v>
      </c>
      <c r="W33" s="22">
        <f t="shared" si="4"/>
        <v>12.833333333333542</v>
      </c>
      <c r="X33" s="22">
        <f t="shared" si="4"/>
        <v>14.166666666665336</v>
      </c>
      <c r="Y33" s="22">
        <f t="shared" si="4"/>
        <v>15</v>
      </c>
      <c r="Z33" s="23">
        <f t="shared" si="4"/>
        <v>11.999999999999035</v>
      </c>
      <c r="AA33" s="23">
        <f t="shared" si="4"/>
        <v>13.333333333332833</v>
      </c>
      <c r="AB33" s="23">
        <f t="shared" si="4"/>
        <v>14.166666666665336</v>
      </c>
      <c r="AC33" s="24">
        <f t="shared" si="4"/>
        <v>11.166666666666993</v>
      </c>
      <c r="AD33" s="24">
        <f t="shared" si="4"/>
        <v>12.499999999999906</v>
      </c>
      <c r="AE33" s="24">
        <f t="shared" si="4"/>
        <v>13.333333333332833</v>
      </c>
      <c r="AF33" s="25">
        <f t="shared" si="4"/>
        <v>10.333333333332863</v>
      </c>
      <c r="AG33" s="25">
        <f t="shared" si="4"/>
        <v>11.666666666667521</v>
      </c>
      <c r="AH33" s="25">
        <f t="shared" si="4"/>
        <v>12.499999999999906</v>
      </c>
      <c r="AI33" s="26">
        <f t="shared" si="4"/>
        <v>9.5000000000002771</v>
      </c>
      <c r="AJ33" s="26">
        <f t="shared" si="5"/>
        <v>10.833333333332501</v>
      </c>
      <c r="AK33" s="26">
        <f t="shared" si="5"/>
        <v>11.666666666667521</v>
      </c>
    </row>
    <row r="34" spans="4:37" ht="20.100000000000001" customHeight="1">
      <c r="D34" s="27">
        <f t="shared" si="3"/>
        <v>8.611111111111111E-2</v>
      </c>
      <c r="E34" s="16">
        <f t="shared" si="6"/>
        <v>24.627777777776899</v>
      </c>
      <c r="F34" s="16">
        <f t="shared" si="6"/>
        <v>26.005555555552718</v>
      </c>
      <c r="G34" s="16">
        <f t="shared" si="6"/>
        <v>26.86666666666553</v>
      </c>
      <c r="H34" s="17">
        <f t="shared" si="6"/>
        <v>22.90555555555683</v>
      </c>
      <c r="I34" s="17">
        <f t="shared" si="6"/>
        <v>24.283333333332983</v>
      </c>
      <c r="J34" s="17">
        <f t="shared" si="6"/>
        <v>25.144444444444431</v>
      </c>
      <c r="K34" s="18">
        <f t="shared" si="6"/>
        <v>21.183333333332477</v>
      </c>
      <c r="L34" s="18">
        <f t="shared" si="6"/>
        <v>22.56111111110982</v>
      </c>
      <c r="M34" s="18">
        <f t="shared" si="6"/>
        <v>23.422222222221706</v>
      </c>
      <c r="N34" s="19">
        <f t="shared" si="6"/>
        <v>15.844444444443988</v>
      </c>
      <c r="O34" s="19">
        <f t="shared" si="6"/>
        <v>17.222222222223536</v>
      </c>
      <c r="P34" s="19">
        <f t="shared" si="6"/>
        <v>18.083333333332426</v>
      </c>
      <c r="Q34" s="20">
        <f t="shared" si="6"/>
        <v>14.983333333334377</v>
      </c>
      <c r="R34" s="20">
        <f t="shared" si="6"/>
        <v>16.361111111112542</v>
      </c>
      <c r="S34" s="20">
        <f t="shared" si="6"/>
        <v>17.222222222223536</v>
      </c>
      <c r="T34" s="21">
        <f t="shared" si="4"/>
        <v>14.122222222223726</v>
      </c>
      <c r="U34" s="21">
        <f t="shared" si="4"/>
        <v>15.5</v>
      </c>
      <c r="V34" s="21">
        <f t="shared" si="4"/>
        <v>16.361111111112542</v>
      </c>
      <c r="W34" s="22">
        <f t="shared" si="4"/>
        <v>13.261111111111319</v>
      </c>
      <c r="X34" s="22">
        <f t="shared" si="4"/>
        <v>14.638888888887557</v>
      </c>
      <c r="Y34" s="22">
        <f t="shared" si="4"/>
        <v>15.5</v>
      </c>
      <c r="Z34" s="23">
        <f t="shared" si="4"/>
        <v>12.399999999999036</v>
      </c>
      <c r="AA34" s="23">
        <f t="shared" si="4"/>
        <v>13.777777777777278</v>
      </c>
      <c r="AB34" s="23">
        <f t="shared" si="4"/>
        <v>14.638888888887557</v>
      </c>
      <c r="AC34" s="24">
        <f t="shared" si="4"/>
        <v>11.538888888889215</v>
      </c>
      <c r="AD34" s="24">
        <f t="shared" si="4"/>
        <v>12.916666666666572</v>
      </c>
      <c r="AE34" s="24">
        <f t="shared" si="4"/>
        <v>13.777777777777278</v>
      </c>
      <c r="AF34" s="25">
        <f t="shared" si="4"/>
        <v>10.677777777777308</v>
      </c>
      <c r="AG34" s="25">
        <f t="shared" si="4"/>
        <v>12.05555555555641</v>
      </c>
      <c r="AH34" s="25">
        <f t="shared" ref="AE34:AK70" si="7">AH35-(AH$363/360)</f>
        <v>12.916666666666572</v>
      </c>
      <c r="AI34" s="26">
        <f t="shared" si="7"/>
        <v>9.8166666666669435</v>
      </c>
      <c r="AJ34" s="26">
        <f t="shared" si="7"/>
        <v>11.194444444443612</v>
      </c>
      <c r="AK34" s="26">
        <f t="shared" si="7"/>
        <v>12.05555555555641</v>
      </c>
    </row>
    <row r="35" spans="4:37" ht="20.100000000000001" customHeight="1">
      <c r="D35" s="27">
        <f t="shared" si="3"/>
        <v>8.8888888888888892E-2</v>
      </c>
      <c r="E35" s="16">
        <f t="shared" si="6"/>
        <v>25.422222222221343</v>
      </c>
      <c r="F35" s="16">
        <f t="shared" si="6"/>
        <v>26.844444444441606</v>
      </c>
      <c r="G35" s="16">
        <f t="shared" si="6"/>
        <v>27.733333333332197</v>
      </c>
      <c r="H35" s="17">
        <f t="shared" si="6"/>
        <v>23.644444444445718</v>
      </c>
      <c r="I35" s="17">
        <f t="shared" si="6"/>
        <v>25.066666666666318</v>
      </c>
      <c r="J35" s="17">
        <f t="shared" si="6"/>
        <v>25.955555555555542</v>
      </c>
      <c r="K35" s="18">
        <f t="shared" si="6"/>
        <v>21.866666666665811</v>
      </c>
      <c r="L35" s="18">
        <f t="shared" si="6"/>
        <v>23.288888888887598</v>
      </c>
      <c r="M35" s="18">
        <f t="shared" si="6"/>
        <v>24.177777777777262</v>
      </c>
      <c r="N35" s="19">
        <f t="shared" si="6"/>
        <v>16.3555555555551</v>
      </c>
      <c r="O35" s="19">
        <f t="shared" si="6"/>
        <v>17.777777777779093</v>
      </c>
      <c r="P35" s="19">
        <f t="shared" si="6"/>
        <v>18.666666666665758</v>
      </c>
      <c r="Q35" s="20">
        <f t="shared" si="6"/>
        <v>15.46666666666771</v>
      </c>
      <c r="R35" s="20">
        <f t="shared" si="6"/>
        <v>16.888888888890321</v>
      </c>
      <c r="S35" s="20">
        <f t="shared" si="6"/>
        <v>17.777777777779093</v>
      </c>
      <c r="T35" s="21">
        <f t="shared" ref="T35:AG55" si="8">T36-(T$363/360)</f>
        <v>14.577777777779282</v>
      </c>
      <c r="U35" s="21">
        <f t="shared" si="8"/>
        <v>16</v>
      </c>
      <c r="V35" s="21">
        <f t="shared" si="8"/>
        <v>16.888888888890321</v>
      </c>
      <c r="W35" s="22">
        <f t="shared" si="8"/>
        <v>13.688888888889096</v>
      </c>
      <c r="X35" s="22">
        <f t="shared" si="8"/>
        <v>15.111111111109778</v>
      </c>
      <c r="Y35" s="22">
        <f t="shared" si="8"/>
        <v>16</v>
      </c>
      <c r="Z35" s="23">
        <f t="shared" si="8"/>
        <v>12.799999999999036</v>
      </c>
      <c r="AA35" s="23">
        <f t="shared" si="8"/>
        <v>14.222222222221722</v>
      </c>
      <c r="AB35" s="23">
        <f t="shared" si="8"/>
        <v>15.111111111109778</v>
      </c>
      <c r="AC35" s="24">
        <f t="shared" si="8"/>
        <v>11.911111111111437</v>
      </c>
      <c r="AD35" s="24">
        <f t="shared" si="8"/>
        <v>13.333333333333238</v>
      </c>
      <c r="AE35" s="24">
        <f t="shared" si="7"/>
        <v>14.222222222221722</v>
      </c>
      <c r="AF35" s="25">
        <f t="shared" si="7"/>
        <v>11.022222222221753</v>
      </c>
      <c r="AG35" s="25">
        <f t="shared" si="7"/>
        <v>12.444444444445299</v>
      </c>
      <c r="AH35" s="25">
        <f t="shared" si="7"/>
        <v>13.333333333333238</v>
      </c>
      <c r="AI35" s="26">
        <f t="shared" si="7"/>
        <v>10.13333333333361</v>
      </c>
      <c r="AJ35" s="26">
        <f t="shared" si="7"/>
        <v>11.555555555554722</v>
      </c>
      <c r="AK35" s="26">
        <f t="shared" si="7"/>
        <v>12.444444444445299</v>
      </c>
    </row>
    <row r="36" spans="4:37" ht="20.100000000000001" customHeight="1">
      <c r="D36" s="27">
        <f t="shared" si="3"/>
        <v>9.1666666666666674E-2</v>
      </c>
      <c r="E36" s="16">
        <f t="shared" ref="E36:T52" si="9">E37-(E$363/360)</f>
        <v>26.216666666665787</v>
      </c>
      <c r="F36" s="16">
        <f t="shared" si="9"/>
        <v>27.683333333330495</v>
      </c>
      <c r="G36" s="16">
        <f t="shared" si="9"/>
        <v>28.599999999998865</v>
      </c>
      <c r="H36" s="17">
        <f t="shared" si="9"/>
        <v>24.383333333334605</v>
      </c>
      <c r="I36" s="17">
        <f t="shared" si="9"/>
        <v>25.849999999999653</v>
      </c>
      <c r="J36" s="17">
        <f t="shared" si="9"/>
        <v>26.766666666666652</v>
      </c>
      <c r="K36" s="18">
        <f t="shared" si="9"/>
        <v>22.549999999999145</v>
      </c>
      <c r="L36" s="18">
        <f t="shared" si="9"/>
        <v>24.016666666665376</v>
      </c>
      <c r="M36" s="18">
        <f t="shared" si="9"/>
        <v>24.933333333332818</v>
      </c>
      <c r="N36" s="19">
        <f t="shared" si="9"/>
        <v>16.866666666666212</v>
      </c>
      <c r="O36" s="19">
        <f t="shared" si="9"/>
        <v>18.33333333333465</v>
      </c>
      <c r="P36" s="19">
        <f t="shared" si="9"/>
        <v>19.249999999999091</v>
      </c>
      <c r="Q36" s="20">
        <f t="shared" si="9"/>
        <v>15.950000000001042</v>
      </c>
      <c r="R36" s="20">
        <f t="shared" si="9"/>
        <v>17.4166666666681</v>
      </c>
      <c r="S36" s="20">
        <f t="shared" si="9"/>
        <v>18.33333333333465</v>
      </c>
      <c r="T36" s="21">
        <f t="shared" si="8"/>
        <v>15.033333333334838</v>
      </c>
      <c r="U36" s="21">
        <f t="shared" si="8"/>
        <v>16.5</v>
      </c>
      <c r="V36" s="21">
        <f t="shared" si="8"/>
        <v>17.4166666666681</v>
      </c>
      <c r="W36" s="22">
        <f t="shared" si="8"/>
        <v>14.116666666666873</v>
      </c>
      <c r="X36" s="22">
        <f t="shared" si="8"/>
        <v>15.583333333332</v>
      </c>
      <c r="Y36" s="22">
        <f t="shared" si="8"/>
        <v>16.5</v>
      </c>
      <c r="Z36" s="23">
        <f t="shared" si="8"/>
        <v>13.199999999999037</v>
      </c>
      <c r="AA36" s="23">
        <f t="shared" si="8"/>
        <v>14.666666666666167</v>
      </c>
      <c r="AB36" s="23">
        <f t="shared" si="8"/>
        <v>15.583333333332</v>
      </c>
      <c r="AC36" s="24">
        <f t="shared" si="8"/>
        <v>12.283333333333658</v>
      </c>
      <c r="AD36" s="24">
        <f t="shared" si="8"/>
        <v>13.749999999999904</v>
      </c>
      <c r="AE36" s="24">
        <f t="shared" si="7"/>
        <v>14.666666666666167</v>
      </c>
      <c r="AF36" s="25">
        <f t="shared" si="7"/>
        <v>11.366666666666198</v>
      </c>
      <c r="AG36" s="25">
        <f t="shared" si="7"/>
        <v>12.833333333334188</v>
      </c>
      <c r="AH36" s="25">
        <f t="shared" si="7"/>
        <v>13.749999999999904</v>
      </c>
      <c r="AI36" s="26">
        <f t="shared" si="7"/>
        <v>10.450000000000276</v>
      </c>
      <c r="AJ36" s="26">
        <f t="shared" si="7"/>
        <v>11.916666666665833</v>
      </c>
      <c r="AK36" s="26">
        <f t="shared" si="7"/>
        <v>12.833333333334188</v>
      </c>
    </row>
    <row r="37" spans="4:37" ht="20.100000000000001" customHeight="1">
      <c r="D37" s="27">
        <f t="shared" si="3"/>
        <v>9.4444444444444456E-2</v>
      </c>
      <c r="E37" s="16">
        <f t="shared" si="9"/>
        <v>27.011111111110232</v>
      </c>
      <c r="F37" s="16">
        <f t="shared" si="9"/>
        <v>28.522222222219384</v>
      </c>
      <c r="G37" s="16">
        <f t="shared" si="9"/>
        <v>29.466666666665532</v>
      </c>
      <c r="H37" s="17">
        <f t="shared" si="9"/>
        <v>25.122222222223492</v>
      </c>
      <c r="I37" s="17">
        <f t="shared" si="9"/>
        <v>26.633333333332988</v>
      </c>
      <c r="J37" s="17">
        <f t="shared" si="9"/>
        <v>27.577777777777762</v>
      </c>
      <c r="K37" s="18">
        <f t="shared" si="9"/>
        <v>23.233333333332478</v>
      </c>
      <c r="L37" s="18">
        <f t="shared" si="9"/>
        <v>24.744444444443154</v>
      </c>
      <c r="M37" s="18">
        <f t="shared" si="9"/>
        <v>25.688888888888375</v>
      </c>
      <c r="N37" s="19">
        <f t="shared" si="9"/>
        <v>17.377777777777325</v>
      </c>
      <c r="O37" s="19">
        <f t="shared" si="9"/>
        <v>18.888888888890207</v>
      </c>
      <c r="P37" s="19">
        <f t="shared" si="9"/>
        <v>19.833333333332423</v>
      </c>
      <c r="Q37" s="20">
        <f t="shared" si="9"/>
        <v>16.433333333334375</v>
      </c>
      <c r="R37" s="20">
        <f t="shared" si="9"/>
        <v>17.944444444445878</v>
      </c>
      <c r="S37" s="20">
        <f t="shared" si="9"/>
        <v>18.888888888890207</v>
      </c>
      <c r="T37" s="21">
        <f t="shared" si="8"/>
        <v>15.488888888890394</v>
      </c>
      <c r="U37" s="21">
        <f t="shared" si="8"/>
        <v>17</v>
      </c>
      <c r="V37" s="21">
        <f t="shared" si="8"/>
        <v>17.944444444445878</v>
      </c>
      <c r="W37" s="22">
        <f t="shared" si="8"/>
        <v>14.54444444444465</v>
      </c>
      <c r="X37" s="22">
        <f t="shared" si="8"/>
        <v>16.055555555554221</v>
      </c>
      <c r="Y37" s="22">
        <f t="shared" si="8"/>
        <v>17</v>
      </c>
      <c r="Z37" s="23">
        <f t="shared" si="8"/>
        <v>13.599999999999037</v>
      </c>
      <c r="AA37" s="23">
        <f t="shared" si="8"/>
        <v>15.111111111110612</v>
      </c>
      <c r="AB37" s="23">
        <f t="shared" si="8"/>
        <v>16.055555555554221</v>
      </c>
      <c r="AC37" s="24">
        <f t="shared" si="8"/>
        <v>12.65555555555588</v>
      </c>
      <c r="AD37" s="24">
        <f t="shared" si="8"/>
        <v>14.16666666666657</v>
      </c>
      <c r="AE37" s="24">
        <f t="shared" si="7"/>
        <v>15.111111111110612</v>
      </c>
      <c r="AF37" s="25">
        <f t="shared" si="7"/>
        <v>11.711111111110643</v>
      </c>
      <c r="AG37" s="25">
        <f t="shared" si="7"/>
        <v>13.222222222223078</v>
      </c>
      <c r="AH37" s="25">
        <f t="shared" si="7"/>
        <v>14.16666666666657</v>
      </c>
      <c r="AI37" s="26">
        <f t="shared" si="7"/>
        <v>10.766666666666943</v>
      </c>
      <c r="AJ37" s="26">
        <f t="shared" si="7"/>
        <v>12.277777777776944</v>
      </c>
      <c r="AK37" s="26">
        <f t="shared" si="7"/>
        <v>13.222222222223078</v>
      </c>
    </row>
    <row r="38" spans="4:37" ht="20.100000000000001" customHeight="1">
      <c r="D38" s="27">
        <f t="shared" si="3"/>
        <v>9.7222222222222238E-2</v>
      </c>
      <c r="E38" s="16">
        <f t="shared" si="9"/>
        <v>27.805555555554676</v>
      </c>
      <c r="F38" s="16">
        <f t="shared" si="9"/>
        <v>29.361111111108272</v>
      </c>
      <c r="G38" s="16">
        <f t="shared" si="9"/>
        <v>30.333333333332199</v>
      </c>
      <c r="H38" s="17">
        <f t="shared" si="9"/>
        <v>25.861111111112379</v>
      </c>
      <c r="I38" s="17">
        <f t="shared" si="9"/>
        <v>27.416666666666323</v>
      </c>
      <c r="J38" s="17">
        <f t="shared" si="9"/>
        <v>28.388888888888872</v>
      </c>
      <c r="K38" s="18">
        <f t="shared" si="9"/>
        <v>23.916666666665812</v>
      </c>
      <c r="L38" s="18">
        <f t="shared" si="9"/>
        <v>25.472222222220932</v>
      </c>
      <c r="M38" s="18">
        <f t="shared" si="9"/>
        <v>26.444444444443931</v>
      </c>
      <c r="N38" s="19">
        <f t="shared" si="9"/>
        <v>17.888888888888438</v>
      </c>
      <c r="O38" s="19">
        <f t="shared" si="9"/>
        <v>19.444444444445764</v>
      </c>
      <c r="P38" s="19">
        <f t="shared" si="9"/>
        <v>20.416666666665755</v>
      </c>
      <c r="Q38" s="20">
        <f t="shared" si="9"/>
        <v>16.916666666667709</v>
      </c>
      <c r="R38" s="20">
        <f t="shared" si="9"/>
        <v>18.472222222223657</v>
      </c>
      <c r="S38" s="20">
        <f t="shared" si="9"/>
        <v>19.444444444445764</v>
      </c>
      <c r="T38" s="21">
        <f t="shared" si="8"/>
        <v>15.944444444445949</v>
      </c>
      <c r="U38" s="21">
        <f t="shared" si="8"/>
        <v>17.5</v>
      </c>
      <c r="V38" s="21">
        <f t="shared" si="8"/>
        <v>18.472222222223657</v>
      </c>
      <c r="W38" s="22">
        <f t="shared" si="8"/>
        <v>14.972222222222427</v>
      </c>
      <c r="X38" s="22">
        <f t="shared" si="8"/>
        <v>16.527777777776443</v>
      </c>
      <c r="Y38" s="22">
        <f t="shared" si="8"/>
        <v>17.5</v>
      </c>
      <c r="Z38" s="23">
        <f t="shared" si="8"/>
        <v>13.999999999999037</v>
      </c>
      <c r="AA38" s="23">
        <f t="shared" si="8"/>
        <v>15.555555555555056</v>
      </c>
      <c r="AB38" s="23">
        <f t="shared" si="8"/>
        <v>16.527777777776443</v>
      </c>
      <c r="AC38" s="24">
        <f t="shared" si="8"/>
        <v>13.027777777778102</v>
      </c>
      <c r="AD38" s="24">
        <f t="shared" si="8"/>
        <v>14.583333333333236</v>
      </c>
      <c r="AE38" s="24">
        <f t="shared" si="7"/>
        <v>15.555555555555056</v>
      </c>
      <c r="AF38" s="25">
        <f t="shared" si="7"/>
        <v>12.055555555555088</v>
      </c>
      <c r="AG38" s="25">
        <f t="shared" si="7"/>
        <v>13.611111111111967</v>
      </c>
      <c r="AH38" s="25">
        <f t="shared" si="7"/>
        <v>14.583333333333236</v>
      </c>
      <c r="AI38" s="26">
        <f t="shared" si="7"/>
        <v>11.083333333333609</v>
      </c>
      <c r="AJ38" s="26">
        <f t="shared" si="7"/>
        <v>12.638888888888054</v>
      </c>
      <c r="AK38" s="26">
        <f t="shared" si="7"/>
        <v>13.611111111111967</v>
      </c>
    </row>
    <row r="39" spans="4:37" ht="20.100000000000001" customHeight="1">
      <c r="D39" s="27">
        <f t="shared" si="3"/>
        <v>0.10000000000000002</v>
      </c>
      <c r="E39" s="16">
        <f t="shared" si="9"/>
        <v>28.59999999999912</v>
      </c>
      <c r="F39" s="16">
        <f t="shared" si="9"/>
        <v>30.199999999997161</v>
      </c>
      <c r="G39" s="16">
        <f t="shared" si="9"/>
        <v>31.199999999998866</v>
      </c>
      <c r="H39" s="17">
        <f t="shared" si="9"/>
        <v>26.600000000001266</v>
      </c>
      <c r="I39" s="17">
        <f t="shared" si="9"/>
        <v>28.199999999999658</v>
      </c>
      <c r="J39" s="17">
        <f t="shared" si="9"/>
        <v>29.199999999999982</v>
      </c>
      <c r="K39" s="18">
        <f t="shared" si="9"/>
        <v>24.599999999999145</v>
      </c>
      <c r="L39" s="18">
        <f t="shared" si="9"/>
        <v>26.19999999999871</v>
      </c>
      <c r="M39" s="18">
        <f t="shared" si="9"/>
        <v>27.199999999999488</v>
      </c>
      <c r="N39" s="19">
        <f t="shared" si="9"/>
        <v>18.399999999999551</v>
      </c>
      <c r="O39" s="19">
        <f t="shared" si="9"/>
        <v>20.000000000001322</v>
      </c>
      <c r="P39" s="19">
        <f t="shared" si="9"/>
        <v>20.999999999999087</v>
      </c>
      <c r="Q39" s="20">
        <f t="shared" si="9"/>
        <v>17.400000000001043</v>
      </c>
      <c r="R39" s="20">
        <f t="shared" si="9"/>
        <v>19.000000000001435</v>
      </c>
      <c r="S39" s="20">
        <f t="shared" si="9"/>
        <v>20.000000000001322</v>
      </c>
      <c r="T39" s="21">
        <f t="shared" si="8"/>
        <v>16.400000000001505</v>
      </c>
      <c r="U39" s="21">
        <f t="shared" si="8"/>
        <v>18</v>
      </c>
      <c r="V39" s="21">
        <f t="shared" si="8"/>
        <v>19.000000000001435</v>
      </c>
      <c r="W39" s="22">
        <f t="shared" si="8"/>
        <v>15.400000000000205</v>
      </c>
      <c r="X39" s="22">
        <f t="shared" si="8"/>
        <v>16.999999999998664</v>
      </c>
      <c r="Y39" s="22">
        <f t="shared" si="8"/>
        <v>18</v>
      </c>
      <c r="Z39" s="23">
        <f t="shared" si="8"/>
        <v>14.399999999999038</v>
      </c>
      <c r="AA39" s="23">
        <f t="shared" si="8"/>
        <v>15.999999999999501</v>
      </c>
      <c r="AB39" s="23">
        <f t="shared" si="8"/>
        <v>16.999999999998664</v>
      </c>
      <c r="AC39" s="24">
        <f t="shared" si="8"/>
        <v>13.400000000000324</v>
      </c>
      <c r="AD39" s="24">
        <f t="shared" si="8"/>
        <v>14.999999999999902</v>
      </c>
      <c r="AE39" s="24">
        <f t="shared" si="7"/>
        <v>15.999999999999501</v>
      </c>
      <c r="AF39" s="25">
        <f t="shared" si="7"/>
        <v>12.399999999999533</v>
      </c>
      <c r="AG39" s="25">
        <f t="shared" si="7"/>
        <v>14.000000000000856</v>
      </c>
      <c r="AH39" s="25">
        <f t="shared" si="7"/>
        <v>14.999999999999902</v>
      </c>
      <c r="AI39" s="26">
        <f t="shared" si="7"/>
        <v>11.400000000000276</v>
      </c>
      <c r="AJ39" s="26">
        <f t="shared" si="7"/>
        <v>12.999999999999165</v>
      </c>
      <c r="AK39" s="26">
        <f t="shared" si="7"/>
        <v>14.000000000000856</v>
      </c>
    </row>
    <row r="40" spans="4:37" ht="20.100000000000001" customHeight="1">
      <c r="D40" s="27">
        <f t="shared" si="3"/>
        <v>0.1027777777777778</v>
      </c>
      <c r="E40" s="16">
        <f t="shared" si="9"/>
        <v>29.394444444443565</v>
      </c>
      <c r="F40" s="16">
        <f t="shared" si="9"/>
        <v>31.038888888886049</v>
      </c>
      <c r="G40" s="16">
        <f t="shared" si="9"/>
        <v>32.066666666665533</v>
      </c>
      <c r="H40" s="17">
        <f t="shared" si="9"/>
        <v>27.338888888890153</v>
      </c>
      <c r="I40" s="17">
        <f t="shared" si="9"/>
        <v>28.983333333332993</v>
      </c>
      <c r="J40" s="17">
        <f t="shared" si="9"/>
        <v>30.011111111111092</v>
      </c>
      <c r="K40" s="18">
        <f t="shared" si="9"/>
        <v>25.283333333332479</v>
      </c>
      <c r="L40" s="18">
        <f t="shared" si="9"/>
        <v>26.927777777776488</v>
      </c>
      <c r="M40" s="18">
        <f t="shared" si="9"/>
        <v>27.955555555555044</v>
      </c>
      <c r="N40" s="19">
        <f t="shared" si="9"/>
        <v>18.911111111110664</v>
      </c>
      <c r="O40" s="19">
        <f t="shared" si="9"/>
        <v>20.555555555556879</v>
      </c>
      <c r="P40" s="19">
        <f t="shared" si="9"/>
        <v>21.583333333332419</v>
      </c>
      <c r="Q40" s="20">
        <f t="shared" si="9"/>
        <v>17.883333333334377</v>
      </c>
      <c r="R40" s="20">
        <f t="shared" si="9"/>
        <v>19.527777777779214</v>
      </c>
      <c r="S40" s="20">
        <f t="shared" si="9"/>
        <v>20.555555555556879</v>
      </c>
      <c r="T40" s="21">
        <f t="shared" si="8"/>
        <v>16.855555555557061</v>
      </c>
      <c r="U40" s="21">
        <f t="shared" si="8"/>
        <v>18.5</v>
      </c>
      <c r="V40" s="21">
        <f t="shared" si="8"/>
        <v>19.527777777779214</v>
      </c>
      <c r="W40" s="22">
        <f t="shared" si="8"/>
        <v>15.827777777777982</v>
      </c>
      <c r="X40" s="22">
        <f t="shared" si="8"/>
        <v>17.472222222220886</v>
      </c>
      <c r="Y40" s="22">
        <f t="shared" si="8"/>
        <v>18.5</v>
      </c>
      <c r="Z40" s="23">
        <f t="shared" si="8"/>
        <v>14.799999999999038</v>
      </c>
      <c r="AA40" s="23">
        <f t="shared" si="8"/>
        <v>16.444444444443945</v>
      </c>
      <c r="AB40" s="23">
        <f t="shared" si="8"/>
        <v>17.472222222220886</v>
      </c>
      <c r="AC40" s="24">
        <f t="shared" si="8"/>
        <v>13.772222222222545</v>
      </c>
      <c r="AD40" s="24">
        <f t="shared" si="8"/>
        <v>15.416666666666568</v>
      </c>
      <c r="AE40" s="24">
        <f>AE41-(AE$363/360)</f>
        <v>16.444444444443945</v>
      </c>
      <c r="AF40" s="25">
        <f>AF41-(AF$363/360)</f>
        <v>12.744444444443978</v>
      </c>
      <c r="AG40" s="25">
        <f>AG41-(AG$363/360)</f>
        <v>14.388888888889745</v>
      </c>
      <c r="AH40" s="25">
        <f>AH41-(AH$363/360)</f>
        <v>15.416666666666568</v>
      </c>
      <c r="AI40" s="26">
        <f>AI41-(AI$363/360)</f>
        <v>11.716666666666942</v>
      </c>
      <c r="AJ40" s="26">
        <f t="shared" si="7"/>
        <v>13.361111111110276</v>
      </c>
      <c r="AK40" s="26">
        <f t="shared" si="7"/>
        <v>14.388888888889745</v>
      </c>
    </row>
    <row r="41" spans="4:37" ht="20.100000000000001" customHeight="1">
      <c r="D41" s="27">
        <f t="shared" si="3"/>
        <v>0.10555555555555558</v>
      </c>
      <c r="E41" s="16">
        <f t="shared" si="9"/>
        <v>30.188888888888009</v>
      </c>
      <c r="F41" s="16">
        <f t="shared" si="9"/>
        <v>31.877777777774938</v>
      </c>
      <c r="G41" s="16">
        <f t="shared" si="9"/>
        <v>32.9333333333322</v>
      </c>
      <c r="H41" s="17">
        <f t="shared" si="9"/>
        <v>28.07777777777904</v>
      </c>
      <c r="I41" s="17">
        <f t="shared" si="9"/>
        <v>29.766666666666328</v>
      </c>
      <c r="J41" s="17">
        <f t="shared" si="9"/>
        <v>30.822222222222202</v>
      </c>
      <c r="K41" s="18">
        <f t="shared" si="9"/>
        <v>25.966666666665812</v>
      </c>
      <c r="L41" s="18">
        <f t="shared" si="9"/>
        <v>27.655555555554265</v>
      </c>
      <c r="M41" s="18">
        <f t="shared" si="9"/>
        <v>28.711111111110601</v>
      </c>
      <c r="N41" s="19">
        <f t="shared" si="9"/>
        <v>19.422222222221777</v>
      </c>
      <c r="O41" s="19">
        <f t="shared" si="9"/>
        <v>21.111111111112436</v>
      </c>
      <c r="P41" s="19">
        <f t="shared" si="9"/>
        <v>22.166666666665751</v>
      </c>
      <c r="Q41" s="20">
        <f t="shared" si="9"/>
        <v>18.366666666667712</v>
      </c>
      <c r="R41" s="20">
        <f t="shared" si="9"/>
        <v>20.055555555556992</v>
      </c>
      <c r="S41" s="20">
        <f t="shared" si="9"/>
        <v>21.111111111112436</v>
      </c>
      <c r="T41" s="21">
        <f t="shared" si="8"/>
        <v>17.311111111112616</v>
      </c>
      <c r="U41" s="21">
        <f t="shared" si="8"/>
        <v>19</v>
      </c>
      <c r="V41" s="21">
        <f t="shared" si="8"/>
        <v>20.055555555556992</v>
      </c>
      <c r="W41" s="22">
        <f t="shared" si="8"/>
        <v>16.255555555555759</v>
      </c>
      <c r="X41" s="22">
        <f t="shared" si="8"/>
        <v>17.944444444443107</v>
      </c>
      <c r="Y41" s="22">
        <f t="shared" si="8"/>
        <v>19</v>
      </c>
      <c r="Z41" s="23">
        <f t="shared" si="8"/>
        <v>15.199999999999038</v>
      </c>
      <c r="AA41" s="23">
        <f t="shared" si="8"/>
        <v>16.888888888888388</v>
      </c>
      <c r="AB41" s="23">
        <f t="shared" si="8"/>
        <v>17.944444444443107</v>
      </c>
      <c r="AC41" s="24">
        <f t="shared" si="8"/>
        <v>14.144444444444767</v>
      </c>
      <c r="AD41" s="24">
        <f t="shared" si="8"/>
        <v>15.833333333333234</v>
      </c>
      <c r="AE41" s="24">
        <f t="shared" si="8"/>
        <v>16.888888888888388</v>
      </c>
      <c r="AF41" s="25">
        <f t="shared" si="8"/>
        <v>13.088888888888423</v>
      </c>
      <c r="AG41" s="25">
        <f t="shared" si="8"/>
        <v>14.777777777778635</v>
      </c>
      <c r="AH41" s="25">
        <f t="shared" si="7"/>
        <v>15.833333333333234</v>
      </c>
      <c r="AI41" s="26">
        <f t="shared" si="7"/>
        <v>12.033333333333609</v>
      </c>
      <c r="AJ41" s="26">
        <f t="shared" si="7"/>
        <v>13.722222222221387</v>
      </c>
      <c r="AK41" s="26">
        <f t="shared" si="7"/>
        <v>14.777777777778635</v>
      </c>
    </row>
    <row r="42" spans="4:37" ht="20.100000000000001" customHeight="1">
      <c r="D42" s="27">
        <f t="shared" si="3"/>
        <v>0.10833333333333336</v>
      </c>
      <c r="E42" s="16">
        <f t="shared" si="9"/>
        <v>30.983333333332453</v>
      </c>
      <c r="F42" s="16">
        <f t="shared" si="9"/>
        <v>32.716666666663826</v>
      </c>
      <c r="G42" s="16">
        <f t="shared" si="9"/>
        <v>33.799999999998867</v>
      </c>
      <c r="H42" s="17">
        <f t="shared" si="9"/>
        <v>28.816666666667928</v>
      </c>
      <c r="I42" s="17">
        <f t="shared" si="9"/>
        <v>30.549999999999663</v>
      </c>
      <c r="J42" s="17">
        <f t="shared" si="9"/>
        <v>31.633333333333312</v>
      </c>
      <c r="K42" s="18">
        <f t="shared" si="9"/>
        <v>26.649999999999146</v>
      </c>
      <c r="L42" s="18">
        <f t="shared" si="9"/>
        <v>28.383333333332043</v>
      </c>
      <c r="M42" s="18">
        <f t="shared" si="9"/>
        <v>29.466666666666157</v>
      </c>
      <c r="N42" s="19">
        <f t="shared" si="9"/>
        <v>19.933333333332889</v>
      </c>
      <c r="O42" s="19">
        <f t="shared" si="9"/>
        <v>21.666666666667993</v>
      </c>
      <c r="P42" s="19">
        <f t="shared" si="9"/>
        <v>22.749999999999083</v>
      </c>
      <c r="Q42" s="20">
        <f t="shared" si="9"/>
        <v>18.850000000001046</v>
      </c>
      <c r="R42" s="20">
        <f t="shared" si="9"/>
        <v>20.583333333334771</v>
      </c>
      <c r="S42" s="20">
        <f t="shared" si="9"/>
        <v>21.666666666667993</v>
      </c>
      <c r="T42" s="21">
        <f t="shared" si="9"/>
        <v>17.766666666668172</v>
      </c>
      <c r="U42" s="21">
        <f t="shared" si="8"/>
        <v>19.5</v>
      </c>
      <c r="V42" s="21">
        <f t="shared" si="8"/>
        <v>20.583333333334771</v>
      </c>
      <c r="W42" s="22">
        <f t="shared" si="8"/>
        <v>16.683333333333536</v>
      </c>
      <c r="X42" s="22">
        <f t="shared" si="8"/>
        <v>18.416666666665328</v>
      </c>
      <c r="Y42" s="22">
        <f t="shared" si="8"/>
        <v>19.5</v>
      </c>
      <c r="Z42" s="23">
        <f t="shared" si="8"/>
        <v>15.599999999999039</v>
      </c>
      <c r="AA42" s="23">
        <f t="shared" si="8"/>
        <v>17.333333333332831</v>
      </c>
      <c r="AB42" s="23">
        <f t="shared" si="8"/>
        <v>18.416666666665328</v>
      </c>
      <c r="AC42" s="24">
        <f t="shared" si="8"/>
        <v>14.516666666666989</v>
      </c>
      <c r="AD42" s="24">
        <f t="shared" si="8"/>
        <v>16.249999999999901</v>
      </c>
      <c r="AE42" s="24">
        <f t="shared" si="8"/>
        <v>17.333333333332831</v>
      </c>
      <c r="AF42" s="25">
        <f t="shared" si="8"/>
        <v>13.433333333332868</v>
      </c>
      <c r="AG42" s="25">
        <f t="shared" si="8"/>
        <v>15.166666666667524</v>
      </c>
      <c r="AH42" s="25">
        <f t="shared" si="7"/>
        <v>16.249999999999901</v>
      </c>
      <c r="AI42" s="26">
        <f t="shared" si="7"/>
        <v>12.350000000000275</v>
      </c>
      <c r="AJ42" s="26">
        <f t="shared" si="7"/>
        <v>14.083333333332497</v>
      </c>
      <c r="AK42" s="26">
        <f t="shared" si="7"/>
        <v>15.166666666667524</v>
      </c>
    </row>
    <row r="43" spans="4:37" ht="20.100000000000001" customHeight="1">
      <c r="D43" s="27">
        <f t="shared" si="3"/>
        <v>0.11111111111111115</v>
      </c>
      <c r="E43" s="16">
        <f t="shared" si="9"/>
        <v>31.777777777776897</v>
      </c>
      <c r="F43" s="16">
        <f t="shared" si="9"/>
        <v>33.555555555552715</v>
      </c>
      <c r="G43" s="16">
        <f t="shared" si="9"/>
        <v>34.666666666665535</v>
      </c>
      <c r="H43" s="17">
        <f t="shared" si="9"/>
        <v>29.555555555556815</v>
      </c>
      <c r="I43" s="17">
        <f t="shared" si="9"/>
        <v>31.333333333332998</v>
      </c>
      <c r="J43" s="17">
        <f t="shared" si="9"/>
        <v>32.444444444444422</v>
      </c>
      <c r="K43" s="18">
        <f t="shared" si="9"/>
        <v>27.333333333332479</v>
      </c>
      <c r="L43" s="18">
        <f t="shared" si="9"/>
        <v>29.111111111109821</v>
      </c>
      <c r="M43" s="18">
        <f t="shared" si="9"/>
        <v>30.222222222221713</v>
      </c>
      <c r="N43" s="19">
        <f t="shared" si="9"/>
        <v>20.444444444444002</v>
      </c>
      <c r="O43" s="19">
        <f t="shared" si="9"/>
        <v>22.22222222222355</v>
      </c>
      <c r="P43" s="19">
        <f t="shared" si="9"/>
        <v>23.333333333332416</v>
      </c>
      <c r="Q43" s="20">
        <f t="shared" si="9"/>
        <v>19.33333333333438</v>
      </c>
      <c r="R43" s="20">
        <f t="shared" si="9"/>
        <v>21.11111111111255</v>
      </c>
      <c r="S43" s="20">
        <f t="shared" si="9"/>
        <v>22.22222222222355</v>
      </c>
      <c r="T43" s="21">
        <f t="shared" si="9"/>
        <v>18.222222222223728</v>
      </c>
      <c r="U43" s="21">
        <f t="shared" si="8"/>
        <v>20</v>
      </c>
      <c r="V43" s="21">
        <f t="shared" si="8"/>
        <v>21.11111111111255</v>
      </c>
      <c r="W43" s="22">
        <f t="shared" si="8"/>
        <v>17.111111111111313</v>
      </c>
      <c r="X43" s="22">
        <f t="shared" si="8"/>
        <v>18.88888888888755</v>
      </c>
      <c r="Y43" s="22">
        <f t="shared" si="8"/>
        <v>20</v>
      </c>
      <c r="Z43" s="23">
        <f t="shared" si="8"/>
        <v>15.999999999999039</v>
      </c>
      <c r="AA43" s="23">
        <f t="shared" si="8"/>
        <v>17.777777777777274</v>
      </c>
      <c r="AB43" s="23">
        <f t="shared" si="8"/>
        <v>18.88888888888755</v>
      </c>
      <c r="AC43" s="24">
        <f t="shared" si="8"/>
        <v>14.888888888889211</v>
      </c>
      <c r="AD43" s="24">
        <f t="shared" si="8"/>
        <v>16.666666666666568</v>
      </c>
      <c r="AE43" s="24">
        <f t="shared" si="8"/>
        <v>17.777777777777274</v>
      </c>
      <c r="AF43" s="25">
        <f t="shared" si="8"/>
        <v>13.777777777777313</v>
      </c>
      <c r="AG43" s="25">
        <f t="shared" si="8"/>
        <v>15.555555555556413</v>
      </c>
      <c r="AH43" s="25">
        <f t="shared" si="7"/>
        <v>16.666666666666568</v>
      </c>
      <c r="AI43" s="26">
        <f t="shared" si="7"/>
        <v>12.666666666666941</v>
      </c>
      <c r="AJ43" s="26">
        <f t="shared" si="7"/>
        <v>14.444444444443608</v>
      </c>
      <c r="AK43" s="26">
        <f t="shared" si="7"/>
        <v>15.555555555556413</v>
      </c>
    </row>
    <row r="44" spans="4:37" ht="20.100000000000001" customHeight="1">
      <c r="D44" s="27">
        <f t="shared" si="3"/>
        <v>0.11388888888888893</v>
      </c>
      <c r="E44" s="16">
        <f t="shared" si="9"/>
        <v>32.572222222221342</v>
      </c>
      <c r="F44" s="16">
        <f t="shared" si="9"/>
        <v>34.394444444441604</v>
      </c>
      <c r="G44" s="16">
        <f t="shared" si="9"/>
        <v>35.533333333332202</v>
      </c>
      <c r="H44" s="17">
        <f t="shared" si="9"/>
        <v>30.294444444445702</v>
      </c>
      <c r="I44" s="17">
        <f t="shared" si="9"/>
        <v>32.116666666666333</v>
      </c>
      <c r="J44" s="17">
        <f t="shared" si="9"/>
        <v>33.255555555555532</v>
      </c>
      <c r="K44" s="18">
        <f t="shared" si="9"/>
        <v>28.016666666665813</v>
      </c>
      <c r="L44" s="18">
        <f t="shared" si="9"/>
        <v>29.838888888887599</v>
      </c>
      <c r="M44" s="18">
        <f t="shared" si="9"/>
        <v>30.97777777777727</v>
      </c>
      <c r="N44" s="19">
        <f t="shared" si="9"/>
        <v>20.955555555555115</v>
      </c>
      <c r="O44" s="19">
        <f t="shared" si="9"/>
        <v>22.777777777779107</v>
      </c>
      <c r="P44" s="19">
        <f t="shared" si="9"/>
        <v>23.916666666665748</v>
      </c>
      <c r="Q44" s="20">
        <f t="shared" si="9"/>
        <v>19.816666666667714</v>
      </c>
      <c r="R44" s="20">
        <f t="shared" si="9"/>
        <v>21.638888888890328</v>
      </c>
      <c r="S44" s="20">
        <f t="shared" si="9"/>
        <v>22.777777777779107</v>
      </c>
      <c r="T44" s="21">
        <f t="shared" si="9"/>
        <v>18.677777777779283</v>
      </c>
      <c r="U44" s="21">
        <f t="shared" si="8"/>
        <v>20.5</v>
      </c>
      <c r="V44" s="21">
        <f t="shared" si="8"/>
        <v>21.638888888890328</v>
      </c>
      <c r="W44" s="22">
        <f t="shared" si="8"/>
        <v>17.53888888888909</v>
      </c>
      <c r="X44" s="22">
        <f t="shared" si="8"/>
        <v>19.361111111109771</v>
      </c>
      <c r="Y44" s="22">
        <f t="shared" si="8"/>
        <v>20.5</v>
      </c>
      <c r="Z44" s="23">
        <f t="shared" si="8"/>
        <v>16.399999999999039</v>
      </c>
      <c r="AA44" s="23">
        <f t="shared" si="8"/>
        <v>18.222222222221717</v>
      </c>
      <c r="AB44" s="23">
        <f t="shared" si="8"/>
        <v>19.361111111109771</v>
      </c>
      <c r="AC44" s="24">
        <f t="shared" si="8"/>
        <v>15.261111111111433</v>
      </c>
      <c r="AD44" s="24">
        <f t="shared" si="8"/>
        <v>17.083333333333236</v>
      </c>
      <c r="AE44" s="24">
        <f t="shared" si="8"/>
        <v>18.222222222221717</v>
      </c>
      <c r="AF44" s="25">
        <f t="shared" si="8"/>
        <v>14.122222222221758</v>
      </c>
      <c r="AG44" s="25">
        <f t="shared" si="8"/>
        <v>15.944444444445303</v>
      </c>
      <c r="AH44" s="25">
        <f t="shared" si="7"/>
        <v>17.083333333333236</v>
      </c>
      <c r="AI44" s="26">
        <f t="shared" si="7"/>
        <v>12.983333333333608</v>
      </c>
      <c r="AJ44" s="26">
        <f t="shared" si="7"/>
        <v>14.805555555554719</v>
      </c>
      <c r="AK44" s="26">
        <f t="shared" si="7"/>
        <v>15.944444444445303</v>
      </c>
    </row>
    <row r="45" spans="4:37" ht="20.100000000000001" customHeight="1">
      <c r="D45" s="27">
        <f t="shared" si="3"/>
        <v>0.11666666666666671</v>
      </c>
      <c r="E45" s="16">
        <f t="shared" si="9"/>
        <v>33.366666666665786</v>
      </c>
      <c r="F45" s="16">
        <f t="shared" si="9"/>
        <v>35.233333333330492</v>
      </c>
      <c r="G45" s="16">
        <f t="shared" si="9"/>
        <v>36.399999999998869</v>
      </c>
      <c r="H45" s="17">
        <f t="shared" si="9"/>
        <v>31.033333333334589</v>
      </c>
      <c r="I45" s="17">
        <f t="shared" si="9"/>
        <v>32.899999999999665</v>
      </c>
      <c r="J45" s="17">
        <f t="shared" si="9"/>
        <v>34.066666666666642</v>
      </c>
      <c r="K45" s="18">
        <f t="shared" si="9"/>
        <v>28.699999999999147</v>
      </c>
      <c r="L45" s="18">
        <f t="shared" si="9"/>
        <v>30.566666666665377</v>
      </c>
      <c r="M45" s="18">
        <f t="shared" si="9"/>
        <v>31.733333333332826</v>
      </c>
      <c r="N45" s="19">
        <f t="shared" si="9"/>
        <v>21.466666666666228</v>
      </c>
      <c r="O45" s="19">
        <f t="shared" si="9"/>
        <v>23.333333333334664</v>
      </c>
      <c r="P45" s="19">
        <f t="shared" si="9"/>
        <v>24.49999999999908</v>
      </c>
      <c r="Q45" s="20">
        <f t="shared" si="9"/>
        <v>20.300000000001049</v>
      </c>
      <c r="R45" s="20">
        <f t="shared" si="9"/>
        <v>22.166666666668107</v>
      </c>
      <c r="S45" s="20">
        <f t="shared" si="9"/>
        <v>23.333333333334664</v>
      </c>
      <c r="T45" s="21">
        <f t="shared" si="9"/>
        <v>19.133333333334839</v>
      </c>
      <c r="U45" s="21">
        <f t="shared" si="8"/>
        <v>21</v>
      </c>
      <c r="V45" s="21">
        <f t="shared" si="8"/>
        <v>22.166666666668107</v>
      </c>
      <c r="W45" s="22">
        <f t="shared" si="8"/>
        <v>17.966666666666868</v>
      </c>
      <c r="X45" s="22">
        <f t="shared" si="8"/>
        <v>19.833333333331993</v>
      </c>
      <c r="Y45" s="22">
        <f t="shared" si="8"/>
        <v>21</v>
      </c>
      <c r="Z45" s="23">
        <f t="shared" si="8"/>
        <v>16.799999999999038</v>
      </c>
      <c r="AA45" s="23">
        <f t="shared" si="8"/>
        <v>18.66666666666616</v>
      </c>
      <c r="AB45" s="23">
        <f t="shared" si="8"/>
        <v>19.833333333331993</v>
      </c>
      <c r="AC45" s="24">
        <f t="shared" si="8"/>
        <v>15.633333333333654</v>
      </c>
      <c r="AD45" s="24">
        <f t="shared" si="8"/>
        <v>17.499999999999904</v>
      </c>
      <c r="AE45" s="24">
        <f t="shared" si="8"/>
        <v>18.66666666666616</v>
      </c>
      <c r="AF45" s="25">
        <f t="shared" si="8"/>
        <v>14.466666666666203</v>
      </c>
      <c r="AG45" s="25">
        <f t="shared" si="8"/>
        <v>16.333333333334192</v>
      </c>
      <c r="AH45" s="25">
        <f t="shared" si="7"/>
        <v>17.499999999999904</v>
      </c>
      <c r="AI45" s="26">
        <f t="shared" si="7"/>
        <v>13.300000000000274</v>
      </c>
      <c r="AJ45" s="26">
        <f t="shared" si="7"/>
        <v>15.166666666665829</v>
      </c>
      <c r="AK45" s="26">
        <f t="shared" si="7"/>
        <v>16.333333333334192</v>
      </c>
    </row>
    <row r="46" spans="4:37" ht="20.100000000000001" customHeight="1">
      <c r="D46" s="27">
        <f t="shared" si="3"/>
        <v>0.11944444444444449</v>
      </c>
      <c r="E46" s="16">
        <f t="shared" si="9"/>
        <v>34.16111111111023</v>
      </c>
      <c r="F46" s="16">
        <f t="shared" si="9"/>
        <v>36.072222222219381</v>
      </c>
      <c r="G46" s="16">
        <f t="shared" si="9"/>
        <v>37.266666666665536</v>
      </c>
      <c r="H46" s="17">
        <f t="shared" si="9"/>
        <v>31.772222222223476</v>
      </c>
      <c r="I46" s="17">
        <f t="shared" si="9"/>
        <v>33.683333333332996</v>
      </c>
      <c r="J46" s="17">
        <f t="shared" si="9"/>
        <v>34.877777777777752</v>
      </c>
      <c r="K46" s="18">
        <f t="shared" si="9"/>
        <v>29.38333333333248</v>
      </c>
      <c r="L46" s="18">
        <f t="shared" si="9"/>
        <v>31.294444444443155</v>
      </c>
      <c r="M46" s="18">
        <f t="shared" si="9"/>
        <v>32.488888888888383</v>
      </c>
      <c r="N46" s="19">
        <f t="shared" si="9"/>
        <v>21.977777777777341</v>
      </c>
      <c r="O46" s="19">
        <f t="shared" si="9"/>
        <v>23.888888888890222</v>
      </c>
      <c r="P46" s="19">
        <f t="shared" si="9"/>
        <v>25.083333333332412</v>
      </c>
      <c r="Q46" s="20">
        <f t="shared" si="9"/>
        <v>20.783333333334383</v>
      </c>
      <c r="R46" s="20">
        <f t="shared" si="9"/>
        <v>22.694444444445885</v>
      </c>
      <c r="S46" s="20">
        <f t="shared" si="9"/>
        <v>23.888888888890222</v>
      </c>
      <c r="T46" s="21">
        <f t="shared" si="9"/>
        <v>19.588888888890395</v>
      </c>
      <c r="U46" s="21">
        <f t="shared" si="8"/>
        <v>21.5</v>
      </c>
      <c r="V46" s="21">
        <f t="shared" si="8"/>
        <v>22.694444444445885</v>
      </c>
      <c r="W46" s="22">
        <f t="shared" si="8"/>
        <v>18.394444444444645</v>
      </c>
      <c r="X46" s="22">
        <f t="shared" si="8"/>
        <v>20.305555555554214</v>
      </c>
      <c r="Y46" s="22">
        <f t="shared" si="8"/>
        <v>21.5</v>
      </c>
      <c r="Z46" s="23">
        <f t="shared" si="8"/>
        <v>17.199999999999037</v>
      </c>
      <c r="AA46" s="23">
        <f t="shared" si="8"/>
        <v>19.111111111110603</v>
      </c>
      <c r="AB46" s="23">
        <f t="shared" si="8"/>
        <v>20.305555555554214</v>
      </c>
      <c r="AC46" s="24">
        <f t="shared" si="8"/>
        <v>16.005555555555876</v>
      </c>
      <c r="AD46" s="24">
        <f t="shared" si="8"/>
        <v>17.916666666666572</v>
      </c>
      <c r="AE46" s="24">
        <f t="shared" si="8"/>
        <v>19.111111111110603</v>
      </c>
      <c r="AF46" s="25">
        <f t="shared" si="8"/>
        <v>14.811111111110648</v>
      </c>
      <c r="AG46" s="25">
        <f t="shared" si="8"/>
        <v>16.722222222223081</v>
      </c>
      <c r="AH46" s="25">
        <f t="shared" si="7"/>
        <v>17.916666666666572</v>
      </c>
      <c r="AI46" s="26">
        <f t="shared" si="7"/>
        <v>13.616666666666941</v>
      </c>
      <c r="AJ46" s="26">
        <f t="shared" si="7"/>
        <v>15.52777777777694</v>
      </c>
      <c r="AK46" s="26">
        <f t="shared" si="7"/>
        <v>16.722222222223081</v>
      </c>
    </row>
    <row r="47" spans="4:37" ht="20.100000000000001" customHeight="1">
      <c r="D47" s="27">
        <f t="shared" si="3"/>
        <v>0.12222222222222227</v>
      </c>
      <c r="E47" s="16">
        <f t="shared" si="9"/>
        <v>34.955555555554675</v>
      </c>
      <c r="F47" s="16">
        <f t="shared" si="9"/>
        <v>36.911111111108269</v>
      </c>
      <c r="G47" s="16">
        <f t="shared" si="9"/>
        <v>38.133333333332203</v>
      </c>
      <c r="H47" s="17">
        <f t="shared" si="9"/>
        <v>32.511111111112363</v>
      </c>
      <c r="I47" s="17">
        <f t="shared" si="9"/>
        <v>34.466666666666328</v>
      </c>
      <c r="J47" s="17">
        <f t="shared" si="9"/>
        <v>35.688888888888862</v>
      </c>
      <c r="K47" s="18">
        <f t="shared" si="9"/>
        <v>30.066666666665814</v>
      </c>
      <c r="L47" s="18">
        <f t="shared" si="9"/>
        <v>32.022222222220933</v>
      </c>
      <c r="M47" s="18">
        <f t="shared" si="9"/>
        <v>33.244444444443936</v>
      </c>
      <c r="N47" s="19">
        <f t="shared" si="9"/>
        <v>22.488888888888454</v>
      </c>
      <c r="O47" s="19">
        <f t="shared" si="9"/>
        <v>24.444444444445779</v>
      </c>
      <c r="P47" s="19">
        <f t="shared" si="9"/>
        <v>25.666666666665744</v>
      </c>
      <c r="Q47" s="20">
        <f t="shared" si="9"/>
        <v>21.266666666667717</v>
      </c>
      <c r="R47" s="20">
        <f t="shared" si="9"/>
        <v>23.222222222223664</v>
      </c>
      <c r="S47" s="20">
        <f t="shared" si="9"/>
        <v>24.444444444445779</v>
      </c>
      <c r="T47" s="21">
        <f t="shared" si="9"/>
        <v>20.044444444445951</v>
      </c>
      <c r="U47" s="21">
        <f t="shared" si="8"/>
        <v>22</v>
      </c>
      <c r="V47" s="21">
        <f t="shared" si="8"/>
        <v>23.222222222223664</v>
      </c>
      <c r="W47" s="22">
        <f t="shared" si="8"/>
        <v>18.822222222222422</v>
      </c>
      <c r="X47" s="22">
        <f t="shared" si="8"/>
        <v>20.777777777776436</v>
      </c>
      <c r="Y47" s="22">
        <f t="shared" si="8"/>
        <v>22</v>
      </c>
      <c r="Z47" s="23">
        <f t="shared" si="8"/>
        <v>17.599999999999035</v>
      </c>
      <c r="AA47" s="23">
        <f t="shared" si="8"/>
        <v>19.555555555555046</v>
      </c>
      <c r="AB47" s="23">
        <f t="shared" si="8"/>
        <v>20.777777777776436</v>
      </c>
      <c r="AC47" s="24">
        <f t="shared" si="8"/>
        <v>16.3777777777781</v>
      </c>
      <c r="AD47" s="24">
        <f t="shared" si="8"/>
        <v>18.33333333333324</v>
      </c>
      <c r="AE47" s="24">
        <f t="shared" si="8"/>
        <v>19.555555555555046</v>
      </c>
      <c r="AF47" s="25">
        <f t="shared" si="8"/>
        <v>15.155555555555093</v>
      </c>
      <c r="AG47" s="25">
        <f t="shared" si="8"/>
        <v>17.11111111111197</v>
      </c>
      <c r="AH47" s="25">
        <f t="shared" si="7"/>
        <v>18.33333333333324</v>
      </c>
      <c r="AI47" s="26">
        <f t="shared" si="7"/>
        <v>13.933333333333607</v>
      </c>
      <c r="AJ47" s="26">
        <f t="shared" si="7"/>
        <v>15.888888888888051</v>
      </c>
      <c r="AK47" s="26">
        <f t="shared" si="7"/>
        <v>17.11111111111197</v>
      </c>
    </row>
    <row r="48" spans="4:37" ht="20.100000000000001" customHeight="1">
      <c r="D48" s="27">
        <f t="shared" si="3"/>
        <v>0.12500000000000006</v>
      </c>
      <c r="E48" s="16">
        <f t="shared" si="9"/>
        <v>35.749999999999119</v>
      </c>
      <c r="F48" s="16">
        <f t="shared" si="9"/>
        <v>37.749999999997158</v>
      </c>
      <c r="G48" s="16">
        <f t="shared" si="9"/>
        <v>38.99999999999887</v>
      </c>
      <c r="H48" s="17">
        <f t="shared" si="9"/>
        <v>33.250000000001251</v>
      </c>
      <c r="I48" s="17">
        <f t="shared" si="9"/>
        <v>35.249999999999659</v>
      </c>
      <c r="J48" s="17">
        <f t="shared" si="9"/>
        <v>36.499999999999972</v>
      </c>
      <c r="K48" s="18">
        <f t="shared" si="9"/>
        <v>30.749999999999147</v>
      </c>
      <c r="L48" s="18">
        <f t="shared" si="9"/>
        <v>32.749999999998707</v>
      </c>
      <c r="M48" s="18">
        <f t="shared" si="9"/>
        <v>33.999999999999488</v>
      </c>
      <c r="N48" s="19">
        <f t="shared" si="9"/>
        <v>22.999999999999567</v>
      </c>
      <c r="O48" s="19">
        <f t="shared" si="9"/>
        <v>25.000000000001336</v>
      </c>
      <c r="P48" s="19">
        <f t="shared" si="9"/>
        <v>26.249999999999076</v>
      </c>
      <c r="Q48" s="20">
        <f t="shared" si="9"/>
        <v>21.750000000001052</v>
      </c>
      <c r="R48" s="20">
        <f t="shared" si="9"/>
        <v>23.750000000001442</v>
      </c>
      <c r="S48" s="20">
        <f t="shared" si="9"/>
        <v>25.000000000001336</v>
      </c>
      <c r="T48" s="21">
        <f t="shared" si="9"/>
        <v>20.500000000001506</v>
      </c>
      <c r="U48" s="21">
        <f t="shared" si="8"/>
        <v>22.5</v>
      </c>
      <c r="V48" s="21">
        <f t="shared" si="8"/>
        <v>23.750000000001442</v>
      </c>
      <c r="W48" s="22">
        <f t="shared" si="8"/>
        <v>19.250000000000199</v>
      </c>
      <c r="X48" s="22">
        <f t="shared" si="8"/>
        <v>21.249999999998657</v>
      </c>
      <c r="Y48" s="22">
        <f t="shared" si="8"/>
        <v>22.5</v>
      </c>
      <c r="Z48" s="23">
        <f t="shared" si="8"/>
        <v>17.999999999999034</v>
      </c>
      <c r="AA48" s="23">
        <f t="shared" si="8"/>
        <v>19.999999999999488</v>
      </c>
      <c r="AB48" s="23">
        <f t="shared" si="8"/>
        <v>21.249999999998657</v>
      </c>
      <c r="AC48" s="24">
        <f t="shared" si="8"/>
        <v>16.750000000000323</v>
      </c>
      <c r="AD48" s="24">
        <f t="shared" si="8"/>
        <v>18.749999999999908</v>
      </c>
      <c r="AE48" s="24">
        <f t="shared" si="8"/>
        <v>19.999999999999488</v>
      </c>
      <c r="AF48" s="25">
        <f t="shared" si="8"/>
        <v>15.499999999999538</v>
      </c>
      <c r="AG48" s="25">
        <f t="shared" si="8"/>
        <v>17.50000000000086</v>
      </c>
      <c r="AH48" s="25">
        <f t="shared" si="7"/>
        <v>18.749999999999908</v>
      </c>
      <c r="AI48" s="26">
        <f t="shared" si="7"/>
        <v>14.250000000000274</v>
      </c>
      <c r="AJ48" s="26">
        <f t="shared" si="7"/>
        <v>16.249999999999162</v>
      </c>
      <c r="AK48" s="26">
        <f t="shared" si="7"/>
        <v>17.50000000000086</v>
      </c>
    </row>
    <row r="49" spans="4:37" ht="20.100000000000001" customHeight="1">
      <c r="D49" s="27">
        <f t="shared" si="3"/>
        <v>0.12777777777777782</v>
      </c>
      <c r="E49" s="16">
        <f t="shared" si="9"/>
        <v>36.544444444443563</v>
      </c>
      <c r="F49" s="16">
        <f t="shared" si="9"/>
        <v>38.588888888886046</v>
      </c>
      <c r="G49" s="16">
        <f t="shared" si="9"/>
        <v>39.866666666665537</v>
      </c>
      <c r="H49" s="17">
        <f t="shared" si="9"/>
        <v>33.988888888890138</v>
      </c>
      <c r="I49" s="17">
        <f t="shared" si="9"/>
        <v>36.03333333333299</v>
      </c>
      <c r="J49" s="17">
        <f t="shared" si="9"/>
        <v>37.311111111111082</v>
      </c>
      <c r="K49" s="18">
        <f t="shared" si="9"/>
        <v>31.433333333332481</v>
      </c>
      <c r="L49" s="18">
        <f t="shared" si="9"/>
        <v>33.477777777776481</v>
      </c>
      <c r="M49" s="18">
        <f t="shared" si="9"/>
        <v>34.755555555555041</v>
      </c>
      <c r="N49" s="19">
        <f t="shared" si="9"/>
        <v>23.511111111110679</v>
      </c>
      <c r="O49" s="19">
        <f t="shared" si="9"/>
        <v>25.555555555556893</v>
      </c>
      <c r="P49" s="19">
        <f t="shared" si="9"/>
        <v>26.833333333332408</v>
      </c>
      <c r="Q49" s="20">
        <f t="shared" si="9"/>
        <v>22.233333333334386</v>
      </c>
      <c r="R49" s="20">
        <f t="shared" si="9"/>
        <v>24.277777777779221</v>
      </c>
      <c r="S49" s="20">
        <f t="shared" si="9"/>
        <v>25.555555555556893</v>
      </c>
      <c r="T49" s="21">
        <f t="shared" si="9"/>
        <v>20.955555555557062</v>
      </c>
      <c r="U49" s="21">
        <f t="shared" si="8"/>
        <v>23</v>
      </c>
      <c r="V49" s="21">
        <f t="shared" si="8"/>
        <v>24.277777777779221</v>
      </c>
      <c r="W49" s="22">
        <f t="shared" si="8"/>
        <v>19.677777777777976</v>
      </c>
      <c r="X49" s="22">
        <f t="shared" si="8"/>
        <v>21.722222222220879</v>
      </c>
      <c r="Y49" s="22">
        <f t="shared" si="8"/>
        <v>23</v>
      </c>
      <c r="Z49" s="23">
        <f t="shared" si="8"/>
        <v>18.399999999999032</v>
      </c>
      <c r="AA49" s="23">
        <f t="shared" si="8"/>
        <v>20.444444444443931</v>
      </c>
      <c r="AB49" s="23">
        <f t="shared" si="8"/>
        <v>21.722222222220879</v>
      </c>
      <c r="AC49" s="24">
        <f t="shared" si="8"/>
        <v>17.122222222222547</v>
      </c>
      <c r="AD49" s="24">
        <f t="shared" si="8"/>
        <v>19.166666666666575</v>
      </c>
      <c r="AE49" s="24">
        <f t="shared" si="8"/>
        <v>20.444444444443931</v>
      </c>
      <c r="AF49" s="25">
        <f t="shared" si="8"/>
        <v>15.844444444443983</v>
      </c>
      <c r="AG49" s="25">
        <f t="shared" si="8"/>
        <v>17.888888888889749</v>
      </c>
      <c r="AH49" s="25">
        <f t="shared" si="7"/>
        <v>19.166666666666575</v>
      </c>
      <c r="AI49" s="26">
        <f t="shared" si="7"/>
        <v>14.56666666666694</v>
      </c>
      <c r="AJ49" s="26">
        <f t="shared" si="7"/>
        <v>16.611111111110272</v>
      </c>
      <c r="AK49" s="26">
        <f t="shared" si="7"/>
        <v>17.888888888889749</v>
      </c>
    </row>
    <row r="50" spans="4:37" ht="20.100000000000001" customHeight="1">
      <c r="D50" s="27">
        <f t="shared" si="3"/>
        <v>0.13055555555555559</v>
      </c>
      <c r="E50" s="16">
        <f t="shared" si="9"/>
        <v>37.338888888888008</v>
      </c>
      <c r="F50" s="16">
        <f t="shared" si="9"/>
        <v>39.427777777774935</v>
      </c>
      <c r="G50" s="16">
        <f t="shared" si="9"/>
        <v>40.733333333332205</v>
      </c>
      <c r="H50" s="17">
        <f t="shared" si="9"/>
        <v>34.727777777779025</v>
      </c>
      <c r="I50" s="17">
        <f t="shared" si="9"/>
        <v>36.816666666666322</v>
      </c>
      <c r="J50" s="17">
        <f t="shared" si="9"/>
        <v>38.122222222222192</v>
      </c>
      <c r="K50" s="18">
        <f t="shared" si="9"/>
        <v>32.116666666665814</v>
      </c>
      <c r="L50" s="18">
        <f t="shared" si="9"/>
        <v>34.205555555554255</v>
      </c>
      <c r="M50" s="18">
        <f t="shared" si="9"/>
        <v>35.511111111110594</v>
      </c>
      <c r="N50" s="19">
        <f t="shared" si="9"/>
        <v>24.022222222221792</v>
      </c>
      <c r="O50" s="19">
        <f t="shared" si="9"/>
        <v>26.11111111111245</v>
      </c>
      <c r="P50" s="19">
        <f t="shared" si="9"/>
        <v>27.416666666665741</v>
      </c>
      <c r="Q50" s="20">
        <f t="shared" si="9"/>
        <v>22.71666666666772</v>
      </c>
      <c r="R50" s="20">
        <f t="shared" si="9"/>
        <v>24.805555555557</v>
      </c>
      <c r="S50" s="20">
        <f t="shared" si="9"/>
        <v>26.11111111111245</v>
      </c>
      <c r="T50" s="21">
        <f t="shared" si="9"/>
        <v>21.411111111112618</v>
      </c>
      <c r="U50" s="21">
        <f t="shared" si="8"/>
        <v>23.5</v>
      </c>
      <c r="V50" s="21">
        <f t="shared" si="8"/>
        <v>24.805555555557</v>
      </c>
      <c r="W50" s="22">
        <f t="shared" si="8"/>
        <v>20.105555555555753</v>
      </c>
      <c r="X50" s="22">
        <f t="shared" si="8"/>
        <v>22.1944444444431</v>
      </c>
      <c r="Y50" s="22">
        <f t="shared" si="8"/>
        <v>23.5</v>
      </c>
      <c r="Z50" s="23">
        <f t="shared" si="8"/>
        <v>18.799999999999031</v>
      </c>
      <c r="AA50" s="23">
        <f t="shared" si="8"/>
        <v>20.888888888888374</v>
      </c>
      <c r="AB50" s="23">
        <f t="shared" si="8"/>
        <v>22.1944444444431</v>
      </c>
      <c r="AC50" s="24">
        <f t="shared" si="8"/>
        <v>17.49444444444477</v>
      </c>
      <c r="AD50" s="24">
        <f t="shared" si="8"/>
        <v>19.583333333333243</v>
      </c>
      <c r="AE50" s="24">
        <f t="shared" si="8"/>
        <v>20.888888888888374</v>
      </c>
      <c r="AF50" s="25">
        <f t="shared" si="8"/>
        <v>16.188888888888428</v>
      </c>
      <c r="AG50" s="25">
        <f t="shared" si="8"/>
        <v>18.277777777778638</v>
      </c>
      <c r="AH50" s="25">
        <f t="shared" si="7"/>
        <v>19.583333333333243</v>
      </c>
      <c r="AI50" s="26">
        <f t="shared" si="7"/>
        <v>14.883333333333606</v>
      </c>
      <c r="AJ50" s="26">
        <f t="shared" si="7"/>
        <v>16.972222222221383</v>
      </c>
      <c r="AK50" s="26">
        <f t="shared" si="7"/>
        <v>18.277777777778638</v>
      </c>
    </row>
    <row r="51" spans="4:37" ht="20.100000000000001" customHeight="1">
      <c r="D51" s="27">
        <f t="shared" si="3"/>
        <v>0.13333333333333336</v>
      </c>
      <c r="E51" s="16">
        <f t="shared" si="9"/>
        <v>38.133333333332452</v>
      </c>
      <c r="F51" s="16">
        <f t="shared" si="9"/>
        <v>40.266666666663824</v>
      </c>
      <c r="G51" s="16">
        <f t="shared" si="9"/>
        <v>41.599999999998872</v>
      </c>
      <c r="H51" s="17">
        <f t="shared" si="9"/>
        <v>35.466666666667912</v>
      </c>
      <c r="I51" s="17">
        <f t="shared" si="9"/>
        <v>37.599999999999653</v>
      </c>
      <c r="J51" s="17">
        <f t="shared" si="9"/>
        <v>38.933333333333302</v>
      </c>
      <c r="K51" s="18">
        <f t="shared" si="9"/>
        <v>32.799999999999145</v>
      </c>
      <c r="L51" s="18">
        <f t="shared" si="9"/>
        <v>34.93333333333203</v>
      </c>
      <c r="M51" s="18">
        <f t="shared" si="9"/>
        <v>36.266666666666147</v>
      </c>
      <c r="N51" s="19">
        <f t="shared" si="9"/>
        <v>24.533333333332905</v>
      </c>
      <c r="O51" s="19">
        <f t="shared" si="9"/>
        <v>26.666666666668007</v>
      </c>
      <c r="P51" s="19">
        <f t="shared" si="9"/>
        <v>27.999999999999073</v>
      </c>
      <c r="Q51" s="20">
        <f t="shared" si="9"/>
        <v>23.200000000001054</v>
      </c>
      <c r="R51" s="20">
        <f t="shared" si="9"/>
        <v>25.333333333334778</v>
      </c>
      <c r="S51" s="20">
        <f t="shared" si="9"/>
        <v>26.666666666668007</v>
      </c>
      <c r="T51" s="21">
        <f t="shared" si="9"/>
        <v>21.866666666668173</v>
      </c>
      <c r="U51" s="21">
        <f t="shared" si="8"/>
        <v>24</v>
      </c>
      <c r="V51" s="21">
        <f t="shared" si="8"/>
        <v>25.333333333334778</v>
      </c>
      <c r="W51" s="22">
        <f t="shared" si="8"/>
        <v>20.53333333333353</v>
      </c>
      <c r="X51" s="22">
        <f t="shared" si="8"/>
        <v>22.666666666665321</v>
      </c>
      <c r="Y51" s="22">
        <f t="shared" si="8"/>
        <v>24</v>
      </c>
      <c r="Z51" s="23">
        <f t="shared" si="8"/>
        <v>19.199999999999029</v>
      </c>
      <c r="AA51" s="23">
        <f t="shared" si="8"/>
        <v>21.333333333332817</v>
      </c>
      <c r="AB51" s="23">
        <f t="shared" si="8"/>
        <v>22.666666666665321</v>
      </c>
      <c r="AC51" s="24">
        <f t="shared" si="8"/>
        <v>17.866666666666994</v>
      </c>
      <c r="AD51" s="24">
        <f t="shared" si="8"/>
        <v>19.999999999999911</v>
      </c>
      <c r="AE51" s="24">
        <f t="shared" si="8"/>
        <v>21.333333333332817</v>
      </c>
      <c r="AF51" s="25">
        <f t="shared" si="8"/>
        <v>16.533333333332873</v>
      </c>
      <c r="AG51" s="25">
        <f t="shared" si="8"/>
        <v>18.666666666667528</v>
      </c>
      <c r="AH51" s="25">
        <f t="shared" si="7"/>
        <v>19.999999999999911</v>
      </c>
      <c r="AI51" s="26">
        <f t="shared" si="7"/>
        <v>15.200000000000273</v>
      </c>
      <c r="AJ51" s="26">
        <f t="shared" si="7"/>
        <v>17.333333333332494</v>
      </c>
      <c r="AK51" s="26">
        <f t="shared" si="7"/>
        <v>18.666666666667528</v>
      </c>
    </row>
    <row r="52" spans="4:37" ht="20.100000000000001" customHeight="1">
      <c r="D52" s="27">
        <f t="shared" si="3"/>
        <v>0.13611111111111113</v>
      </c>
      <c r="E52" s="16">
        <f t="shared" si="9"/>
        <v>38.927777777776896</v>
      </c>
      <c r="F52" s="16">
        <f t="shared" si="9"/>
        <v>41.105555555552712</v>
      </c>
      <c r="G52" s="16">
        <f t="shared" si="9"/>
        <v>42.466666666665539</v>
      </c>
      <c r="H52" s="17">
        <f t="shared" si="9"/>
        <v>36.205555555556799</v>
      </c>
      <c r="I52" s="17">
        <f t="shared" si="9"/>
        <v>38.383333333332985</v>
      </c>
      <c r="J52" s="17">
        <f t="shared" ref="J52:Y69" si="10">J53-(J$363/360)</f>
        <v>39.744444444444412</v>
      </c>
      <c r="K52" s="18">
        <f t="shared" si="10"/>
        <v>33.483333333332475</v>
      </c>
      <c r="L52" s="18">
        <f t="shared" si="10"/>
        <v>35.661111111109804</v>
      </c>
      <c r="M52" s="18">
        <f t="shared" si="10"/>
        <v>37.0222222222217</v>
      </c>
      <c r="N52" s="19">
        <f t="shared" si="10"/>
        <v>25.044444444444018</v>
      </c>
      <c r="O52" s="19">
        <f t="shared" si="10"/>
        <v>27.222222222223564</v>
      </c>
      <c r="P52" s="19">
        <f t="shared" si="10"/>
        <v>28.583333333332405</v>
      </c>
      <c r="Q52" s="20">
        <f t="shared" si="10"/>
        <v>23.683333333334389</v>
      </c>
      <c r="R52" s="20">
        <f t="shared" si="10"/>
        <v>25.861111111112557</v>
      </c>
      <c r="S52" s="20">
        <f t="shared" si="10"/>
        <v>27.222222222223564</v>
      </c>
      <c r="T52" s="21">
        <f t="shared" si="10"/>
        <v>22.322222222223729</v>
      </c>
      <c r="U52" s="21">
        <f t="shared" si="8"/>
        <v>24.5</v>
      </c>
      <c r="V52" s="21">
        <f t="shared" si="8"/>
        <v>25.861111111112557</v>
      </c>
      <c r="W52" s="22">
        <f t="shared" si="8"/>
        <v>20.961111111111308</v>
      </c>
      <c r="X52" s="22">
        <f t="shared" si="8"/>
        <v>23.138888888887543</v>
      </c>
      <c r="Y52" s="22">
        <f t="shared" si="8"/>
        <v>24.5</v>
      </c>
      <c r="Z52" s="23">
        <f t="shared" si="8"/>
        <v>19.599999999999028</v>
      </c>
      <c r="AA52" s="23">
        <f t="shared" si="8"/>
        <v>21.77777777777726</v>
      </c>
      <c r="AB52" s="23">
        <f t="shared" si="8"/>
        <v>23.138888888887543</v>
      </c>
      <c r="AC52" s="24">
        <f t="shared" si="8"/>
        <v>18.238888888889218</v>
      </c>
      <c r="AD52" s="24">
        <f t="shared" si="8"/>
        <v>20.416666666666579</v>
      </c>
      <c r="AE52" s="24">
        <f t="shared" si="8"/>
        <v>21.77777777777726</v>
      </c>
      <c r="AF52" s="25">
        <f t="shared" si="8"/>
        <v>16.877777777777318</v>
      </c>
      <c r="AG52" s="25">
        <f t="shared" si="8"/>
        <v>19.055555555556417</v>
      </c>
      <c r="AH52" s="25">
        <f t="shared" si="7"/>
        <v>20.416666666666579</v>
      </c>
      <c r="AI52" s="26">
        <f t="shared" si="7"/>
        <v>15.516666666666939</v>
      </c>
      <c r="AJ52" s="26">
        <f t="shared" si="7"/>
        <v>17.694444444443604</v>
      </c>
      <c r="AK52" s="26">
        <f t="shared" si="7"/>
        <v>19.055555555556417</v>
      </c>
    </row>
    <row r="53" spans="4:37" ht="20.100000000000001" customHeight="1">
      <c r="D53" s="27">
        <f t="shared" si="3"/>
        <v>0.1388888888888889</v>
      </c>
      <c r="E53" s="16">
        <f t="shared" ref="E53:T80" si="11">E54-(E$363/360)</f>
        <v>39.72222222222134</v>
      </c>
      <c r="F53" s="16">
        <f t="shared" si="11"/>
        <v>41.944444444441601</v>
      </c>
      <c r="G53" s="16">
        <f t="shared" si="11"/>
        <v>43.333333333332206</v>
      </c>
      <c r="H53" s="17">
        <f t="shared" si="11"/>
        <v>36.944444444445686</v>
      </c>
      <c r="I53" s="17">
        <f t="shared" si="11"/>
        <v>39.166666666666316</v>
      </c>
      <c r="J53" s="17">
        <f t="shared" si="10"/>
        <v>40.555555555555522</v>
      </c>
      <c r="K53" s="18">
        <f t="shared" si="10"/>
        <v>34.166666666665805</v>
      </c>
      <c r="L53" s="18">
        <f t="shared" si="10"/>
        <v>36.388888888887578</v>
      </c>
      <c r="M53" s="18">
        <f t="shared" si="10"/>
        <v>37.777777777777253</v>
      </c>
      <c r="N53" s="19">
        <f t="shared" si="10"/>
        <v>25.555555555555131</v>
      </c>
      <c r="O53" s="19">
        <f t="shared" si="10"/>
        <v>27.777777777779121</v>
      </c>
      <c r="P53" s="19">
        <f t="shared" si="10"/>
        <v>29.166666666665737</v>
      </c>
      <c r="Q53" s="20">
        <f t="shared" si="10"/>
        <v>24.166666666667723</v>
      </c>
      <c r="R53" s="20">
        <f t="shared" si="10"/>
        <v>26.388888888890335</v>
      </c>
      <c r="S53" s="20">
        <f t="shared" si="10"/>
        <v>27.777777777779121</v>
      </c>
      <c r="T53" s="21">
        <f t="shared" si="10"/>
        <v>22.777777777779285</v>
      </c>
      <c r="U53" s="21">
        <f t="shared" si="8"/>
        <v>25</v>
      </c>
      <c r="V53" s="21">
        <f t="shared" si="8"/>
        <v>26.388888888890335</v>
      </c>
      <c r="W53" s="22">
        <f t="shared" si="8"/>
        <v>21.388888888889085</v>
      </c>
      <c r="X53" s="22">
        <f t="shared" si="8"/>
        <v>23.611111111109764</v>
      </c>
      <c r="Y53" s="22">
        <f t="shared" si="8"/>
        <v>25</v>
      </c>
      <c r="Z53" s="23">
        <f t="shared" si="8"/>
        <v>19.999999999999027</v>
      </c>
      <c r="AA53" s="23">
        <f t="shared" si="8"/>
        <v>22.222222222221703</v>
      </c>
      <c r="AB53" s="23">
        <f t="shared" si="8"/>
        <v>23.611111111109764</v>
      </c>
      <c r="AC53" s="24">
        <f t="shared" si="8"/>
        <v>18.611111111111441</v>
      </c>
      <c r="AD53" s="24">
        <f t="shared" si="8"/>
        <v>20.833333333333247</v>
      </c>
      <c r="AE53" s="24">
        <f t="shared" si="8"/>
        <v>22.222222222221703</v>
      </c>
      <c r="AF53" s="25">
        <f t="shared" si="8"/>
        <v>17.222222222221763</v>
      </c>
      <c r="AG53" s="25">
        <f t="shared" si="8"/>
        <v>19.444444444445306</v>
      </c>
      <c r="AH53" s="25">
        <f t="shared" si="7"/>
        <v>20.833333333333247</v>
      </c>
      <c r="AI53" s="26">
        <f t="shared" si="7"/>
        <v>15.833333333333606</v>
      </c>
      <c r="AJ53" s="26">
        <f t="shared" si="7"/>
        <v>18.055555555554715</v>
      </c>
      <c r="AK53" s="26">
        <f t="shared" si="7"/>
        <v>19.444444444445306</v>
      </c>
    </row>
    <row r="54" spans="4:37" ht="20.100000000000001" customHeight="1">
      <c r="D54" s="27">
        <f t="shared" si="3"/>
        <v>0.14166666666666666</v>
      </c>
      <c r="E54" s="16">
        <f t="shared" si="11"/>
        <v>40.516666666665785</v>
      </c>
      <c r="F54" s="16">
        <f t="shared" si="11"/>
        <v>42.783333333330489</v>
      </c>
      <c r="G54" s="16">
        <f t="shared" si="11"/>
        <v>44.199999999998873</v>
      </c>
      <c r="H54" s="17">
        <f t="shared" si="11"/>
        <v>37.683333333334573</v>
      </c>
      <c r="I54" s="17">
        <f t="shared" si="11"/>
        <v>39.949999999999648</v>
      </c>
      <c r="J54" s="17">
        <f t="shared" si="10"/>
        <v>41.366666666666632</v>
      </c>
      <c r="K54" s="18">
        <f t="shared" si="10"/>
        <v>34.849999999999135</v>
      </c>
      <c r="L54" s="18">
        <f t="shared" si="10"/>
        <v>37.116666666665353</v>
      </c>
      <c r="M54" s="18">
        <f t="shared" si="10"/>
        <v>38.533333333332806</v>
      </c>
      <c r="N54" s="19">
        <f t="shared" si="10"/>
        <v>26.066666666666244</v>
      </c>
      <c r="O54" s="19">
        <f t="shared" si="10"/>
        <v>28.333333333334679</v>
      </c>
      <c r="P54" s="19">
        <f t="shared" si="10"/>
        <v>29.749999999999069</v>
      </c>
      <c r="Q54" s="20">
        <f t="shared" si="10"/>
        <v>24.650000000001057</v>
      </c>
      <c r="R54" s="20">
        <f t="shared" si="10"/>
        <v>26.916666666668114</v>
      </c>
      <c r="S54" s="20">
        <f t="shared" si="10"/>
        <v>28.333333333334679</v>
      </c>
      <c r="T54" s="21">
        <f t="shared" si="10"/>
        <v>23.233333333334841</v>
      </c>
      <c r="U54" s="21">
        <f t="shared" si="8"/>
        <v>25.5</v>
      </c>
      <c r="V54" s="21">
        <f t="shared" si="8"/>
        <v>26.916666666668114</v>
      </c>
      <c r="W54" s="22">
        <f t="shared" si="8"/>
        <v>21.816666666666862</v>
      </c>
      <c r="X54" s="22">
        <f t="shared" si="8"/>
        <v>24.083333333331986</v>
      </c>
      <c r="Y54" s="22">
        <f t="shared" si="8"/>
        <v>25.5</v>
      </c>
      <c r="Z54" s="23">
        <f t="shared" si="8"/>
        <v>20.399999999999025</v>
      </c>
      <c r="AA54" s="23">
        <f t="shared" si="8"/>
        <v>22.666666666666146</v>
      </c>
      <c r="AB54" s="23">
        <f t="shared" si="8"/>
        <v>24.083333333331986</v>
      </c>
      <c r="AC54" s="24">
        <f t="shared" si="8"/>
        <v>18.983333333333665</v>
      </c>
      <c r="AD54" s="24">
        <f t="shared" si="8"/>
        <v>21.249999999999915</v>
      </c>
      <c r="AE54" s="24">
        <f t="shared" si="8"/>
        <v>22.666666666666146</v>
      </c>
      <c r="AF54" s="25">
        <f t="shared" si="8"/>
        <v>17.566666666666208</v>
      </c>
      <c r="AG54" s="25">
        <f t="shared" si="8"/>
        <v>19.833333333334195</v>
      </c>
      <c r="AH54" s="25">
        <f t="shared" si="7"/>
        <v>21.249999999999915</v>
      </c>
      <c r="AI54" s="26">
        <f t="shared" si="7"/>
        <v>16.150000000000272</v>
      </c>
      <c r="AJ54" s="26">
        <f t="shared" si="7"/>
        <v>18.416666666665826</v>
      </c>
      <c r="AK54" s="26">
        <f t="shared" si="7"/>
        <v>19.833333333334195</v>
      </c>
    </row>
    <row r="55" spans="4:37" ht="20.100000000000001" customHeight="1">
      <c r="D55" s="27">
        <f t="shared" si="3"/>
        <v>0.14444444444444443</v>
      </c>
      <c r="E55" s="16">
        <f t="shared" si="11"/>
        <v>41.311111111110229</v>
      </c>
      <c r="F55" s="16">
        <f t="shared" si="11"/>
        <v>43.622222222219378</v>
      </c>
      <c r="G55" s="16">
        <f t="shared" si="11"/>
        <v>45.06666666666554</v>
      </c>
      <c r="H55" s="17">
        <f t="shared" si="11"/>
        <v>38.422222222223461</v>
      </c>
      <c r="I55" s="17">
        <f t="shared" si="11"/>
        <v>40.733333333332979</v>
      </c>
      <c r="J55" s="17">
        <f t="shared" si="10"/>
        <v>42.177777777777742</v>
      </c>
      <c r="K55" s="18">
        <f t="shared" si="10"/>
        <v>35.533333333332465</v>
      </c>
      <c r="L55" s="18">
        <f t="shared" si="10"/>
        <v>37.844444444443127</v>
      </c>
      <c r="M55" s="18">
        <f t="shared" si="10"/>
        <v>39.288888888888359</v>
      </c>
      <c r="N55" s="19">
        <f t="shared" si="10"/>
        <v>26.577777777777357</v>
      </c>
      <c r="O55" s="19">
        <f t="shared" si="10"/>
        <v>28.888888888890236</v>
      </c>
      <c r="P55" s="19">
        <f t="shared" si="10"/>
        <v>30.333333333332401</v>
      </c>
      <c r="Q55" s="20">
        <f t="shared" si="10"/>
        <v>25.133333333334392</v>
      </c>
      <c r="R55" s="20">
        <f t="shared" si="10"/>
        <v>27.444444444445892</v>
      </c>
      <c r="S55" s="20">
        <f t="shared" si="10"/>
        <v>28.888888888890236</v>
      </c>
      <c r="T55" s="21">
        <f t="shared" si="10"/>
        <v>23.688888888890396</v>
      </c>
      <c r="U55" s="21">
        <f t="shared" si="8"/>
        <v>26</v>
      </c>
      <c r="V55" s="21">
        <f t="shared" si="8"/>
        <v>27.444444444445892</v>
      </c>
      <c r="W55" s="22">
        <f t="shared" si="8"/>
        <v>22.244444444444639</v>
      </c>
      <c r="X55" s="22">
        <f t="shared" si="8"/>
        <v>24.555555555554207</v>
      </c>
      <c r="Y55" s="22">
        <f t="shared" si="8"/>
        <v>26</v>
      </c>
      <c r="Z55" s="23">
        <f t="shared" si="8"/>
        <v>20.799999999999024</v>
      </c>
      <c r="AA55" s="23">
        <f t="shared" ref="AA55:AK85" si="12">AA56-(AA$363/360)</f>
        <v>23.111111111110588</v>
      </c>
      <c r="AB55" s="23">
        <f t="shared" si="12"/>
        <v>24.555555555554207</v>
      </c>
      <c r="AC55" s="24">
        <f t="shared" si="12"/>
        <v>19.355555555555888</v>
      </c>
      <c r="AD55" s="24">
        <f t="shared" si="12"/>
        <v>21.666666666666583</v>
      </c>
      <c r="AE55" s="24">
        <f t="shared" si="12"/>
        <v>23.111111111110588</v>
      </c>
      <c r="AF55" s="25">
        <f t="shared" si="12"/>
        <v>17.911111111110653</v>
      </c>
      <c r="AG55" s="25">
        <f t="shared" si="12"/>
        <v>20.222222222223085</v>
      </c>
      <c r="AH55" s="25">
        <f t="shared" si="7"/>
        <v>21.666666666666583</v>
      </c>
      <c r="AI55" s="26">
        <f t="shared" si="7"/>
        <v>16.466666666666939</v>
      </c>
      <c r="AJ55" s="26">
        <f t="shared" si="7"/>
        <v>18.777777777776937</v>
      </c>
      <c r="AK55" s="26">
        <f t="shared" si="7"/>
        <v>20.222222222223085</v>
      </c>
    </row>
    <row r="56" spans="4:37" ht="20.100000000000001" customHeight="1">
      <c r="D56" s="27">
        <f t="shared" si="3"/>
        <v>0.1472222222222222</v>
      </c>
      <c r="E56" s="16">
        <f t="shared" si="11"/>
        <v>42.105555555554673</v>
      </c>
      <c r="F56" s="16">
        <f t="shared" si="11"/>
        <v>44.461111111108266</v>
      </c>
      <c r="G56" s="16">
        <f t="shared" si="11"/>
        <v>45.933333333332207</v>
      </c>
      <c r="H56" s="17">
        <f t="shared" si="11"/>
        <v>39.161111111112348</v>
      </c>
      <c r="I56" s="17">
        <f t="shared" si="11"/>
        <v>41.51666666666631</v>
      </c>
      <c r="J56" s="17">
        <f t="shared" si="10"/>
        <v>42.988888888888852</v>
      </c>
      <c r="K56" s="18">
        <f t="shared" si="10"/>
        <v>36.216666666665795</v>
      </c>
      <c r="L56" s="18">
        <f t="shared" si="10"/>
        <v>38.572222222220901</v>
      </c>
      <c r="M56" s="18">
        <f t="shared" si="10"/>
        <v>40.044444444443911</v>
      </c>
      <c r="N56" s="19">
        <f t="shared" si="10"/>
        <v>27.088888888888469</v>
      </c>
      <c r="O56" s="19">
        <f t="shared" si="10"/>
        <v>29.444444444445793</v>
      </c>
      <c r="P56" s="19">
        <f t="shared" si="10"/>
        <v>30.916666666665733</v>
      </c>
      <c r="Q56" s="20">
        <f t="shared" si="10"/>
        <v>25.616666666667726</v>
      </c>
      <c r="R56" s="20">
        <f t="shared" si="10"/>
        <v>27.972222222223671</v>
      </c>
      <c r="S56" s="20">
        <f t="shared" si="10"/>
        <v>29.444444444445793</v>
      </c>
      <c r="T56" s="21">
        <f t="shared" si="10"/>
        <v>24.144444444445952</v>
      </c>
      <c r="U56" s="21">
        <f t="shared" si="10"/>
        <v>26.5</v>
      </c>
      <c r="V56" s="21">
        <f t="shared" si="10"/>
        <v>27.972222222223671</v>
      </c>
      <c r="W56" s="22">
        <f t="shared" si="10"/>
        <v>22.672222222222416</v>
      </c>
      <c r="X56" s="22">
        <f t="shared" si="10"/>
        <v>25.027777777776429</v>
      </c>
      <c r="Y56" s="22">
        <f t="shared" si="10"/>
        <v>26.5</v>
      </c>
      <c r="Z56" s="23">
        <f t="shared" ref="Z56:Z68" si="13">Z57-(Z$363/360)</f>
        <v>21.199999999999022</v>
      </c>
      <c r="AA56" s="23">
        <f t="shared" si="12"/>
        <v>23.555555555555031</v>
      </c>
      <c r="AB56" s="23">
        <f t="shared" si="12"/>
        <v>25.027777777776429</v>
      </c>
      <c r="AC56" s="24">
        <f t="shared" si="12"/>
        <v>19.727777777778112</v>
      </c>
      <c r="AD56" s="24">
        <f t="shared" si="12"/>
        <v>22.08333333333325</v>
      </c>
      <c r="AE56" s="24">
        <f t="shared" si="12"/>
        <v>23.555555555555031</v>
      </c>
      <c r="AF56" s="25">
        <f t="shared" si="12"/>
        <v>18.255555555555098</v>
      </c>
      <c r="AG56" s="25">
        <f t="shared" si="12"/>
        <v>20.611111111111974</v>
      </c>
      <c r="AH56" s="25">
        <f t="shared" si="7"/>
        <v>22.08333333333325</v>
      </c>
      <c r="AI56" s="26">
        <f t="shared" si="7"/>
        <v>16.783333333333605</v>
      </c>
      <c r="AJ56" s="26">
        <f t="shared" si="7"/>
        <v>19.138888888888047</v>
      </c>
      <c r="AK56" s="26">
        <f t="shared" si="7"/>
        <v>20.611111111111974</v>
      </c>
    </row>
    <row r="57" spans="4:37" ht="20.100000000000001" customHeight="1">
      <c r="D57" s="27">
        <f t="shared" si="3"/>
        <v>0.14999999999999997</v>
      </c>
      <c r="E57" s="16">
        <f t="shared" si="11"/>
        <v>42.899999999999118</v>
      </c>
      <c r="F57" s="16">
        <f t="shared" si="11"/>
        <v>45.299999999997155</v>
      </c>
      <c r="G57" s="16">
        <f t="shared" si="11"/>
        <v>46.799999999998875</v>
      </c>
      <c r="H57" s="17">
        <f t="shared" si="11"/>
        <v>39.900000000001235</v>
      </c>
      <c r="I57" s="17">
        <f t="shared" si="11"/>
        <v>42.299999999999642</v>
      </c>
      <c r="J57" s="17">
        <f t="shared" si="10"/>
        <v>43.799999999999962</v>
      </c>
      <c r="K57" s="18">
        <f t="shared" si="10"/>
        <v>36.899999999999125</v>
      </c>
      <c r="L57" s="18">
        <f t="shared" si="10"/>
        <v>39.299999999998676</v>
      </c>
      <c r="M57" s="18">
        <f t="shared" si="10"/>
        <v>40.799999999999464</v>
      </c>
      <c r="N57" s="19">
        <f t="shared" si="10"/>
        <v>27.599999999999582</v>
      </c>
      <c r="O57" s="19">
        <f t="shared" si="10"/>
        <v>30.00000000000135</v>
      </c>
      <c r="P57" s="19">
        <f t="shared" si="10"/>
        <v>31.499999999999066</v>
      </c>
      <c r="Q57" s="20">
        <f t="shared" si="10"/>
        <v>26.10000000000106</v>
      </c>
      <c r="R57" s="20">
        <f t="shared" si="10"/>
        <v>28.50000000000145</v>
      </c>
      <c r="S57" s="20">
        <f t="shared" si="10"/>
        <v>30.00000000000135</v>
      </c>
      <c r="T57" s="21">
        <f t="shared" si="10"/>
        <v>24.600000000001508</v>
      </c>
      <c r="U57" s="21">
        <f t="shared" si="10"/>
        <v>27</v>
      </c>
      <c r="V57" s="21">
        <f t="shared" si="10"/>
        <v>28.50000000000145</v>
      </c>
      <c r="W57" s="22">
        <f t="shared" si="10"/>
        <v>23.100000000000193</v>
      </c>
      <c r="X57" s="22">
        <f t="shared" si="10"/>
        <v>25.49999999999865</v>
      </c>
      <c r="Y57" s="22">
        <f t="shared" si="10"/>
        <v>27</v>
      </c>
      <c r="Z57" s="23">
        <f t="shared" si="13"/>
        <v>21.599999999999021</v>
      </c>
      <c r="AA57" s="23">
        <f t="shared" si="12"/>
        <v>23.999999999999474</v>
      </c>
      <c r="AB57" s="23">
        <f t="shared" si="12"/>
        <v>25.49999999999865</v>
      </c>
      <c r="AC57" s="24">
        <f t="shared" si="12"/>
        <v>20.100000000000335</v>
      </c>
      <c r="AD57" s="24">
        <f t="shared" si="12"/>
        <v>22.499999999999918</v>
      </c>
      <c r="AE57" s="24">
        <f t="shared" si="12"/>
        <v>23.999999999999474</v>
      </c>
      <c r="AF57" s="25">
        <f t="shared" si="12"/>
        <v>18.599999999999543</v>
      </c>
      <c r="AG57" s="25">
        <f t="shared" si="12"/>
        <v>21.000000000000863</v>
      </c>
      <c r="AH57" s="25">
        <f t="shared" si="7"/>
        <v>22.499999999999918</v>
      </c>
      <c r="AI57" s="26">
        <f t="shared" si="7"/>
        <v>17.100000000000271</v>
      </c>
      <c r="AJ57" s="26">
        <f t="shared" si="7"/>
        <v>19.499999999999158</v>
      </c>
      <c r="AK57" s="26">
        <f t="shared" si="7"/>
        <v>21.000000000000863</v>
      </c>
    </row>
    <row r="58" spans="4:37" ht="20.100000000000001" customHeight="1">
      <c r="D58" s="27">
        <f t="shared" si="3"/>
        <v>0.15277777777777773</v>
      </c>
      <c r="E58" s="16">
        <f t="shared" si="11"/>
        <v>43.694444444443562</v>
      </c>
      <c r="F58" s="16">
        <f t="shared" si="11"/>
        <v>46.138888888886044</v>
      </c>
      <c r="G58" s="16">
        <f t="shared" si="11"/>
        <v>47.666666666665542</v>
      </c>
      <c r="H58" s="17">
        <f t="shared" si="11"/>
        <v>40.638888888890122</v>
      </c>
      <c r="I58" s="17">
        <f t="shared" si="11"/>
        <v>43.083333333332973</v>
      </c>
      <c r="J58" s="17">
        <f t="shared" si="10"/>
        <v>44.611111111111072</v>
      </c>
      <c r="K58" s="18">
        <f t="shared" si="10"/>
        <v>37.583333333332455</v>
      </c>
      <c r="L58" s="18">
        <f t="shared" si="10"/>
        <v>40.02777777777645</v>
      </c>
      <c r="M58" s="18">
        <f t="shared" si="10"/>
        <v>41.555555555555017</v>
      </c>
      <c r="N58" s="19">
        <f t="shared" si="10"/>
        <v>28.111111111110695</v>
      </c>
      <c r="O58" s="19">
        <f t="shared" si="10"/>
        <v>30.555555555556907</v>
      </c>
      <c r="P58" s="19">
        <f t="shared" si="10"/>
        <v>32.083333333332398</v>
      </c>
      <c r="Q58" s="20">
        <f t="shared" si="10"/>
        <v>26.583333333334394</v>
      </c>
      <c r="R58" s="20">
        <f t="shared" si="10"/>
        <v>29.027777777779228</v>
      </c>
      <c r="S58" s="20">
        <f t="shared" si="10"/>
        <v>30.555555555556907</v>
      </c>
      <c r="T58" s="21">
        <f t="shared" si="10"/>
        <v>25.055555555557063</v>
      </c>
      <c r="U58" s="21">
        <f t="shared" si="10"/>
        <v>27.5</v>
      </c>
      <c r="V58" s="21">
        <f t="shared" si="10"/>
        <v>29.027777777779228</v>
      </c>
      <c r="W58" s="22">
        <f t="shared" si="10"/>
        <v>23.52777777777797</v>
      </c>
      <c r="X58" s="22">
        <f t="shared" si="10"/>
        <v>25.972222222220871</v>
      </c>
      <c r="Y58" s="22">
        <f t="shared" si="10"/>
        <v>27.5</v>
      </c>
      <c r="Z58" s="23">
        <f t="shared" si="13"/>
        <v>21.999999999999019</v>
      </c>
      <c r="AA58" s="23">
        <f t="shared" si="12"/>
        <v>24.444444444443917</v>
      </c>
      <c r="AB58" s="23">
        <f t="shared" si="12"/>
        <v>25.972222222220871</v>
      </c>
      <c r="AC58" s="24">
        <f t="shared" si="12"/>
        <v>20.472222222222559</v>
      </c>
      <c r="AD58" s="24">
        <f t="shared" si="12"/>
        <v>22.916666666666586</v>
      </c>
      <c r="AE58" s="24">
        <f t="shared" si="12"/>
        <v>24.444444444443917</v>
      </c>
      <c r="AF58" s="25">
        <f t="shared" si="12"/>
        <v>18.944444444443988</v>
      </c>
      <c r="AG58" s="25">
        <f t="shared" si="12"/>
        <v>21.388888888889753</v>
      </c>
      <c r="AH58" s="25">
        <f t="shared" si="7"/>
        <v>22.916666666666586</v>
      </c>
      <c r="AI58" s="26">
        <f t="shared" si="7"/>
        <v>17.416666666666938</v>
      </c>
      <c r="AJ58" s="26">
        <f t="shared" si="7"/>
        <v>19.861111111110269</v>
      </c>
      <c r="AK58" s="26">
        <f t="shared" si="7"/>
        <v>21.388888888889753</v>
      </c>
    </row>
    <row r="59" spans="4:37" ht="20.100000000000001" customHeight="1">
      <c r="D59" s="27">
        <f t="shared" si="3"/>
        <v>0.1555555555555555</v>
      </c>
      <c r="E59" s="16">
        <f t="shared" si="11"/>
        <v>44.488888888888006</v>
      </c>
      <c r="F59" s="16">
        <f t="shared" si="11"/>
        <v>46.977777777774932</v>
      </c>
      <c r="G59" s="16">
        <f t="shared" si="11"/>
        <v>48.533333333332209</v>
      </c>
      <c r="H59" s="17">
        <f t="shared" si="11"/>
        <v>41.377777777779009</v>
      </c>
      <c r="I59" s="17">
        <f t="shared" si="11"/>
        <v>43.866666666666305</v>
      </c>
      <c r="J59" s="17">
        <f t="shared" si="10"/>
        <v>45.422222222222182</v>
      </c>
      <c r="K59" s="18">
        <f t="shared" si="10"/>
        <v>38.266666666665785</v>
      </c>
      <c r="L59" s="18">
        <f t="shared" si="10"/>
        <v>40.755555555554224</v>
      </c>
      <c r="M59" s="18">
        <f t="shared" si="10"/>
        <v>42.31111111111057</v>
      </c>
      <c r="N59" s="19">
        <f t="shared" si="10"/>
        <v>28.622222222221808</v>
      </c>
      <c r="O59" s="19">
        <f t="shared" si="10"/>
        <v>31.111111111112464</v>
      </c>
      <c r="P59" s="19">
        <f t="shared" si="10"/>
        <v>32.666666666665733</v>
      </c>
      <c r="Q59" s="20">
        <f t="shared" si="10"/>
        <v>27.066666666667729</v>
      </c>
      <c r="R59" s="20">
        <f t="shared" si="10"/>
        <v>29.555555555557007</v>
      </c>
      <c r="S59" s="20">
        <f t="shared" si="10"/>
        <v>31.111111111112464</v>
      </c>
      <c r="T59" s="21">
        <f t="shared" si="10"/>
        <v>25.511111111112619</v>
      </c>
      <c r="U59" s="21">
        <f t="shared" si="10"/>
        <v>28</v>
      </c>
      <c r="V59" s="21">
        <f t="shared" si="10"/>
        <v>29.555555555557007</v>
      </c>
      <c r="W59" s="22">
        <f t="shared" si="10"/>
        <v>23.955555555555748</v>
      </c>
      <c r="X59" s="22">
        <f t="shared" si="10"/>
        <v>26.444444444443093</v>
      </c>
      <c r="Y59" s="22">
        <f t="shared" si="10"/>
        <v>28</v>
      </c>
      <c r="Z59" s="23">
        <f t="shared" si="13"/>
        <v>22.399999999999018</v>
      </c>
      <c r="AA59" s="23">
        <f t="shared" si="12"/>
        <v>24.88888888888836</v>
      </c>
      <c r="AB59" s="23">
        <f t="shared" si="12"/>
        <v>26.444444444443093</v>
      </c>
      <c r="AC59" s="24">
        <f t="shared" si="12"/>
        <v>20.844444444444783</v>
      </c>
      <c r="AD59" s="24">
        <f t="shared" si="12"/>
        <v>23.333333333333254</v>
      </c>
      <c r="AE59" s="24">
        <f t="shared" si="12"/>
        <v>24.88888888888836</v>
      </c>
      <c r="AF59" s="25">
        <f t="shared" si="12"/>
        <v>19.288888888888433</v>
      </c>
      <c r="AG59" s="25">
        <f t="shared" si="12"/>
        <v>21.777777777778642</v>
      </c>
      <c r="AH59" s="25">
        <f t="shared" si="7"/>
        <v>23.333333333333254</v>
      </c>
      <c r="AI59" s="26">
        <f t="shared" si="7"/>
        <v>17.733333333333604</v>
      </c>
      <c r="AJ59" s="26">
        <f t="shared" si="7"/>
        <v>20.222222222221379</v>
      </c>
      <c r="AK59" s="26">
        <f t="shared" si="7"/>
        <v>21.777777777778642</v>
      </c>
    </row>
    <row r="60" spans="4:37" ht="20.100000000000001" customHeight="1">
      <c r="D60" s="27">
        <f t="shared" si="3"/>
        <v>0.15833333333333327</v>
      </c>
      <c r="E60" s="16">
        <f t="shared" si="11"/>
        <v>45.28333333333245</v>
      </c>
      <c r="F60" s="16">
        <f t="shared" si="11"/>
        <v>47.816666666663821</v>
      </c>
      <c r="G60" s="16">
        <f t="shared" si="11"/>
        <v>49.399999999998876</v>
      </c>
      <c r="H60" s="17">
        <f t="shared" si="11"/>
        <v>42.116666666667896</v>
      </c>
      <c r="I60" s="17">
        <f t="shared" si="11"/>
        <v>44.649999999999636</v>
      </c>
      <c r="J60" s="17">
        <f t="shared" si="10"/>
        <v>46.233333333333292</v>
      </c>
      <c r="K60" s="18">
        <f t="shared" si="10"/>
        <v>38.949999999999115</v>
      </c>
      <c r="L60" s="18">
        <f t="shared" si="10"/>
        <v>41.483333333331998</v>
      </c>
      <c r="M60" s="18">
        <f t="shared" si="10"/>
        <v>43.066666666666123</v>
      </c>
      <c r="N60" s="19">
        <f t="shared" si="10"/>
        <v>29.133333333332921</v>
      </c>
      <c r="O60" s="19">
        <f t="shared" si="10"/>
        <v>31.666666666668021</v>
      </c>
      <c r="P60" s="19">
        <f t="shared" si="10"/>
        <v>33.249999999999069</v>
      </c>
      <c r="Q60" s="20">
        <f t="shared" si="10"/>
        <v>27.550000000001063</v>
      </c>
      <c r="R60" s="20">
        <f t="shared" si="10"/>
        <v>30.083333333334785</v>
      </c>
      <c r="S60" s="20">
        <f t="shared" si="10"/>
        <v>31.666666666668021</v>
      </c>
      <c r="T60" s="21">
        <f t="shared" si="10"/>
        <v>25.966666666668175</v>
      </c>
      <c r="U60" s="21">
        <f t="shared" si="10"/>
        <v>28.5</v>
      </c>
      <c r="V60" s="21">
        <f t="shared" si="10"/>
        <v>30.083333333334785</v>
      </c>
      <c r="W60" s="22">
        <f t="shared" si="10"/>
        <v>24.383333333333525</v>
      </c>
      <c r="X60" s="22">
        <f t="shared" si="10"/>
        <v>26.916666666665314</v>
      </c>
      <c r="Y60" s="22">
        <f t="shared" si="10"/>
        <v>28.5</v>
      </c>
      <c r="Z60" s="23">
        <f t="shared" si="13"/>
        <v>22.799999999999017</v>
      </c>
      <c r="AA60" s="23">
        <f t="shared" si="12"/>
        <v>25.333333333332803</v>
      </c>
      <c r="AB60" s="23">
        <f t="shared" si="12"/>
        <v>26.916666666665314</v>
      </c>
      <c r="AC60" s="24">
        <f t="shared" si="12"/>
        <v>21.216666666667006</v>
      </c>
      <c r="AD60" s="24">
        <f t="shared" si="12"/>
        <v>23.749999999999922</v>
      </c>
      <c r="AE60" s="24">
        <f t="shared" si="12"/>
        <v>25.333333333332803</v>
      </c>
      <c r="AF60" s="25">
        <f t="shared" si="12"/>
        <v>19.633333333332878</v>
      </c>
      <c r="AG60" s="25">
        <f t="shared" si="12"/>
        <v>22.166666666667531</v>
      </c>
      <c r="AH60" s="25">
        <f t="shared" si="7"/>
        <v>23.749999999999922</v>
      </c>
      <c r="AI60" s="26">
        <f t="shared" si="7"/>
        <v>18.050000000000271</v>
      </c>
      <c r="AJ60" s="26">
        <f t="shared" si="7"/>
        <v>20.58333333333249</v>
      </c>
      <c r="AK60" s="26">
        <f t="shared" si="7"/>
        <v>22.166666666667531</v>
      </c>
    </row>
    <row r="61" spans="4:37" ht="20.100000000000001" customHeight="1">
      <c r="D61" s="27">
        <f t="shared" si="3"/>
        <v>0.16111111111111104</v>
      </c>
      <c r="E61" s="16">
        <f t="shared" si="11"/>
        <v>46.077777777776895</v>
      </c>
      <c r="F61" s="16">
        <f t="shared" si="11"/>
        <v>48.655555555552709</v>
      </c>
      <c r="G61" s="16">
        <f t="shared" si="11"/>
        <v>50.266666666665543</v>
      </c>
      <c r="H61" s="17">
        <f t="shared" si="11"/>
        <v>42.855555555556784</v>
      </c>
      <c r="I61" s="17">
        <f t="shared" si="11"/>
        <v>45.433333333332968</v>
      </c>
      <c r="J61" s="17">
        <f t="shared" si="10"/>
        <v>47.044444444444402</v>
      </c>
      <c r="K61" s="18">
        <f t="shared" si="10"/>
        <v>39.633333333332445</v>
      </c>
      <c r="L61" s="18">
        <f t="shared" si="10"/>
        <v>42.211111111109773</v>
      </c>
      <c r="M61" s="18">
        <f t="shared" si="10"/>
        <v>43.822222222221676</v>
      </c>
      <c r="N61" s="19">
        <f t="shared" si="10"/>
        <v>29.644444444444034</v>
      </c>
      <c r="O61" s="19">
        <f t="shared" si="10"/>
        <v>32.222222222223579</v>
      </c>
      <c r="P61" s="19">
        <f t="shared" si="10"/>
        <v>33.833333333332405</v>
      </c>
      <c r="Q61" s="20">
        <f t="shared" si="10"/>
        <v>28.033333333334397</v>
      </c>
      <c r="R61" s="20">
        <f t="shared" si="10"/>
        <v>30.611111111112564</v>
      </c>
      <c r="S61" s="20">
        <f t="shared" si="10"/>
        <v>32.222222222223579</v>
      </c>
      <c r="T61" s="21">
        <f t="shared" si="10"/>
        <v>26.422222222223731</v>
      </c>
      <c r="U61" s="21">
        <f t="shared" si="10"/>
        <v>29</v>
      </c>
      <c r="V61" s="21">
        <f t="shared" si="10"/>
        <v>30.611111111112564</v>
      </c>
      <c r="W61" s="22">
        <f t="shared" si="10"/>
        <v>24.811111111111302</v>
      </c>
      <c r="X61" s="22">
        <f t="shared" si="10"/>
        <v>27.388888888887536</v>
      </c>
      <c r="Y61" s="22">
        <f t="shared" si="10"/>
        <v>29</v>
      </c>
      <c r="Z61" s="23">
        <f t="shared" si="13"/>
        <v>23.199999999999015</v>
      </c>
      <c r="AA61" s="23">
        <f t="shared" si="12"/>
        <v>25.777777777777246</v>
      </c>
      <c r="AB61" s="23">
        <f t="shared" si="12"/>
        <v>27.388888888887536</v>
      </c>
      <c r="AC61" s="24">
        <f t="shared" si="12"/>
        <v>21.58888888888923</v>
      </c>
      <c r="AD61" s="24">
        <f t="shared" si="12"/>
        <v>24.16666666666659</v>
      </c>
      <c r="AE61" s="24">
        <f t="shared" si="12"/>
        <v>25.777777777777246</v>
      </c>
      <c r="AF61" s="25">
        <f t="shared" si="12"/>
        <v>19.977777777777323</v>
      </c>
      <c r="AG61" s="25">
        <f t="shared" si="12"/>
        <v>22.55555555555642</v>
      </c>
      <c r="AH61" s="25">
        <f t="shared" si="7"/>
        <v>24.16666666666659</v>
      </c>
      <c r="AI61" s="26">
        <f t="shared" si="7"/>
        <v>18.366666666666937</v>
      </c>
      <c r="AJ61" s="26">
        <f t="shared" si="7"/>
        <v>20.944444444443601</v>
      </c>
      <c r="AK61" s="26">
        <f t="shared" si="7"/>
        <v>22.55555555555642</v>
      </c>
    </row>
    <row r="62" spans="4:37" ht="20.100000000000001" customHeight="1">
      <c r="D62" s="27">
        <f t="shared" si="3"/>
        <v>0.16388888888888881</v>
      </c>
      <c r="E62" s="16">
        <f t="shared" si="11"/>
        <v>46.872222222221339</v>
      </c>
      <c r="F62" s="16">
        <f t="shared" si="11"/>
        <v>49.494444444441598</v>
      </c>
      <c r="G62" s="16">
        <f t="shared" si="11"/>
        <v>51.13333333333221</v>
      </c>
      <c r="H62" s="17">
        <f t="shared" si="11"/>
        <v>43.594444444445671</v>
      </c>
      <c r="I62" s="17">
        <f t="shared" si="11"/>
        <v>46.216666666666299</v>
      </c>
      <c r="J62" s="17">
        <f t="shared" si="10"/>
        <v>47.855555555555512</v>
      </c>
      <c r="K62" s="18">
        <f t="shared" si="10"/>
        <v>40.316666666665775</v>
      </c>
      <c r="L62" s="18">
        <f t="shared" si="10"/>
        <v>42.938888888887547</v>
      </c>
      <c r="M62" s="18">
        <f t="shared" si="10"/>
        <v>44.577777777777229</v>
      </c>
      <c r="N62" s="19">
        <f t="shared" si="10"/>
        <v>30.155555555555146</v>
      </c>
      <c r="O62" s="19">
        <f t="shared" si="10"/>
        <v>32.777777777779136</v>
      </c>
      <c r="P62" s="19">
        <f t="shared" si="10"/>
        <v>34.416666666665741</v>
      </c>
      <c r="Q62" s="20">
        <f t="shared" si="10"/>
        <v>28.516666666667732</v>
      </c>
      <c r="R62" s="20">
        <f t="shared" si="10"/>
        <v>31.138888888890342</v>
      </c>
      <c r="S62" s="20">
        <f t="shared" si="10"/>
        <v>32.777777777779136</v>
      </c>
      <c r="T62" s="21">
        <f t="shared" si="10"/>
        <v>26.877777777779286</v>
      </c>
      <c r="U62" s="21">
        <f t="shared" si="10"/>
        <v>29.5</v>
      </c>
      <c r="V62" s="21">
        <f t="shared" si="10"/>
        <v>31.138888888890342</v>
      </c>
      <c r="W62" s="22">
        <f t="shared" si="10"/>
        <v>25.238888888889079</v>
      </c>
      <c r="X62" s="22">
        <f t="shared" si="10"/>
        <v>27.861111111109757</v>
      </c>
      <c r="Y62" s="22">
        <f t="shared" si="10"/>
        <v>29.5</v>
      </c>
      <c r="Z62" s="23">
        <f t="shared" si="13"/>
        <v>23.599999999999014</v>
      </c>
      <c r="AA62" s="23">
        <f t="shared" si="12"/>
        <v>26.222222222221689</v>
      </c>
      <c r="AB62" s="23">
        <f t="shared" si="12"/>
        <v>27.861111111109757</v>
      </c>
      <c r="AC62" s="24">
        <f t="shared" si="12"/>
        <v>21.961111111111453</v>
      </c>
      <c r="AD62" s="24">
        <f t="shared" si="12"/>
        <v>24.583333333333258</v>
      </c>
      <c r="AE62" s="24">
        <f t="shared" si="12"/>
        <v>26.222222222221689</v>
      </c>
      <c r="AF62" s="25">
        <f t="shared" si="12"/>
        <v>20.322222222221768</v>
      </c>
      <c r="AG62" s="25">
        <f t="shared" si="12"/>
        <v>22.94444444444531</v>
      </c>
      <c r="AH62" s="25">
        <f t="shared" si="7"/>
        <v>24.583333333333258</v>
      </c>
      <c r="AI62" s="26">
        <f t="shared" si="7"/>
        <v>18.683333333333604</v>
      </c>
      <c r="AJ62" s="26">
        <f t="shared" si="7"/>
        <v>21.305555555554712</v>
      </c>
      <c r="AK62" s="26">
        <f t="shared" si="7"/>
        <v>22.94444444444531</v>
      </c>
    </row>
    <row r="63" spans="4:37" ht="20.100000000000001" customHeight="1">
      <c r="D63" s="27">
        <f t="shared" si="3"/>
        <v>0.16666666666666657</v>
      </c>
      <c r="E63" s="16">
        <f t="shared" si="11"/>
        <v>47.666666666665783</v>
      </c>
      <c r="F63" s="16">
        <f t="shared" si="11"/>
        <v>50.333333333330486</v>
      </c>
      <c r="G63" s="16">
        <f t="shared" si="11"/>
        <v>51.999999999998877</v>
      </c>
      <c r="H63" s="17">
        <f t="shared" si="11"/>
        <v>44.333333333334558</v>
      </c>
      <c r="I63" s="17">
        <f t="shared" si="11"/>
        <v>46.999999999999631</v>
      </c>
      <c r="J63" s="17">
        <f t="shared" si="10"/>
        <v>48.666666666666622</v>
      </c>
      <c r="K63" s="18">
        <f t="shared" si="10"/>
        <v>40.999999999999105</v>
      </c>
      <c r="L63" s="18">
        <f t="shared" si="10"/>
        <v>43.666666666665321</v>
      </c>
      <c r="M63" s="18">
        <f t="shared" si="10"/>
        <v>45.333333333332781</v>
      </c>
      <c r="N63" s="19">
        <f t="shared" si="10"/>
        <v>30.666666666666259</v>
      </c>
      <c r="O63" s="19">
        <f t="shared" si="10"/>
        <v>33.333333333334693</v>
      </c>
      <c r="P63" s="19">
        <f t="shared" si="10"/>
        <v>34.999999999999076</v>
      </c>
      <c r="Q63" s="20">
        <f t="shared" si="10"/>
        <v>29.000000000001066</v>
      </c>
      <c r="R63" s="20">
        <f t="shared" si="10"/>
        <v>31.666666666668121</v>
      </c>
      <c r="S63" s="20">
        <f t="shared" si="10"/>
        <v>33.333333333334693</v>
      </c>
      <c r="T63" s="21">
        <f t="shared" si="10"/>
        <v>27.333333333334842</v>
      </c>
      <c r="U63" s="21">
        <f t="shared" si="10"/>
        <v>30</v>
      </c>
      <c r="V63" s="21">
        <f t="shared" si="10"/>
        <v>31.666666666668121</v>
      </c>
      <c r="W63" s="22">
        <f t="shared" si="10"/>
        <v>25.666666666666856</v>
      </c>
      <c r="X63" s="22">
        <f t="shared" si="10"/>
        <v>28.333333333331979</v>
      </c>
      <c r="Y63" s="22">
        <f t="shared" si="10"/>
        <v>30</v>
      </c>
      <c r="Z63" s="23">
        <f t="shared" si="13"/>
        <v>23.999999999999012</v>
      </c>
      <c r="AA63" s="23">
        <f t="shared" si="12"/>
        <v>26.666666666666131</v>
      </c>
      <c r="AB63" s="23">
        <f t="shared" si="12"/>
        <v>28.333333333331979</v>
      </c>
      <c r="AC63" s="24">
        <f t="shared" si="12"/>
        <v>22.333333333333677</v>
      </c>
      <c r="AD63" s="24">
        <f t="shared" si="12"/>
        <v>24.999999999999925</v>
      </c>
      <c r="AE63" s="24">
        <f t="shared" si="12"/>
        <v>26.666666666666131</v>
      </c>
      <c r="AF63" s="25">
        <f t="shared" si="12"/>
        <v>20.666666666666213</v>
      </c>
      <c r="AG63" s="25">
        <f t="shared" si="12"/>
        <v>23.333333333334199</v>
      </c>
      <c r="AH63" s="25">
        <f t="shared" si="7"/>
        <v>24.999999999999925</v>
      </c>
      <c r="AI63" s="26">
        <f t="shared" si="7"/>
        <v>19.00000000000027</v>
      </c>
      <c r="AJ63" s="26">
        <f t="shared" si="7"/>
        <v>21.666666666665822</v>
      </c>
      <c r="AK63" s="26">
        <f t="shared" si="7"/>
        <v>23.333333333334199</v>
      </c>
    </row>
    <row r="64" spans="4:37" ht="20.100000000000001" customHeight="1">
      <c r="D64" s="27">
        <f t="shared" si="3"/>
        <v>0.16944444444444434</v>
      </c>
      <c r="E64" s="16">
        <f t="shared" si="11"/>
        <v>48.461111111110228</v>
      </c>
      <c r="F64" s="16">
        <f t="shared" si="11"/>
        <v>51.172222222219375</v>
      </c>
      <c r="G64" s="16">
        <f t="shared" si="11"/>
        <v>52.866666666665544</v>
      </c>
      <c r="H64" s="17">
        <f t="shared" si="11"/>
        <v>45.072222222223445</v>
      </c>
      <c r="I64" s="17">
        <f t="shared" si="11"/>
        <v>47.783333333332962</v>
      </c>
      <c r="J64" s="17">
        <f t="shared" si="10"/>
        <v>49.477777777777732</v>
      </c>
      <c r="K64" s="18">
        <f t="shared" si="10"/>
        <v>41.683333333332435</v>
      </c>
      <c r="L64" s="18">
        <f t="shared" si="10"/>
        <v>44.394444444443096</v>
      </c>
      <c r="M64" s="18">
        <f t="shared" si="10"/>
        <v>46.088888888888334</v>
      </c>
      <c r="N64" s="19">
        <f t="shared" si="10"/>
        <v>31.177777777777372</v>
      </c>
      <c r="O64" s="19">
        <f t="shared" si="10"/>
        <v>33.88888888889025</v>
      </c>
      <c r="P64" s="19">
        <f t="shared" si="10"/>
        <v>35.583333333332412</v>
      </c>
      <c r="Q64" s="20">
        <f t="shared" si="10"/>
        <v>29.4833333333344</v>
      </c>
      <c r="R64" s="20">
        <f t="shared" si="10"/>
        <v>32.194444444445899</v>
      </c>
      <c r="S64" s="20">
        <f t="shared" si="10"/>
        <v>33.88888888889025</v>
      </c>
      <c r="T64" s="21">
        <f t="shared" si="10"/>
        <v>27.788888888890398</v>
      </c>
      <c r="U64" s="21">
        <f t="shared" si="10"/>
        <v>30.5</v>
      </c>
      <c r="V64" s="21">
        <f t="shared" si="10"/>
        <v>32.194444444445899</v>
      </c>
      <c r="W64" s="22">
        <f t="shared" si="10"/>
        <v>26.094444444444633</v>
      </c>
      <c r="X64" s="22">
        <f t="shared" si="10"/>
        <v>28.8055555555542</v>
      </c>
      <c r="Y64" s="22">
        <f t="shared" si="10"/>
        <v>30.5</v>
      </c>
      <c r="Z64" s="23">
        <f t="shared" si="13"/>
        <v>24.399999999999011</v>
      </c>
      <c r="AA64" s="23">
        <f t="shared" si="12"/>
        <v>27.111111111110574</v>
      </c>
      <c r="AB64" s="23">
        <f t="shared" si="12"/>
        <v>28.8055555555542</v>
      </c>
      <c r="AC64" s="24">
        <f t="shared" si="12"/>
        <v>22.7055555555559</v>
      </c>
      <c r="AD64" s="24">
        <f t="shared" si="12"/>
        <v>25.416666666666593</v>
      </c>
      <c r="AE64" s="24">
        <f t="shared" si="12"/>
        <v>27.111111111110574</v>
      </c>
      <c r="AF64" s="25">
        <f t="shared" si="12"/>
        <v>21.011111111110658</v>
      </c>
      <c r="AG64" s="25">
        <f t="shared" si="12"/>
        <v>23.722222222223088</v>
      </c>
      <c r="AH64" s="25">
        <f t="shared" si="7"/>
        <v>25.416666666666593</v>
      </c>
      <c r="AI64" s="26">
        <f t="shared" si="7"/>
        <v>19.316666666666936</v>
      </c>
      <c r="AJ64" s="26">
        <f t="shared" si="7"/>
        <v>22.027777777776933</v>
      </c>
      <c r="AK64" s="26">
        <f t="shared" si="7"/>
        <v>23.722222222223088</v>
      </c>
    </row>
    <row r="65" spans="4:37" ht="20.100000000000001" customHeight="1">
      <c r="D65" s="27">
        <f t="shared" si="3"/>
        <v>0.17222222222222211</v>
      </c>
      <c r="E65" s="16">
        <f t="shared" si="11"/>
        <v>49.255555555554672</v>
      </c>
      <c r="F65" s="16">
        <f t="shared" si="11"/>
        <v>52.011111111108264</v>
      </c>
      <c r="G65" s="16">
        <f t="shared" si="11"/>
        <v>53.733333333332212</v>
      </c>
      <c r="H65" s="17">
        <f t="shared" si="11"/>
        <v>45.811111111112332</v>
      </c>
      <c r="I65" s="17">
        <f t="shared" si="11"/>
        <v>48.566666666666293</v>
      </c>
      <c r="J65" s="17">
        <f t="shared" si="10"/>
        <v>50.288888888888842</v>
      </c>
      <c r="K65" s="18">
        <f t="shared" si="10"/>
        <v>42.366666666665765</v>
      </c>
      <c r="L65" s="18">
        <f t="shared" si="10"/>
        <v>45.12222222222087</v>
      </c>
      <c r="M65" s="18">
        <f t="shared" si="10"/>
        <v>46.844444444443887</v>
      </c>
      <c r="N65" s="19">
        <f t="shared" si="10"/>
        <v>31.688888888888485</v>
      </c>
      <c r="O65" s="19">
        <f t="shared" si="10"/>
        <v>34.444444444445807</v>
      </c>
      <c r="P65" s="19">
        <f t="shared" si="10"/>
        <v>36.166666666665748</v>
      </c>
      <c r="Q65" s="20">
        <f t="shared" si="10"/>
        <v>29.966666666667734</v>
      </c>
      <c r="R65" s="20">
        <f t="shared" si="10"/>
        <v>32.722222222223678</v>
      </c>
      <c r="S65" s="20">
        <f t="shared" si="10"/>
        <v>34.444444444445807</v>
      </c>
      <c r="T65" s="21">
        <f t="shared" si="10"/>
        <v>28.244444444445953</v>
      </c>
      <c r="U65" s="21">
        <f t="shared" si="10"/>
        <v>31</v>
      </c>
      <c r="V65" s="21">
        <f t="shared" si="10"/>
        <v>32.722222222223678</v>
      </c>
      <c r="W65" s="22">
        <f t="shared" si="10"/>
        <v>26.52222222222241</v>
      </c>
      <c r="X65" s="22">
        <f t="shared" si="10"/>
        <v>29.277777777776421</v>
      </c>
      <c r="Y65" s="22">
        <f t="shared" si="10"/>
        <v>31</v>
      </c>
      <c r="Z65" s="23">
        <f t="shared" si="13"/>
        <v>24.79999999999901</v>
      </c>
      <c r="AA65" s="23">
        <f t="shared" si="12"/>
        <v>27.555555555555017</v>
      </c>
      <c r="AB65" s="23">
        <f t="shared" si="12"/>
        <v>29.277777777776421</v>
      </c>
      <c r="AC65" s="24">
        <f t="shared" si="12"/>
        <v>23.077777777778124</v>
      </c>
      <c r="AD65" s="24">
        <f t="shared" si="12"/>
        <v>25.833333333333261</v>
      </c>
      <c r="AE65" s="24">
        <f t="shared" si="12"/>
        <v>27.555555555555017</v>
      </c>
      <c r="AF65" s="25">
        <f t="shared" si="12"/>
        <v>21.355555555555103</v>
      </c>
      <c r="AG65" s="25">
        <f t="shared" si="12"/>
        <v>24.111111111111978</v>
      </c>
      <c r="AH65" s="25">
        <f t="shared" si="7"/>
        <v>25.833333333333261</v>
      </c>
      <c r="AI65" s="26">
        <f t="shared" si="7"/>
        <v>19.633333333333603</v>
      </c>
      <c r="AJ65" s="26">
        <f t="shared" si="7"/>
        <v>22.388888888888044</v>
      </c>
      <c r="AK65" s="26">
        <f t="shared" si="7"/>
        <v>24.111111111111978</v>
      </c>
    </row>
    <row r="66" spans="4:37" ht="20.100000000000001" customHeight="1">
      <c r="D66" s="27">
        <f t="shared" si="3"/>
        <v>0.17499999999999988</v>
      </c>
      <c r="E66" s="16">
        <f t="shared" si="11"/>
        <v>50.049999999999116</v>
      </c>
      <c r="F66" s="16">
        <f t="shared" si="11"/>
        <v>52.849999999997152</v>
      </c>
      <c r="G66" s="16">
        <f t="shared" si="11"/>
        <v>54.599999999998879</v>
      </c>
      <c r="H66" s="17">
        <f t="shared" si="11"/>
        <v>46.550000000001219</v>
      </c>
      <c r="I66" s="17">
        <f t="shared" si="11"/>
        <v>49.349999999999625</v>
      </c>
      <c r="J66" s="17">
        <f t="shared" si="10"/>
        <v>51.099999999999952</v>
      </c>
      <c r="K66" s="18">
        <f t="shared" si="10"/>
        <v>43.049999999999095</v>
      </c>
      <c r="L66" s="18">
        <f t="shared" si="10"/>
        <v>45.849999999998644</v>
      </c>
      <c r="M66" s="18">
        <f t="shared" si="10"/>
        <v>47.59999999999944</v>
      </c>
      <c r="N66" s="19">
        <f t="shared" si="10"/>
        <v>32.199999999999598</v>
      </c>
      <c r="O66" s="19">
        <f t="shared" si="10"/>
        <v>35.000000000001364</v>
      </c>
      <c r="P66" s="19">
        <f t="shared" si="10"/>
        <v>36.749999999999083</v>
      </c>
      <c r="Q66" s="20">
        <f t="shared" si="10"/>
        <v>30.450000000001069</v>
      </c>
      <c r="R66" s="20">
        <f t="shared" si="10"/>
        <v>33.250000000001457</v>
      </c>
      <c r="S66" s="20">
        <f t="shared" si="10"/>
        <v>35.000000000001364</v>
      </c>
      <c r="T66" s="21">
        <f t="shared" si="10"/>
        <v>28.700000000001509</v>
      </c>
      <c r="U66" s="21">
        <f t="shared" si="10"/>
        <v>31.5</v>
      </c>
      <c r="V66" s="21">
        <f t="shared" si="10"/>
        <v>33.250000000001457</v>
      </c>
      <c r="W66" s="22">
        <f t="shared" si="10"/>
        <v>26.950000000000188</v>
      </c>
      <c r="X66" s="22">
        <f t="shared" si="10"/>
        <v>29.749999999998643</v>
      </c>
      <c r="Y66" s="22">
        <f t="shared" si="10"/>
        <v>31.5</v>
      </c>
      <c r="Z66" s="23">
        <f t="shared" si="13"/>
        <v>25.199999999999008</v>
      </c>
      <c r="AA66" s="23">
        <f t="shared" si="12"/>
        <v>27.99999999999946</v>
      </c>
      <c r="AB66" s="23">
        <f t="shared" si="12"/>
        <v>29.749999999998643</v>
      </c>
      <c r="AC66" s="24">
        <f t="shared" si="12"/>
        <v>23.450000000000347</v>
      </c>
      <c r="AD66" s="24">
        <f t="shared" si="12"/>
        <v>26.249999999999929</v>
      </c>
      <c r="AE66" s="24">
        <f t="shared" si="12"/>
        <v>27.99999999999946</v>
      </c>
      <c r="AF66" s="25">
        <f t="shared" si="12"/>
        <v>21.699999999999548</v>
      </c>
      <c r="AG66" s="25">
        <f t="shared" si="12"/>
        <v>24.500000000000867</v>
      </c>
      <c r="AH66" s="25">
        <f t="shared" si="7"/>
        <v>26.249999999999929</v>
      </c>
      <c r="AI66" s="26">
        <f t="shared" si="7"/>
        <v>19.950000000000269</v>
      </c>
      <c r="AJ66" s="26">
        <f t="shared" si="7"/>
        <v>22.749999999999154</v>
      </c>
      <c r="AK66" s="26">
        <f t="shared" si="7"/>
        <v>24.500000000000867</v>
      </c>
    </row>
    <row r="67" spans="4:37" ht="20.100000000000001" customHeight="1">
      <c r="D67" s="27">
        <f t="shared" si="3"/>
        <v>0.17777777777777765</v>
      </c>
      <c r="E67" s="16">
        <f t="shared" si="11"/>
        <v>50.84444444444356</v>
      </c>
      <c r="F67" s="16">
        <f t="shared" si="11"/>
        <v>53.688888888886041</v>
      </c>
      <c r="G67" s="16">
        <f t="shared" si="11"/>
        <v>55.466666666665546</v>
      </c>
      <c r="H67" s="17">
        <f t="shared" si="11"/>
        <v>47.288888888890106</v>
      </c>
      <c r="I67" s="17">
        <f t="shared" si="11"/>
        <v>50.133333333332956</v>
      </c>
      <c r="J67" s="17">
        <f t="shared" si="10"/>
        <v>51.911111111111062</v>
      </c>
      <c r="K67" s="18">
        <f t="shared" si="10"/>
        <v>43.733333333332425</v>
      </c>
      <c r="L67" s="18">
        <f t="shared" si="10"/>
        <v>46.577777777776419</v>
      </c>
      <c r="M67" s="18">
        <f t="shared" si="10"/>
        <v>48.355555555554993</v>
      </c>
      <c r="N67" s="19">
        <f t="shared" si="10"/>
        <v>32.711111111110711</v>
      </c>
      <c r="O67" s="19">
        <f t="shared" si="10"/>
        <v>35.555555555556921</v>
      </c>
      <c r="P67" s="19">
        <f t="shared" si="10"/>
        <v>37.333333333332419</v>
      </c>
      <c r="Q67" s="20">
        <f t="shared" si="10"/>
        <v>30.933333333334403</v>
      </c>
      <c r="R67" s="20">
        <f t="shared" si="10"/>
        <v>33.777777777779235</v>
      </c>
      <c r="S67" s="20">
        <f t="shared" si="10"/>
        <v>35.555555555556921</v>
      </c>
      <c r="T67" s="21">
        <f t="shared" si="10"/>
        <v>29.155555555557065</v>
      </c>
      <c r="U67" s="21">
        <f t="shared" si="10"/>
        <v>32</v>
      </c>
      <c r="V67" s="21">
        <f t="shared" si="10"/>
        <v>33.777777777779235</v>
      </c>
      <c r="W67" s="22">
        <f t="shared" si="10"/>
        <v>27.377777777777965</v>
      </c>
      <c r="X67" s="22">
        <f t="shared" si="10"/>
        <v>30.222222222220864</v>
      </c>
      <c r="Y67" s="22">
        <f t="shared" si="10"/>
        <v>32</v>
      </c>
      <c r="Z67" s="23">
        <f t="shared" si="13"/>
        <v>25.599999999999007</v>
      </c>
      <c r="AA67" s="23">
        <f t="shared" si="12"/>
        <v>28.444444444443903</v>
      </c>
      <c r="AB67" s="23">
        <f t="shared" si="12"/>
        <v>30.222222222220864</v>
      </c>
      <c r="AC67" s="24">
        <f t="shared" si="12"/>
        <v>23.822222222222571</v>
      </c>
      <c r="AD67" s="24">
        <f t="shared" si="12"/>
        <v>26.666666666666597</v>
      </c>
      <c r="AE67" s="24">
        <f t="shared" si="12"/>
        <v>28.444444444443903</v>
      </c>
      <c r="AF67" s="25">
        <f t="shared" si="12"/>
        <v>22.044444444443993</v>
      </c>
      <c r="AG67" s="25">
        <f t="shared" si="12"/>
        <v>24.888888888889756</v>
      </c>
      <c r="AH67" s="25">
        <f t="shared" si="7"/>
        <v>26.666666666666597</v>
      </c>
      <c r="AI67" s="26">
        <f t="shared" si="7"/>
        <v>20.266666666666936</v>
      </c>
      <c r="AJ67" s="26">
        <f t="shared" si="7"/>
        <v>23.111111111110265</v>
      </c>
      <c r="AK67" s="26">
        <f t="shared" si="7"/>
        <v>24.888888888889756</v>
      </c>
    </row>
    <row r="68" spans="4:37" ht="20.100000000000001" customHeight="1">
      <c r="D68" s="27">
        <f t="shared" si="3"/>
        <v>0.18055555555555541</v>
      </c>
      <c r="E68" s="16">
        <f t="shared" si="11"/>
        <v>51.638888888888005</v>
      </c>
      <c r="F68" s="16">
        <f t="shared" si="11"/>
        <v>54.527777777774929</v>
      </c>
      <c r="G68" s="16">
        <f t="shared" si="11"/>
        <v>56.333333333332213</v>
      </c>
      <c r="H68" s="17">
        <f t="shared" si="11"/>
        <v>48.027777777778994</v>
      </c>
      <c r="I68" s="17">
        <f t="shared" si="11"/>
        <v>50.916666666666288</v>
      </c>
      <c r="J68" s="17">
        <f t="shared" si="10"/>
        <v>52.722222222222172</v>
      </c>
      <c r="K68" s="18">
        <f t="shared" si="10"/>
        <v>44.416666666665755</v>
      </c>
      <c r="L68" s="18">
        <f t="shared" si="10"/>
        <v>47.305555555554193</v>
      </c>
      <c r="M68" s="18">
        <f t="shared" si="10"/>
        <v>49.111111111110546</v>
      </c>
      <c r="N68" s="19">
        <f t="shared" si="10"/>
        <v>33.222222222221824</v>
      </c>
      <c r="O68" s="19">
        <f t="shared" si="10"/>
        <v>36.111111111112479</v>
      </c>
      <c r="P68" s="19">
        <f t="shared" si="10"/>
        <v>37.916666666665755</v>
      </c>
      <c r="Q68" s="20">
        <f t="shared" si="10"/>
        <v>31.416666666667737</v>
      </c>
      <c r="R68" s="20">
        <f t="shared" si="10"/>
        <v>34.305555555557014</v>
      </c>
      <c r="S68" s="20">
        <f t="shared" si="10"/>
        <v>36.111111111112479</v>
      </c>
      <c r="T68" s="21">
        <f t="shared" si="10"/>
        <v>29.611111111112621</v>
      </c>
      <c r="U68" s="21">
        <f t="shared" si="10"/>
        <v>32.5</v>
      </c>
      <c r="V68" s="21">
        <f t="shared" si="10"/>
        <v>34.305555555557014</v>
      </c>
      <c r="W68" s="22">
        <f t="shared" si="10"/>
        <v>27.805555555555742</v>
      </c>
      <c r="X68" s="22">
        <f t="shared" si="10"/>
        <v>30.694444444443086</v>
      </c>
      <c r="Y68" s="22">
        <f t="shared" si="10"/>
        <v>32.5</v>
      </c>
      <c r="Z68" s="23">
        <f t="shared" si="13"/>
        <v>25.999999999999005</v>
      </c>
      <c r="AA68" s="23">
        <f t="shared" si="12"/>
        <v>28.888888888888346</v>
      </c>
      <c r="AB68" s="23">
        <f t="shared" si="12"/>
        <v>30.694444444443086</v>
      </c>
      <c r="AC68" s="24">
        <f t="shared" si="12"/>
        <v>24.194444444444795</v>
      </c>
      <c r="AD68" s="24">
        <f t="shared" si="12"/>
        <v>27.083333333333265</v>
      </c>
      <c r="AE68" s="24">
        <f t="shared" si="12"/>
        <v>28.888888888888346</v>
      </c>
      <c r="AF68" s="25">
        <f t="shared" si="12"/>
        <v>22.388888888888438</v>
      </c>
      <c r="AG68" s="25">
        <f t="shared" si="12"/>
        <v>25.277777777778645</v>
      </c>
      <c r="AH68" s="25">
        <f t="shared" si="7"/>
        <v>27.083333333333265</v>
      </c>
      <c r="AI68" s="26">
        <f t="shared" si="7"/>
        <v>20.583333333333602</v>
      </c>
      <c r="AJ68" s="26">
        <f t="shared" si="7"/>
        <v>23.472222222221376</v>
      </c>
      <c r="AK68" s="26">
        <f t="shared" si="7"/>
        <v>25.277777777778645</v>
      </c>
    </row>
    <row r="69" spans="4:37" ht="20.100000000000001" customHeight="1">
      <c r="D69" s="27">
        <f t="shared" ref="D69:D132" si="14">D68+0.2/72</f>
        <v>0.18333333333333318</v>
      </c>
      <c r="E69" s="16">
        <f t="shared" si="11"/>
        <v>52.433333333332449</v>
      </c>
      <c r="F69" s="16">
        <f t="shared" si="11"/>
        <v>55.366666666663818</v>
      </c>
      <c r="G69" s="16">
        <f t="shared" si="11"/>
        <v>57.19999999999888</v>
      </c>
      <c r="H69" s="17">
        <f t="shared" si="11"/>
        <v>48.766666666667881</v>
      </c>
      <c r="I69" s="17">
        <f t="shared" si="11"/>
        <v>51.699999999999619</v>
      </c>
      <c r="J69" s="17">
        <f t="shared" si="10"/>
        <v>53.533333333333282</v>
      </c>
      <c r="K69" s="18">
        <f t="shared" si="10"/>
        <v>45.099999999999085</v>
      </c>
      <c r="L69" s="18">
        <f t="shared" si="10"/>
        <v>48.033333333331967</v>
      </c>
      <c r="M69" s="18">
        <f t="shared" ref="M69:Z69" si="15">M70-(M$363/360)</f>
        <v>49.866666666666099</v>
      </c>
      <c r="N69" s="19">
        <f t="shared" si="15"/>
        <v>33.733333333332936</v>
      </c>
      <c r="O69" s="19">
        <f t="shared" si="15"/>
        <v>36.666666666668036</v>
      </c>
      <c r="P69" s="19">
        <f t="shared" si="15"/>
        <v>38.499999999999091</v>
      </c>
      <c r="Q69" s="20">
        <f t="shared" si="15"/>
        <v>31.900000000001071</v>
      </c>
      <c r="R69" s="20">
        <f t="shared" si="15"/>
        <v>34.833333333334792</v>
      </c>
      <c r="S69" s="20">
        <f t="shared" si="15"/>
        <v>36.666666666668036</v>
      </c>
      <c r="T69" s="21">
        <f t="shared" si="15"/>
        <v>30.066666666668176</v>
      </c>
      <c r="U69" s="21">
        <f t="shared" si="15"/>
        <v>33</v>
      </c>
      <c r="V69" s="21">
        <f t="shared" si="15"/>
        <v>34.833333333334792</v>
      </c>
      <c r="W69" s="22">
        <f t="shared" si="15"/>
        <v>28.233333333333519</v>
      </c>
      <c r="X69" s="22">
        <f t="shared" si="15"/>
        <v>31.166666666665307</v>
      </c>
      <c r="Y69" s="22">
        <f t="shared" si="15"/>
        <v>33</v>
      </c>
      <c r="Z69" s="23">
        <f t="shared" si="15"/>
        <v>26.399999999999004</v>
      </c>
      <c r="AA69" s="23">
        <f t="shared" si="12"/>
        <v>29.333333333332789</v>
      </c>
      <c r="AB69" s="23">
        <f t="shared" si="12"/>
        <v>31.166666666665307</v>
      </c>
      <c r="AC69" s="24">
        <f t="shared" si="12"/>
        <v>24.566666666667018</v>
      </c>
      <c r="AD69" s="24">
        <f t="shared" si="12"/>
        <v>27.499999999999932</v>
      </c>
      <c r="AE69" s="24">
        <f t="shared" si="12"/>
        <v>29.333333333332789</v>
      </c>
      <c r="AF69" s="25">
        <f t="shared" si="12"/>
        <v>22.733333333332883</v>
      </c>
      <c r="AG69" s="25">
        <f t="shared" si="12"/>
        <v>25.666666666667535</v>
      </c>
      <c r="AH69" s="25">
        <f t="shared" si="7"/>
        <v>27.499999999999932</v>
      </c>
      <c r="AI69" s="26">
        <f t="shared" si="7"/>
        <v>20.900000000000269</v>
      </c>
      <c r="AJ69" s="26">
        <f t="shared" si="7"/>
        <v>23.833333333332487</v>
      </c>
      <c r="AK69" s="26">
        <f t="shared" si="7"/>
        <v>25.666666666667535</v>
      </c>
    </row>
    <row r="70" spans="4:37" ht="20.100000000000001" customHeight="1">
      <c r="D70" s="27">
        <f t="shared" si="14"/>
        <v>0.18611111111111095</v>
      </c>
      <c r="E70" s="16">
        <f t="shared" si="11"/>
        <v>53.227777777776893</v>
      </c>
      <c r="F70" s="16">
        <f t="shared" si="11"/>
        <v>56.205555555552706</v>
      </c>
      <c r="G70" s="16">
        <f t="shared" si="11"/>
        <v>58.066666666665547</v>
      </c>
      <c r="H70" s="17">
        <f t="shared" si="11"/>
        <v>49.505555555556768</v>
      </c>
      <c r="I70" s="17">
        <f t="shared" si="11"/>
        <v>52.483333333332951</v>
      </c>
      <c r="J70" s="17">
        <f t="shared" si="11"/>
        <v>54.344444444444392</v>
      </c>
      <c r="K70" s="18">
        <f t="shared" si="11"/>
        <v>45.783333333332415</v>
      </c>
      <c r="L70" s="18">
        <f t="shared" si="11"/>
        <v>48.761111111109742</v>
      </c>
      <c r="M70" s="18">
        <f t="shared" si="11"/>
        <v>50.622222222221652</v>
      </c>
      <c r="N70" s="19">
        <f t="shared" si="11"/>
        <v>34.244444444444049</v>
      </c>
      <c r="O70" s="19">
        <f t="shared" si="11"/>
        <v>37.222222222223593</v>
      </c>
      <c r="P70" s="19">
        <f t="shared" si="11"/>
        <v>39.083333333332426</v>
      </c>
      <c r="Q70" s="20">
        <f t="shared" si="11"/>
        <v>32.383333333334406</v>
      </c>
      <c r="R70" s="20">
        <f t="shared" si="11"/>
        <v>35.361111111112571</v>
      </c>
      <c r="S70" s="20">
        <f t="shared" si="11"/>
        <v>37.222222222223593</v>
      </c>
      <c r="T70" s="21">
        <f t="shared" si="11"/>
        <v>30.522222222223732</v>
      </c>
      <c r="U70" s="21">
        <f t="shared" ref="U70:U91" si="16">U71-(U$363/360)</f>
        <v>33.5</v>
      </c>
      <c r="V70" s="21">
        <f t="shared" ref="V70:V91" si="17">V71-(V$363/360)</f>
        <v>35.361111111112571</v>
      </c>
      <c r="W70" s="22">
        <f t="shared" ref="W70:W91" si="18">W71-(W$363/360)</f>
        <v>28.661111111111296</v>
      </c>
      <c r="X70" s="22">
        <f t="shared" ref="X70:X91" si="19">X71-(X$363/360)</f>
        <v>31.638888888887529</v>
      </c>
      <c r="Y70" s="22">
        <f t="shared" ref="Y70:Y91" si="20">Y71-(Y$363/360)</f>
        <v>33.5</v>
      </c>
      <c r="Z70" s="23">
        <f t="shared" ref="Z70:Z91" si="21">Z71-(Z$363/360)</f>
        <v>26.799999999999002</v>
      </c>
      <c r="AA70" s="23">
        <f t="shared" si="12"/>
        <v>29.777777777777231</v>
      </c>
      <c r="AB70" s="23">
        <f t="shared" si="12"/>
        <v>31.638888888887529</v>
      </c>
      <c r="AC70" s="24">
        <f t="shared" si="12"/>
        <v>24.938888888889242</v>
      </c>
      <c r="AD70" s="24">
        <f t="shared" si="12"/>
        <v>27.9166666666666</v>
      </c>
      <c r="AE70" s="24">
        <f t="shared" si="12"/>
        <v>29.777777777777231</v>
      </c>
      <c r="AF70" s="25">
        <f t="shared" si="12"/>
        <v>23.077777777777328</v>
      </c>
      <c r="AG70" s="25">
        <f t="shared" si="12"/>
        <v>26.055555555556424</v>
      </c>
      <c r="AH70" s="25">
        <f t="shared" si="7"/>
        <v>27.9166666666666</v>
      </c>
      <c r="AI70" s="26">
        <f t="shared" si="7"/>
        <v>21.216666666666935</v>
      </c>
      <c r="AJ70" s="26">
        <f t="shared" si="7"/>
        <v>24.194444444443597</v>
      </c>
      <c r="AK70" s="26">
        <f t="shared" si="7"/>
        <v>26.055555555556424</v>
      </c>
    </row>
    <row r="71" spans="4:37" ht="20.100000000000001" customHeight="1">
      <c r="D71" s="27">
        <f t="shared" si="14"/>
        <v>0.18888888888888872</v>
      </c>
      <c r="E71" s="16">
        <f t="shared" si="11"/>
        <v>54.022222222221338</v>
      </c>
      <c r="F71" s="16">
        <f t="shared" si="11"/>
        <v>57.044444444441595</v>
      </c>
      <c r="G71" s="16">
        <f t="shared" si="11"/>
        <v>58.933333333332214</v>
      </c>
      <c r="H71" s="17">
        <f t="shared" si="11"/>
        <v>50.244444444445655</v>
      </c>
      <c r="I71" s="17">
        <f t="shared" si="11"/>
        <v>53.266666666666282</v>
      </c>
      <c r="J71" s="17">
        <f t="shared" si="11"/>
        <v>55.155555555555502</v>
      </c>
      <c r="K71" s="18">
        <f t="shared" si="11"/>
        <v>46.466666666665745</v>
      </c>
      <c r="L71" s="18">
        <f t="shared" si="11"/>
        <v>49.488888888887516</v>
      </c>
      <c r="M71" s="18">
        <f t="shared" si="11"/>
        <v>51.377777777777204</v>
      </c>
      <c r="N71" s="19">
        <f t="shared" si="11"/>
        <v>34.755555555555162</v>
      </c>
      <c r="O71" s="19">
        <f t="shared" si="11"/>
        <v>37.77777777777915</v>
      </c>
      <c r="P71" s="19">
        <f t="shared" si="11"/>
        <v>39.666666666665762</v>
      </c>
      <c r="Q71" s="20">
        <f t="shared" si="11"/>
        <v>32.86666666666774</v>
      </c>
      <c r="R71" s="20">
        <f t="shared" si="11"/>
        <v>35.888888888890349</v>
      </c>
      <c r="S71" s="20">
        <f t="shared" si="11"/>
        <v>37.77777777777915</v>
      </c>
      <c r="T71" s="21">
        <f t="shared" si="11"/>
        <v>30.977777777779288</v>
      </c>
      <c r="U71" s="21">
        <f t="shared" si="16"/>
        <v>34</v>
      </c>
      <c r="V71" s="21">
        <f t="shared" si="17"/>
        <v>35.888888888890349</v>
      </c>
      <c r="W71" s="22">
        <f t="shared" si="18"/>
        <v>29.088888888889073</v>
      </c>
      <c r="X71" s="22">
        <f t="shared" si="19"/>
        <v>32.11111111110975</v>
      </c>
      <c r="Y71" s="22">
        <f t="shared" si="20"/>
        <v>34</v>
      </c>
      <c r="Z71" s="23">
        <f t="shared" si="21"/>
        <v>27.199999999999001</v>
      </c>
      <c r="AA71" s="23">
        <f t="shared" si="12"/>
        <v>30.222222222221674</v>
      </c>
      <c r="AB71" s="23">
        <f t="shared" si="12"/>
        <v>32.11111111110975</v>
      </c>
      <c r="AC71" s="24">
        <f t="shared" si="12"/>
        <v>25.311111111111465</v>
      </c>
      <c r="AD71" s="24">
        <f t="shared" si="12"/>
        <v>28.333333333333268</v>
      </c>
      <c r="AE71" s="24">
        <f t="shared" si="12"/>
        <v>30.222222222221674</v>
      </c>
      <c r="AF71" s="25">
        <f t="shared" si="12"/>
        <v>23.422222222221773</v>
      </c>
      <c r="AG71" s="25">
        <f t="shared" si="12"/>
        <v>26.444444444445313</v>
      </c>
      <c r="AH71" s="25">
        <f t="shared" si="12"/>
        <v>28.333333333333268</v>
      </c>
      <c r="AI71" s="26">
        <f t="shared" si="12"/>
        <v>21.533333333333601</v>
      </c>
      <c r="AJ71" s="26">
        <f t="shared" si="12"/>
        <v>24.555555555554708</v>
      </c>
      <c r="AK71" s="26">
        <f t="shared" si="12"/>
        <v>26.444444444445313</v>
      </c>
    </row>
    <row r="72" spans="4:37" ht="20.100000000000001" customHeight="1">
      <c r="D72" s="27">
        <f t="shared" si="14"/>
        <v>0.19166666666666649</v>
      </c>
      <c r="E72" s="16">
        <f t="shared" si="11"/>
        <v>54.816666666665782</v>
      </c>
      <c r="F72" s="16">
        <f t="shared" si="11"/>
        <v>57.883333333330484</v>
      </c>
      <c r="G72" s="16">
        <f t="shared" si="11"/>
        <v>59.799999999998882</v>
      </c>
      <c r="H72" s="17">
        <f t="shared" si="11"/>
        <v>50.983333333334542</v>
      </c>
      <c r="I72" s="17">
        <f t="shared" si="11"/>
        <v>54.049999999999613</v>
      </c>
      <c r="J72" s="17">
        <f t="shared" si="11"/>
        <v>55.966666666666612</v>
      </c>
      <c r="K72" s="18">
        <f t="shared" si="11"/>
        <v>47.149999999999075</v>
      </c>
      <c r="L72" s="18">
        <f t="shared" si="11"/>
        <v>50.21666666666529</v>
      </c>
      <c r="M72" s="18">
        <f t="shared" si="11"/>
        <v>52.133333333332757</v>
      </c>
      <c r="N72" s="19">
        <f t="shared" si="11"/>
        <v>35.266666666666275</v>
      </c>
      <c r="O72" s="19">
        <f t="shared" si="11"/>
        <v>38.333333333334707</v>
      </c>
      <c r="P72" s="19">
        <f t="shared" si="11"/>
        <v>40.249999999999098</v>
      </c>
      <c r="Q72" s="20">
        <f t="shared" si="11"/>
        <v>33.350000000001074</v>
      </c>
      <c r="R72" s="20">
        <f t="shared" si="11"/>
        <v>36.416666666668128</v>
      </c>
      <c r="S72" s="20">
        <f t="shared" si="11"/>
        <v>38.333333333334707</v>
      </c>
      <c r="T72" s="21">
        <f t="shared" si="11"/>
        <v>31.433333333334843</v>
      </c>
      <c r="U72" s="21">
        <f t="shared" si="16"/>
        <v>34.5</v>
      </c>
      <c r="V72" s="21">
        <f t="shared" si="17"/>
        <v>36.416666666668128</v>
      </c>
      <c r="W72" s="22">
        <f t="shared" si="18"/>
        <v>29.51666666666685</v>
      </c>
      <c r="X72" s="22">
        <f t="shared" si="19"/>
        <v>32.583333333331971</v>
      </c>
      <c r="Y72" s="22">
        <f t="shared" si="20"/>
        <v>34.5</v>
      </c>
      <c r="Z72" s="23">
        <f t="shared" si="21"/>
        <v>27.599999999999</v>
      </c>
      <c r="AA72" s="23">
        <f t="shared" si="12"/>
        <v>30.666666666666117</v>
      </c>
      <c r="AB72" s="23">
        <f t="shared" si="12"/>
        <v>32.583333333331971</v>
      </c>
      <c r="AC72" s="24">
        <f t="shared" si="12"/>
        <v>25.683333333333689</v>
      </c>
      <c r="AD72" s="24">
        <f t="shared" si="12"/>
        <v>28.749999999999936</v>
      </c>
      <c r="AE72" s="24">
        <f t="shared" si="12"/>
        <v>30.666666666666117</v>
      </c>
      <c r="AF72" s="25">
        <f t="shared" si="12"/>
        <v>23.766666666666218</v>
      </c>
      <c r="AG72" s="25">
        <f t="shared" si="12"/>
        <v>26.833333333334203</v>
      </c>
      <c r="AH72" s="25">
        <f t="shared" si="12"/>
        <v>28.749999999999936</v>
      </c>
      <c r="AI72" s="26">
        <f t="shared" si="12"/>
        <v>21.850000000000268</v>
      </c>
      <c r="AJ72" s="26">
        <f t="shared" si="12"/>
        <v>24.916666666665819</v>
      </c>
      <c r="AK72" s="26">
        <f t="shared" si="12"/>
        <v>26.833333333334203</v>
      </c>
    </row>
    <row r="73" spans="4:37" ht="20.100000000000001" customHeight="1">
      <c r="D73" s="27">
        <f t="shared" si="14"/>
        <v>0.19444444444444425</v>
      </c>
      <c r="E73" s="16">
        <f t="shared" si="11"/>
        <v>55.611111111110226</v>
      </c>
      <c r="F73" s="16">
        <f t="shared" si="11"/>
        <v>58.722222222219372</v>
      </c>
      <c r="G73" s="16">
        <f t="shared" si="11"/>
        <v>60.666666666665549</v>
      </c>
      <c r="H73" s="17">
        <f t="shared" si="11"/>
        <v>51.722222222223429</v>
      </c>
      <c r="I73" s="17">
        <f t="shared" si="11"/>
        <v>54.833333333332945</v>
      </c>
      <c r="J73" s="17">
        <f t="shared" si="11"/>
        <v>56.777777777777722</v>
      </c>
      <c r="K73" s="18">
        <f t="shared" si="11"/>
        <v>47.833333333332405</v>
      </c>
      <c r="L73" s="18">
        <f t="shared" si="11"/>
        <v>50.944444444443064</v>
      </c>
      <c r="M73" s="18">
        <f t="shared" si="11"/>
        <v>52.88888888888831</v>
      </c>
      <c r="N73" s="19">
        <f t="shared" si="11"/>
        <v>35.777777777777388</v>
      </c>
      <c r="O73" s="19">
        <f t="shared" si="11"/>
        <v>38.888888888890264</v>
      </c>
      <c r="P73" s="19">
        <f t="shared" si="11"/>
        <v>40.833333333332433</v>
      </c>
      <c r="Q73" s="20">
        <f t="shared" si="11"/>
        <v>33.833333333334409</v>
      </c>
      <c r="R73" s="20">
        <f t="shared" si="11"/>
        <v>36.944444444445907</v>
      </c>
      <c r="S73" s="20">
        <f t="shared" si="11"/>
        <v>38.888888888890264</v>
      </c>
      <c r="T73" s="21">
        <f t="shared" si="11"/>
        <v>31.888888888890399</v>
      </c>
      <c r="U73" s="21">
        <f t="shared" si="16"/>
        <v>35</v>
      </c>
      <c r="V73" s="21">
        <f t="shared" si="17"/>
        <v>36.944444444445907</v>
      </c>
      <c r="W73" s="22">
        <f t="shared" si="18"/>
        <v>29.944444444444628</v>
      </c>
      <c r="X73" s="22">
        <f t="shared" si="19"/>
        <v>33.055555555554193</v>
      </c>
      <c r="Y73" s="22">
        <f t="shared" si="20"/>
        <v>35</v>
      </c>
      <c r="Z73" s="23">
        <f t="shared" si="21"/>
        <v>27.999999999998998</v>
      </c>
      <c r="AA73" s="23">
        <f t="shared" si="12"/>
        <v>31.11111111111056</v>
      </c>
      <c r="AB73" s="23">
        <f t="shared" si="12"/>
        <v>33.055555555554193</v>
      </c>
      <c r="AC73" s="24">
        <f t="shared" si="12"/>
        <v>26.055555555555912</v>
      </c>
      <c r="AD73" s="24">
        <f t="shared" si="12"/>
        <v>29.166666666666604</v>
      </c>
      <c r="AE73" s="24">
        <f t="shared" si="12"/>
        <v>31.11111111111056</v>
      </c>
      <c r="AF73" s="25">
        <f t="shared" si="12"/>
        <v>24.111111111110663</v>
      </c>
      <c r="AG73" s="25">
        <f t="shared" si="12"/>
        <v>27.222222222223092</v>
      </c>
      <c r="AH73" s="25">
        <f t="shared" si="12"/>
        <v>29.166666666666604</v>
      </c>
      <c r="AI73" s="26">
        <f t="shared" si="12"/>
        <v>22.166666666666934</v>
      </c>
      <c r="AJ73" s="26">
        <f t="shared" si="12"/>
        <v>25.277777777776929</v>
      </c>
      <c r="AK73" s="26">
        <f t="shared" si="12"/>
        <v>27.222222222223092</v>
      </c>
    </row>
    <row r="74" spans="4:37" ht="20.100000000000001" customHeight="1">
      <c r="D74" s="27">
        <f t="shared" si="14"/>
        <v>0.19722222222222202</v>
      </c>
      <c r="E74" s="16">
        <f t="shared" si="11"/>
        <v>56.40555555555467</v>
      </c>
      <c r="F74" s="16">
        <f t="shared" si="11"/>
        <v>59.561111111108261</v>
      </c>
      <c r="G74" s="16">
        <f t="shared" si="11"/>
        <v>61.533333333332216</v>
      </c>
      <c r="H74" s="17">
        <f t="shared" si="11"/>
        <v>52.461111111112317</v>
      </c>
      <c r="I74" s="17">
        <f t="shared" si="11"/>
        <v>55.616666666666276</v>
      </c>
      <c r="J74" s="17">
        <f t="shared" si="11"/>
        <v>57.588888888888832</v>
      </c>
      <c r="K74" s="18">
        <f t="shared" si="11"/>
        <v>48.516666666665735</v>
      </c>
      <c r="L74" s="18">
        <f t="shared" si="11"/>
        <v>51.672222222220839</v>
      </c>
      <c r="M74" s="18">
        <f t="shared" si="11"/>
        <v>53.644444444443863</v>
      </c>
      <c r="N74" s="19">
        <f t="shared" si="11"/>
        <v>36.288888888888501</v>
      </c>
      <c r="O74" s="19">
        <f t="shared" si="11"/>
        <v>39.444444444445821</v>
      </c>
      <c r="P74" s="19">
        <f t="shared" si="11"/>
        <v>41.416666666665769</v>
      </c>
      <c r="Q74" s="20">
        <f t="shared" si="11"/>
        <v>34.316666666667743</v>
      </c>
      <c r="R74" s="20">
        <f t="shared" si="11"/>
        <v>37.472222222223685</v>
      </c>
      <c r="S74" s="20">
        <f t="shared" si="11"/>
        <v>39.444444444445821</v>
      </c>
      <c r="T74" s="21">
        <f t="shared" si="11"/>
        <v>32.344444444445955</v>
      </c>
      <c r="U74" s="21">
        <f t="shared" si="16"/>
        <v>35.5</v>
      </c>
      <c r="V74" s="21">
        <f t="shared" si="17"/>
        <v>37.472222222223685</v>
      </c>
      <c r="W74" s="22">
        <f t="shared" si="18"/>
        <v>30.372222222222405</v>
      </c>
      <c r="X74" s="22">
        <f t="shared" si="19"/>
        <v>33.527777777776414</v>
      </c>
      <c r="Y74" s="22">
        <f t="shared" si="20"/>
        <v>35.5</v>
      </c>
      <c r="Z74" s="23">
        <f t="shared" si="21"/>
        <v>28.399999999998997</v>
      </c>
      <c r="AA74" s="23">
        <f t="shared" si="12"/>
        <v>31.555555555555003</v>
      </c>
      <c r="AB74" s="23">
        <f t="shared" si="12"/>
        <v>33.527777777776414</v>
      </c>
      <c r="AC74" s="24">
        <f t="shared" si="12"/>
        <v>26.427777777778136</v>
      </c>
      <c r="AD74" s="24">
        <f t="shared" si="12"/>
        <v>29.583333333333272</v>
      </c>
      <c r="AE74" s="24">
        <f t="shared" si="12"/>
        <v>31.555555555555003</v>
      </c>
      <c r="AF74" s="25">
        <f t="shared" si="12"/>
        <v>24.455555555555108</v>
      </c>
      <c r="AG74" s="25">
        <f t="shared" si="12"/>
        <v>27.611111111111981</v>
      </c>
      <c r="AH74" s="25">
        <f t="shared" si="12"/>
        <v>29.583333333333272</v>
      </c>
      <c r="AI74" s="26">
        <f t="shared" si="12"/>
        <v>22.483333333333601</v>
      </c>
      <c r="AJ74" s="26">
        <f t="shared" si="12"/>
        <v>25.63888888888804</v>
      </c>
      <c r="AK74" s="26">
        <f t="shared" si="12"/>
        <v>27.611111111111981</v>
      </c>
    </row>
    <row r="75" spans="4:37" ht="20.100000000000001" customHeight="1">
      <c r="D75" s="27">
        <f t="shared" si="14"/>
        <v>0.19999999999999979</v>
      </c>
      <c r="E75" s="16">
        <f t="shared" si="11"/>
        <v>57.199999999999115</v>
      </c>
      <c r="F75" s="16">
        <f t="shared" si="11"/>
        <v>60.399999999997149</v>
      </c>
      <c r="G75" s="16">
        <f t="shared" si="11"/>
        <v>62.399999999998883</v>
      </c>
      <c r="H75" s="17">
        <f t="shared" si="11"/>
        <v>53.200000000001204</v>
      </c>
      <c r="I75" s="17">
        <f t="shared" si="11"/>
        <v>56.399999999999608</v>
      </c>
      <c r="J75" s="17">
        <f t="shared" si="11"/>
        <v>58.399999999999942</v>
      </c>
      <c r="K75" s="18">
        <f t="shared" si="11"/>
        <v>49.199999999999065</v>
      </c>
      <c r="L75" s="18">
        <f t="shared" si="11"/>
        <v>52.399999999998613</v>
      </c>
      <c r="M75" s="18">
        <f t="shared" si="11"/>
        <v>54.399999999999416</v>
      </c>
      <c r="N75" s="19">
        <f t="shared" si="11"/>
        <v>36.799999999999613</v>
      </c>
      <c r="O75" s="19">
        <f t="shared" si="11"/>
        <v>40.000000000001378</v>
      </c>
      <c r="P75" s="19">
        <f t="shared" si="11"/>
        <v>41.999999999999105</v>
      </c>
      <c r="Q75" s="20">
        <f t="shared" si="11"/>
        <v>34.800000000001077</v>
      </c>
      <c r="R75" s="20">
        <f t="shared" si="11"/>
        <v>38.000000000001464</v>
      </c>
      <c r="S75" s="20">
        <f t="shared" si="11"/>
        <v>40.000000000001378</v>
      </c>
      <c r="T75" s="21">
        <f t="shared" si="11"/>
        <v>32.800000000001511</v>
      </c>
      <c r="U75" s="21">
        <f t="shared" si="16"/>
        <v>36</v>
      </c>
      <c r="V75" s="21">
        <f t="shared" si="17"/>
        <v>38.000000000001464</v>
      </c>
      <c r="W75" s="22">
        <f t="shared" si="18"/>
        <v>30.800000000000182</v>
      </c>
      <c r="X75" s="22">
        <f t="shared" si="19"/>
        <v>33.999999999998636</v>
      </c>
      <c r="Y75" s="22">
        <f t="shared" si="20"/>
        <v>36</v>
      </c>
      <c r="Z75" s="23">
        <f t="shared" si="21"/>
        <v>28.799999999998995</v>
      </c>
      <c r="AA75" s="23">
        <f t="shared" si="12"/>
        <v>31.999999999999446</v>
      </c>
      <c r="AB75" s="23">
        <f t="shared" si="12"/>
        <v>33.999999999998636</v>
      </c>
      <c r="AC75" s="24">
        <f t="shared" si="12"/>
        <v>26.80000000000036</v>
      </c>
      <c r="AD75" s="24">
        <f t="shared" si="12"/>
        <v>29.99999999999994</v>
      </c>
      <c r="AE75" s="24">
        <f t="shared" si="12"/>
        <v>31.999999999999446</v>
      </c>
      <c r="AF75" s="25">
        <f t="shared" si="12"/>
        <v>24.799999999999553</v>
      </c>
      <c r="AG75" s="25">
        <f t="shared" si="12"/>
        <v>28.00000000000087</v>
      </c>
      <c r="AH75" s="25">
        <f t="shared" si="12"/>
        <v>29.99999999999994</v>
      </c>
      <c r="AI75" s="26">
        <f t="shared" si="12"/>
        <v>22.800000000000267</v>
      </c>
      <c r="AJ75" s="26">
        <f t="shared" si="12"/>
        <v>25.999999999999151</v>
      </c>
      <c r="AK75" s="26">
        <f t="shared" si="12"/>
        <v>28.00000000000087</v>
      </c>
    </row>
    <row r="76" spans="4:37" ht="20.100000000000001" customHeight="1">
      <c r="D76" s="27">
        <f t="shared" si="14"/>
        <v>0.20277777777777756</v>
      </c>
      <c r="E76" s="16">
        <f t="shared" si="11"/>
        <v>57.994444444443559</v>
      </c>
      <c r="F76" s="16">
        <f t="shared" si="11"/>
        <v>61.238888888886038</v>
      </c>
      <c r="G76" s="16">
        <f t="shared" si="11"/>
        <v>63.26666666666555</v>
      </c>
      <c r="H76" s="17">
        <f t="shared" si="11"/>
        <v>53.938888888890091</v>
      </c>
      <c r="I76" s="17">
        <f t="shared" si="11"/>
        <v>57.183333333332939</v>
      </c>
      <c r="J76" s="17">
        <f t="shared" si="11"/>
        <v>59.211111111111052</v>
      </c>
      <c r="K76" s="18">
        <f t="shared" si="11"/>
        <v>49.883333333332395</v>
      </c>
      <c r="L76" s="18">
        <f t="shared" si="11"/>
        <v>53.127777777776387</v>
      </c>
      <c r="M76" s="18">
        <f t="shared" si="11"/>
        <v>55.155555555554969</v>
      </c>
      <c r="N76" s="19">
        <f t="shared" si="11"/>
        <v>37.311111111110726</v>
      </c>
      <c r="O76" s="19">
        <f t="shared" si="11"/>
        <v>40.555555555556936</v>
      </c>
      <c r="P76" s="19">
        <f t="shared" si="11"/>
        <v>42.58333333333244</v>
      </c>
      <c r="Q76" s="20">
        <f t="shared" si="11"/>
        <v>35.283333333334411</v>
      </c>
      <c r="R76" s="20">
        <f t="shared" si="11"/>
        <v>38.527777777779242</v>
      </c>
      <c r="S76" s="20">
        <f t="shared" si="11"/>
        <v>40.555555555556936</v>
      </c>
      <c r="T76" s="21">
        <f t="shared" si="11"/>
        <v>33.255555555557066</v>
      </c>
      <c r="U76" s="21">
        <f t="shared" si="16"/>
        <v>36.5</v>
      </c>
      <c r="V76" s="21">
        <f t="shared" si="17"/>
        <v>38.527777777779242</v>
      </c>
      <c r="W76" s="22">
        <f t="shared" si="18"/>
        <v>31.227777777777959</v>
      </c>
      <c r="X76" s="22">
        <f t="shared" si="19"/>
        <v>34.472222222220857</v>
      </c>
      <c r="Y76" s="22">
        <f t="shared" si="20"/>
        <v>36.5</v>
      </c>
      <c r="Z76" s="23">
        <f t="shared" si="21"/>
        <v>29.199999999998994</v>
      </c>
      <c r="AA76" s="23">
        <f t="shared" si="12"/>
        <v>32.444444444443889</v>
      </c>
      <c r="AB76" s="23">
        <f t="shared" si="12"/>
        <v>34.472222222220857</v>
      </c>
      <c r="AC76" s="24">
        <f t="shared" si="12"/>
        <v>27.172222222222583</v>
      </c>
      <c r="AD76" s="24">
        <f t="shared" si="12"/>
        <v>30.416666666666607</v>
      </c>
      <c r="AE76" s="24">
        <f t="shared" si="12"/>
        <v>32.444444444443889</v>
      </c>
      <c r="AF76" s="25">
        <f t="shared" si="12"/>
        <v>25.144444444443998</v>
      </c>
      <c r="AG76" s="25">
        <f t="shared" si="12"/>
        <v>28.38888888888976</v>
      </c>
      <c r="AH76" s="25">
        <f t="shared" si="12"/>
        <v>30.416666666666607</v>
      </c>
      <c r="AI76" s="26">
        <f t="shared" si="12"/>
        <v>23.116666666666934</v>
      </c>
      <c r="AJ76" s="26">
        <f t="shared" si="12"/>
        <v>26.361111111110262</v>
      </c>
      <c r="AK76" s="26">
        <f t="shared" si="12"/>
        <v>28.38888888888976</v>
      </c>
    </row>
    <row r="77" spans="4:37" ht="20.100000000000001" customHeight="1">
      <c r="D77" s="27">
        <f t="shared" si="14"/>
        <v>0.20555555555555532</v>
      </c>
      <c r="E77" s="16">
        <f t="shared" si="11"/>
        <v>58.788888888888003</v>
      </c>
      <c r="F77" s="16">
        <f t="shared" si="11"/>
        <v>62.077777777774926</v>
      </c>
      <c r="G77" s="16">
        <f t="shared" si="11"/>
        <v>64.133333333332217</v>
      </c>
      <c r="H77" s="17">
        <f t="shared" si="11"/>
        <v>54.677777777778978</v>
      </c>
      <c r="I77" s="17">
        <f t="shared" si="11"/>
        <v>57.966666666666271</v>
      </c>
      <c r="J77" s="17">
        <f t="shared" si="11"/>
        <v>60.022222222222162</v>
      </c>
      <c r="K77" s="18">
        <f t="shared" si="11"/>
        <v>50.566666666665725</v>
      </c>
      <c r="L77" s="18">
        <f t="shared" si="11"/>
        <v>53.855555555554162</v>
      </c>
      <c r="M77" s="18">
        <f t="shared" si="11"/>
        <v>55.911111111110522</v>
      </c>
      <c r="N77" s="19">
        <f t="shared" si="11"/>
        <v>37.822222222221839</v>
      </c>
      <c r="O77" s="19">
        <f t="shared" si="11"/>
        <v>41.111111111112493</v>
      </c>
      <c r="P77" s="19">
        <f t="shared" si="11"/>
        <v>43.166666666665776</v>
      </c>
      <c r="Q77" s="20">
        <f t="shared" si="11"/>
        <v>35.766666666667746</v>
      </c>
      <c r="R77" s="20">
        <f t="shared" si="11"/>
        <v>39.055555555557021</v>
      </c>
      <c r="S77" s="20">
        <f t="shared" si="11"/>
        <v>41.111111111112493</v>
      </c>
      <c r="T77" s="21">
        <f t="shared" si="11"/>
        <v>33.711111111112622</v>
      </c>
      <c r="U77" s="21">
        <f t="shared" si="16"/>
        <v>37</v>
      </c>
      <c r="V77" s="21">
        <f t="shared" si="17"/>
        <v>39.055555555557021</v>
      </c>
      <c r="W77" s="22">
        <f t="shared" si="18"/>
        <v>31.655555555555736</v>
      </c>
      <c r="X77" s="22">
        <f t="shared" si="19"/>
        <v>34.944444444443079</v>
      </c>
      <c r="Y77" s="22">
        <f t="shared" si="20"/>
        <v>37</v>
      </c>
      <c r="Z77" s="23">
        <f t="shared" si="21"/>
        <v>29.599999999998992</v>
      </c>
      <c r="AA77" s="23">
        <f t="shared" si="12"/>
        <v>32.888888888888332</v>
      </c>
      <c r="AB77" s="23">
        <f t="shared" si="12"/>
        <v>34.944444444443079</v>
      </c>
      <c r="AC77" s="24">
        <f t="shared" si="12"/>
        <v>27.544444444444807</v>
      </c>
      <c r="AD77" s="24">
        <f t="shared" si="12"/>
        <v>30.833333333333275</v>
      </c>
      <c r="AE77" s="24">
        <f t="shared" si="12"/>
        <v>32.888888888888332</v>
      </c>
      <c r="AF77" s="25">
        <f t="shared" si="12"/>
        <v>25.488888888888443</v>
      </c>
      <c r="AG77" s="25">
        <f t="shared" si="12"/>
        <v>28.777777777778649</v>
      </c>
      <c r="AH77" s="25">
        <f t="shared" si="12"/>
        <v>30.833333333333275</v>
      </c>
      <c r="AI77" s="26">
        <f t="shared" si="12"/>
        <v>23.4333333333336</v>
      </c>
      <c r="AJ77" s="26">
        <f t="shared" si="12"/>
        <v>26.722222222221372</v>
      </c>
      <c r="AK77" s="26">
        <f t="shared" si="12"/>
        <v>28.777777777778649</v>
      </c>
    </row>
    <row r="78" spans="4:37" ht="20.100000000000001" customHeight="1">
      <c r="D78" s="27">
        <f t="shared" si="14"/>
        <v>0.20833333333333309</v>
      </c>
      <c r="E78" s="16">
        <f t="shared" si="11"/>
        <v>59.583333333332448</v>
      </c>
      <c r="F78" s="16">
        <f t="shared" si="11"/>
        <v>62.916666666663815</v>
      </c>
      <c r="G78" s="16">
        <f t="shared" si="11"/>
        <v>64.999999999998877</v>
      </c>
      <c r="H78" s="17">
        <f t="shared" si="11"/>
        <v>55.416666666667865</v>
      </c>
      <c r="I78" s="17">
        <f t="shared" si="11"/>
        <v>58.749999999999602</v>
      </c>
      <c r="J78" s="17">
        <f t="shared" si="11"/>
        <v>60.833333333333272</v>
      </c>
      <c r="K78" s="18">
        <f t="shared" si="11"/>
        <v>51.249999999999055</v>
      </c>
      <c r="L78" s="18">
        <f t="shared" si="11"/>
        <v>54.583333333331936</v>
      </c>
      <c r="M78" s="18">
        <f t="shared" si="11"/>
        <v>56.666666666666075</v>
      </c>
      <c r="N78" s="19">
        <f t="shared" si="11"/>
        <v>38.333333333332952</v>
      </c>
      <c r="O78" s="19">
        <f t="shared" si="11"/>
        <v>41.66666666666805</v>
      </c>
      <c r="P78" s="19">
        <f t="shared" si="11"/>
        <v>43.749999999999112</v>
      </c>
      <c r="Q78" s="20">
        <f t="shared" si="11"/>
        <v>36.25000000000108</v>
      </c>
      <c r="R78" s="20">
        <f t="shared" si="11"/>
        <v>39.583333333334799</v>
      </c>
      <c r="S78" s="20">
        <f t="shared" si="11"/>
        <v>41.66666666666805</v>
      </c>
      <c r="T78" s="21">
        <f t="shared" si="11"/>
        <v>34.166666666668178</v>
      </c>
      <c r="U78" s="21">
        <f t="shared" si="16"/>
        <v>37.5</v>
      </c>
      <c r="V78" s="21">
        <f t="shared" si="17"/>
        <v>39.583333333334799</v>
      </c>
      <c r="W78" s="22">
        <f t="shared" si="18"/>
        <v>32.083333333333513</v>
      </c>
      <c r="X78" s="22">
        <f t="shared" si="19"/>
        <v>35.4166666666653</v>
      </c>
      <c r="Y78" s="22">
        <f t="shared" si="20"/>
        <v>37.5</v>
      </c>
      <c r="Z78" s="23">
        <f t="shared" si="21"/>
        <v>29.999999999998991</v>
      </c>
      <c r="AA78" s="23">
        <f t="shared" ref="AA78:AA91" si="22">AA79-(AA$363/360)</f>
        <v>33.333333333332774</v>
      </c>
      <c r="AB78" s="23">
        <f t="shared" ref="AB78:AB91" si="23">AB79-(AB$363/360)</f>
        <v>35.4166666666653</v>
      </c>
      <c r="AC78" s="24">
        <f t="shared" si="12"/>
        <v>27.91666666666703</v>
      </c>
      <c r="AD78" s="24">
        <f t="shared" si="12"/>
        <v>31.249999999999943</v>
      </c>
      <c r="AE78" s="24">
        <f t="shared" si="12"/>
        <v>33.333333333332774</v>
      </c>
      <c r="AF78" s="25">
        <f t="shared" si="12"/>
        <v>25.833333333332888</v>
      </c>
      <c r="AG78" s="25">
        <f t="shared" si="12"/>
        <v>29.166666666667538</v>
      </c>
      <c r="AH78" s="25">
        <f t="shared" si="12"/>
        <v>31.249999999999943</v>
      </c>
      <c r="AI78" s="26">
        <f t="shared" si="12"/>
        <v>23.750000000000266</v>
      </c>
      <c r="AJ78" s="26">
        <f t="shared" si="12"/>
        <v>27.083333333332483</v>
      </c>
      <c r="AK78" s="26">
        <f t="shared" si="12"/>
        <v>29.166666666667538</v>
      </c>
    </row>
    <row r="79" spans="4:37" ht="20.100000000000001" customHeight="1">
      <c r="D79" s="27">
        <f t="shared" si="14"/>
        <v>0.21111111111111086</v>
      </c>
      <c r="E79" s="16">
        <f t="shared" si="11"/>
        <v>60.377777777776892</v>
      </c>
      <c r="F79" s="16">
        <f t="shared" si="11"/>
        <v>63.755555555552704</v>
      </c>
      <c r="G79" s="16">
        <f t="shared" si="11"/>
        <v>65.866666666665537</v>
      </c>
      <c r="H79" s="17">
        <f t="shared" si="11"/>
        <v>56.155555555556752</v>
      </c>
      <c r="I79" s="17">
        <f t="shared" si="11"/>
        <v>59.533333333332934</v>
      </c>
      <c r="J79" s="17">
        <f t="shared" si="11"/>
        <v>61.644444444444382</v>
      </c>
      <c r="K79" s="18">
        <f t="shared" si="11"/>
        <v>51.933333333332385</v>
      </c>
      <c r="L79" s="18">
        <f t="shared" si="11"/>
        <v>55.31111111110971</v>
      </c>
      <c r="M79" s="18">
        <f t="shared" si="11"/>
        <v>57.422222222221627</v>
      </c>
      <c r="N79" s="19">
        <f t="shared" si="11"/>
        <v>38.844444444444065</v>
      </c>
      <c r="O79" s="19">
        <f t="shared" si="11"/>
        <v>42.222222222223607</v>
      </c>
      <c r="P79" s="19">
        <f t="shared" si="11"/>
        <v>44.333333333332448</v>
      </c>
      <c r="Q79" s="20">
        <f t="shared" si="11"/>
        <v>36.733333333334414</v>
      </c>
      <c r="R79" s="20">
        <f t="shared" si="11"/>
        <v>40.111111111112578</v>
      </c>
      <c r="S79" s="20">
        <f t="shared" si="11"/>
        <v>42.222222222223607</v>
      </c>
      <c r="T79" s="21">
        <f t="shared" si="11"/>
        <v>34.622222222223733</v>
      </c>
      <c r="U79" s="21">
        <f t="shared" si="16"/>
        <v>38</v>
      </c>
      <c r="V79" s="21">
        <f t="shared" si="17"/>
        <v>40.111111111112578</v>
      </c>
      <c r="W79" s="22">
        <f t="shared" si="18"/>
        <v>32.51111111111129</v>
      </c>
      <c r="X79" s="22">
        <f t="shared" si="19"/>
        <v>35.888888888887521</v>
      </c>
      <c r="Y79" s="22">
        <f t="shared" si="20"/>
        <v>38</v>
      </c>
      <c r="Z79" s="23">
        <f t="shared" si="21"/>
        <v>30.39999999999899</v>
      </c>
      <c r="AA79" s="23">
        <f t="shared" si="22"/>
        <v>33.777777777777217</v>
      </c>
      <c r="AB79" s="23">
        <f t="shared" si="23"/>
        <v>35.888888888887521</v>
      </c>
      <c r="AC79" s="24">
        <f t="shared" si="12"/>
        <v>28.288888888889254</v>
      </c>
      <c r="AD79" s="24">
        <f t="shared" si="12"/>
        <v>31.666666666666611</v>
      </c>
      <c r="AE79" s="24">
        <f t="shared" si="12"/>
        <v>33.777777777777217</v>
      </c>
      <c r="AF79" s="25">
        <f t="shared" si="12"/>
        <v>26.177777777777333</v>
      </c>
      <c r="AG79" s="25">
        <f t="shared" si="12"/>
        <v>29.555555555556428</v>
      </c>
      <c r="AH79" s="25">
        <f t="shared" si="12"/>
        <v>31.666666666666611</v>
      </c>
      <c r="AI79" s="26">
        <f t="shared" si="12"/>
        <v>24.066666666666933</v>
      </c>
      <c r="AJ79" s="26">
        <f t="shared" si="12"/>
        <v>27.444444444443594</v>
      </c>
      <c r="AK79" s="26">
        <f t="shared" si="12"/>
        <v>29.555555555556428</v>
      </c>
    </row>
    <row r="80" spans="4:37" ht="20.100000000000001" customHeight="1">
      <c r="D80" s="27">
        <f t="shared" si="14"/>
        <v>0.21388888888888863</v>
      </c>
      <c r="E80" s="16">
        <f t="shared" si="11"/>
        <v>61.172222222221336</v>
      </c>
      <c r="F80" s="16">
        <f t="shared" si="11"/>
        <v>64.594444444441592</v>
      </c>
      <c r="G80" s="16">
        <f t="shared" si="11"/>
        <v>66.733333333332197</v>
      </c>
      <c r="H80" s="17">
        <f t="shared" si="11"/>
        <v>56.894444444445639</v>
      </c>
      <c r="I80" s="17">
        <f t="shared" si="11"/>
        <v>60.316666666666265</v>
      </c>
      <c r="J80" s="17">
        <f t="shared" si="11"/>
        <v>62.455555555555492</v>
      </c>
      <c r="K80" s="18">
        <f t="shared" si="11"/>
        <v>52.616666666665715</v>
      </c>
      <c r="L80" s="18">
        <f t="shared" si="11"/>
        <v>56.038888888887485</v>
      </c>
      <c r="M80" s="18">
        <f t="shared" si="11"/>
        <v>58.17777777777718</v>
      </c>
      <c r="N80" s="19">
        <f t="shared" si="11"/>
        <v>39.355555555555178</v>
      </c>
      <c r="O80" s="19">
        <f t="shared" ref="O80:T80" si="24">O81-(O$363/360)</f>
        <v>42.777777777779164</v>
      </c>
      <c r="P80" s="19">
        <f t="shared" si="24"/>
        <v>44.916666666665783</v>
      </c>
      <c r="Q80" s="20">
        <f t="shared" si="24"/>
        <v>37.216666666667749</v>
      </c>
      <c r="R80" s="20">
        <f t="shared" si="24"/>
        <v>40.638888888890357</v>
      </c>
      <c r="S80" s="20">
        <f t="shared" si="24"/>
        <v>42.777777777779164</v>
      </c>
      <c r="T80" s="21">
        <f t="shared" si="24"/>
        <v>35.077777777779289</v>
      </c>
      <c r="U80" s="21">
        <f t="shared" si="16"/>
        <v>38.5</v>
      </c>
      <c r="V80" s="21">
        <f t="shared" si="17"/>
        <v>40.638888888890357</v>
      </c>
      <c r="W80" s="22">
        <f t="shared" si="18"/>
        <v>32.938888888889068</v>
      </c>
      <c r="X80" s="22">
        <f t="shared" si="19"/>
        <v>36.361111111109743</v>
      </c>
      <c r="Y80" s="22">
        <f t="shared" si="20"/>
        <v>38.5</v>
      </c>
      <c r="Z80" s="23">
        <f t="shared" si="21"/>
        <v>30.799999999998988</v>
      </c>
      <c r="AA80" s="23">
        <f t="shared" si="22"/>
        <v>34.22222222222166</v>
      </c>
      <c r="AB80" s="23">
        <f t="shared" si="23"/>
        <v>36.361111111109743</v>
      </c>
      <c r="AC80" s="24">
        <f t="shared" si="12"/>
        <v>28.661111111111477</v>
      </c>
      <c r="AD80" s="24">
        <f t="shared" si="12"/>
        <v>32.083333333333279</v>
      </c>
      <c r="AE80" s="24">
        <f t="shared" si="12"/>
        <v>34.22222222222166</v>
      </c>
      <c r="AF80" s="25">
        <f t="shared" si="12"/>
        <v>26.522222222221778</v>
      </c>
      <c r="AG80" s="25">
        <f t="shared" si="12"/>
        <v>29.944444444445317</v>
      </c>
      <c r="AH80" s="25">
        <f t="shared" si="12"/>
        <v>32.083333333333279</v>
      </c>
      <c r="AI80" s="26">
        <f t="shared" si="12"/>
        <v>24.383333333333599</v>
      </c>
      <c r="AJ80" s="26">
        <f t="shared" si="12"/>
        <v>27.805555555554704</v>
      </c>
      <c r="AK80" s="26">
        <f t="shared" si="12"/>
        <v>29.944444444445317</v>
      </c>
    </row>
    <row r="81" spans="4:37" ht="20.100000000000001" customHeight="1">
      <c r="D81" s="27">
        <f t="shared" si="14"/>
        <v>0.2166666666666664</v>
      </c>
      <c r="E81" s="16">
        <f t="shared" ref="E81:T96" si="25">E82-(E$363/360)</f>
        <v>61.96666666666578</v>
      </c>
      <c r="F81" s="16">
        <f t="shared" si="25"/>
        <v>65.433333333330481</v>
      </c>
      <c r="G81" s="16">
        <f t="shared" si="25"/>
        <v>67.599999999998857</v>
      </c>
      <c r="H81" s="17">
        <f t="shared" si="25"/>
        <v>57.633333333334527</v>
      </c>
      <c r="I81" s="17">
        <f t="shared" si="25"/>
        <v>61.099999999999596</v>
      </c>
      <c r="J81" s="17">
        <f t="shared" si="25"/>
        <v>63.266666666666602</v>
      </c>
      <c r="K81" s="18">
        <f t="shared" si="25"/>
        <v>53.299999999999045</v>
      </c>
      <c r="L81" s="18">
        <f t="shared" si="25"/>
        <v>56.766666666665259</v>
      </c>
      <c r="M81" s="18">
        <f t="shared" si="25"/>
        <v>58.933333333332733</v>
      </c>
      <c r="N81" s="19">
        <f t="shared" si="25"/>
        <v>39.866666666666291</v>
      </c>
      <c r="O81" s="19">
        <f t="shared" si="25"/>
        <v>43.333333333334721</v>
      </c>
      <c r="P81" s="19">
        <f t="shared" si="25"/>
        <v>45.499999999999119</v>
      </c>
      <c r="Q81" s="20">
        <f t="shared" si="25"/>
        <v>37.700000000001083</v>
      </c>
      <c r="R81" s="20">
        <f t="shared" si="25"/>
        <v>41.166666666668135</v>
      </c>
      <c r="S81" s="20">
        <f t="shared" si="25"/>
        <v>43.333333333334721</v>
      </c>
      <c r="T81" s="21">
        <f t="shared" si="25"/>
        <v>35.533333333334845</v>
      </c>
      <c r="U81" s="21">
        <f t="shared" si="16"/>
        <v>39</v>
      </c>
      <c r="V81" s="21">
        <f t="shared" si="17"/>
        <v>41.166666666668135</v>
      </c>
      <c r="W81" s="22">
        <f t="shared" si="18"/>
        <v>33.366666666666845</v>
      </c>
      <c r="X81" s="22">
        <f t="shared" si="19"/>
        <v>36.833333333331964</v>
      </c>
      <c r="Y81" s="22">
        <f t="shared" si="20"/>
        <v>39</v>
      </c>
      <c r="Z81" s="23">
        <f t="shared" si="21"/>
        <v>31.199999999998987</v>
      </c>
      <c r="AA81" s="23">
        <f t="shared" si="22"/>
        <v>34.666666666666103</v>
      </c>
      <c r="AB81" s="23">
        <f t="shared" si="23"/>
        <v>36.833333333331964</v>
      </c>
      <c r="AC81" s="24">
        <f t="shared" si="12"/>
        <v>29.033333333333701</v>
      </c>
      <c r="AD81" s="24">
        <f t="shared" si="12"/>
        <v>32.499999999999943</v>
      </c>
      <c r="AE81" s="24">
        <f t="shared" si="12"/>
        <v>34.666666666666103</v>
      </c>
      <c r="AF81" s="25">
        <f t="shared" si="12"/>
        <v>26.866666666666223</v>
      </c>
      <c r="AG81" s="25">
        <f t="shared" si="12"/>
        <v>30.333333333334206</v>
      </c>
      <c r="AH81" s="25">
        <f t="shared" si="12"/>
        <v>32.499999999999943</v>
      </c>
      <c r="AI81" s="26">
        <f t="shared" si="12"/>
        <v>24.700000000000266</v>
      </c>
      <c r="AJ81" s="26">
        <f t="shared" si="12"/>
        <v>28.166666666665815</v>
      </c>
      <c r="AK81" s="26">
        <f t="shared" si="12"/>
        <v>30.333333333334206</v>
      </c>
    </row>
    <row r="82" spans="4:37" ht="20.100000000000001" customHeight="1">
      <c r="D82" s="27">
        <f t="shared" si="14"/>
        <v>0.21944444444444416</v>
      </c>
      <c r="E82" s="16">
        <f t="shared" si="25"/>
        <v>62.761111111110225</v>
      </c>
      <c r="F82" s="16">
        <f t="shared" si="25"/>
        <v>66.272222222219369</v>
      </c>
      <c r="G82" s="16">
        <f t="shared" si="25"/>
        <v>68.466666666665517</v>
      </c>
      <c r="H82" s="17">
        <f t="shared" si="25"/>
        <v>58.372222222223414</v>
      </c>
      <c r="I82" s="17">
        <f t="shared" si="25"/>
        <v>61.883333333332928</v>
      </c>
      <c r="J82" s="17">
        <f t="shared" si="25"/>
        <v>64.077777777777712</v>
      </c>
      <c r="K82" s="18">
        <f t="shared" si="25"/>
        <v>53.983333333332375</v>
      </c>
      <c r="L82" s="18">
        <f t="shared" si="25"/>
        <v>57.494444444443033</v>
      </c>
      <c r="M82" s="18">
        <f t="shared" si="25"/>
        <v>59.688888888888286</v>
      </c>
      <c r="N82" s="19">
        <f t="shared" si="25"/>
        <v>40.377777777777403</v>
      </c>
      <c r="O82" s="19">
        <f t="shared" si="25"/>
        <v>43.888888888890278</v>
      </c>
      <c r="P82" s="19">
        <f t="shared" si="25"/>
        <v>46.083333333332455</v>
      </c>
      <c r="Q82" s="20">
        <f t="shared" si="25"/>
        <v>38.183333333334417</v>
      </c>
      <c r="R82" s="20">
        <f t="shared" si="25"/>
        <v>41.694444444445914</v>
      </c>
      <c r="S82" s="20">
        <f t="shared" si="25"/>
        <v>43.888888888890278</v>
      </c>
      <c r="T82" s="21">
        <f t="shared" si="25"/>
        <v>35.988888888890401</v>
      </c>
      <c r="U82" s="21">
        <f t="shared" si="16"/>
        <v>39.5</v>
      </c>
      <c r="V82" s="21">
        <f t="shared" si="17"/>
        <v>41.694444444445914</v>
      </c>
      <c r="W82" s="22">
        <f t="shared" si="18"/>
        <v>33.794444444444622</v>
      </c>
      <c r="X82" s="22">
        <f t="shared" si="19"/>
        <v>37.305555555554186</v>
      </c>
      <c r="Y82" s="22">
        <f t="shared" si="20"/>
        <v>39.5</v>
      </c>
      <c r="Z82" s="23">
        <f t="shared" si="21"/>
        <v>31.599999999998985</v>
      </c>
      <c r="AA82" s="23">
        <f t="shared" si="22"/>
        <v>35.111111111110546</v>
      </c>
      <c r="AB82" s="23">
        <f t="shared" si="23"/>
        <v>37.305555555554186</v>
      </c>
      <c r="AC82" s="24">
        <f t="shared" si="12"/>
        <v>29.405555555555924</v>
      </c>
      <c r="AD82" s="24">
        <f t="shared" si="12"/>
        <v>32.916666666666607</v>
      </c>
      <c r="AE82" s="24">
        <f t="shared" si="12"/>
        <v>35.111111111110546</v>
      </c>
      <c r="AF82" s="25">
        <f t="shared" si="12"/>
        <v>27.211111111110668</v>
      </c>
      <c r="AG82" s="25">
        <f t="shared" si="12"/>
        <v>30.722222222223095</v>
      </c>
      <c r="AH82" s="25">
        <f t="shared" si="12"/>
        <v>32.916666666666607</v>
      </c>
      <c r="AI82" s="26">
        <f t="shared" si="12"/>
        <v>25.016666666666932</v>
      </c>
      <c r="AJ82" s="26">
        <f t="shared" si="12"/>
        <v>28.527777777776926</v>
      </c>
      <c r="AK82" s="26">
        <f t="shared" si="12"/>
        <v>30.722222222223095</v>
      </c>
    </row>
    <row r="83" spans="4:37" ht="20.100000000000001" customHeight="1">
      <c r="D83" s="27">
        <f t="shared" si="14"/>
        <v>0.22222222222222193</v>
      </c>
      <c r="E83" s="16">
        <f t="shared" si="25"/>
        <v>63.555555555554669</v>
      </c>
      <c r="F83" s="16">
        <f t="shared" si="25"/>
        <v>67.111111111108258</v>
      </c>
      <c r="G83" s="16">
        <f t="shared" si="25"/>
        <v>69.333333333332178</v>
      </c>
      <c r="H83" s="17">
        <f t="shared" si="25"/>
        <v>59.111111111112301</v>
      </c>
      <c r="I83" s="17">
        <f t="shared" si="25"/>
        <v>62.666666666666259</v>
      </c>
      <c r="J83" s="17">
        <f t="shared" si="25"/>
        <v>64.888888888888829</v>
      </c>
      <c r="K83" s="18">
        <f t="shared" si="25"/>
        <v>54.666666666665705</v>
      </c>
      <c r="L83" s="18">
        <f t="shared" si="25"/>
        <v>58.222222222220807</v>
      </c>
      <c r="M83" s="18">
        <f t="shared" si="25"/>
        <v>60.444444444443839</v>
      </c>
      <c r="N83" s="19">
        <f t="shared" si="25"/>
        <v>40.888888888888516</v>
      </c>
      <c r="O83" s="19">
        <f t="shared" si="25"/>
        <v>44.444444444445836</v>
      </c>
      <c r="P83" s="19">
        <f t="shared" si="25"/>
        <v>46.66666666666579</v>
      </c>
      <c r="Q83" s="20">
        <f t="shared" si="25"/>
        <v>38.666666666667751</v>
      </c>
      <c r="R83" s="20">
        <f t="shared" si="25"/>
        <v>42.222222222223692</v>
      </c>
      <c r="S83" s="20">
        <f t="shared" si="25"/>
        <v>44.444444444445836</v>
      </c>
      <c r="T83" s="21">
        <f t="shared" si="25"/>
        <v>36.444444444445956</v>
      </c>
      <c r="U83" s="21">
        <f t="shared" si="16"/>
        <v>40</v>
      </c>
      <c r="V83" s="21">
        <f t="shared" si="17"/>
        <v>42.222222222223692</v>
      </c>
      <c r="W83" s="22">
        <f t="shared" si="18"/>
        <v>34.222222222222399</v>
      </c>
      <c r="X83" s="22">
        <f t="shared" si="19"/>
        <v>37.777777777776407</v>
      </c>
      <c r="Y83" s="22">
        <f t="shared" si="20"/>
        <v>40</v>
      </c>
      <c r="Z83" s="23">
        <f t="shared" si="21"/>
        <v>31.999999999998984</v>
      </c>
      <c r="AA83" s="23">
        <f t="shared" si="22"/>
        <v>35.555555555554989</v>
      </c>
      <c r="AB83" s="23">
        <f t="shared" si="23"/>
        <v>37.777777777776407</v>
      </c>
      <c r="AC83" s="24">
        <f t="shared" si="12"/>
        <v>29.777777777778148</v>
      </c>
      <c r="AD83" s="24">
        <f t="shared" si="12"/>
        <v>33.333333333333272</v>
      </c>
      <c r="AE83" s="24">
        <f t="shared" si="12"/>
        <v>35.555555555554989</v>
      </c>
      <c r="AF83" s="25">
        <f t="shared" si="12"/>
        <v>27.555555555555113</v>
      </c>
      <c r="AG83" s="25">
        <f t="shared" si="12"/>
        <v>31.111111111111985</v>
      </c>
      <c r="AH83" s="25">
        <f t="shared" si="12"/>
        <v>33.333333333333272</v>
      </c>
      <c r="AI83" s="26">
        <f t="shared" si="12"/>
        <v>25.333333333333599</v>
      </c>
      <c r="AJ83" s="26">
        <f t="shared" si="12"/>
        <v>28.888888888888037</v>
      </c>
      <c r="AK83" s="26">
        <f t="shared" si="12"/>
        <v>31.111111111111985</v>
      </c>
    </row>
    <row r="84" spans="4:37" ht="20.100000000000001" customHeight="1">
      <c r="D84" s="27">
        <f t="shared" si="14"/>
        <v>0.2249999999999997</v>
      </c>
      <c r="E84" s="16">
        <f t="shared" si="25"/>
        <v>64.349999999999113</v>
      </c>
      <c r="F84" s="16">
        <f t="shared" si="25"/>
        <v>67.949999999997146</v>
      </c>
      <c r="G84" s="16">
        <f t="shared" si="25"/>
        <v>70.199999999998838</v>
      </c>
      <c r="H84" s="17">
        <f t="shared" si="25"/>
        <v>59.850000000001188</v>
      </c>
      <c r="I84" s="17">
        <f t="shared" si="25"/>
        <v>63.449999999999591</v>
      </c>
      <c r="J84" s="17">
        <f t="shared" si="25"/>
        <v>65.699999999999946</v>
      </c>
      <c r="K84" s="18">
        <f t="shared" si="25"/>
        <v>55.349999999999035</v>
      </c>
      <c r="L84" s="18">
        <f t="shared" si="25"/>
        <v>58.949999999998582</v>
      </c>
      <c r="M84" s="18">
        <f t="shared" si="25"/>
        <v>61.199999999999392</v>
      </c>
      <c r="N84" s="19">
        <f t="shared" si="25"/>
        <v>41.399999999999629</v>
      </c>
      <c r="O84" s="19">
        <f t="shared" si="25"/>
        <v>45.000000000001393</v>
      </c>
      <c r="P84" s="19">
        <f t="shared" si="25"/>
        <v>47.249999999999126</v>
      </c>
      <c r="Q84" s="20">
        <f t="shared" si="25"/>
        <v>39.150000000001086</v>
      </c>
      <c r="R84" s="20">
        <f t="shared" si="25"/>
        <v>42.750000000001471</v>
      </c>
      <c r="S84" s="20">
        <f t="shared" si="25"/>
        <v>45.000000000001393</v>
      </c>
      <c r="T84" s="21">
        <f t="shared" si="25"/>
        <v>36.900000000001512</v>
      </c>
      <c r="U84" s="21">
        <f t="shared" si="16"/>
        <v>40.5</v>
      </c>
      <c r="V84" s="21">
        <f t="shared" si="17"/>
        <v>42.750000000001471</v>
      </c>
      <c r="W84" s="22">
        <f t="shared" si="18"/>
        <v>34.650000000000176</v>
      </c>
      <c r="X84" s="22">
        <f t="shared" si="19"/>
        <v>38.249999999998629</v>
      </c>
      <c r="Y84" s="22">
        <f t="shared" si="20"/>
        <v>40.5</v>
      </c>
      <c r="Z84" s="23">
        <f t="shared" si="21"/>
        <v>32.399999999998983</v>
      </c>
      <c r="AA84" s="23">
        <f t="shared" si="22"/>
        <v>35.999999999999432</v>
      </c>
      <c r="AB84" s="23">
        <f t="shared" si="23"/>
        <v>38.249999999998629</v>
      </c>
      <c r="AC84" s="24">
        <f t="shared" si="12"/>
        <v>30.150000000000372</v>
      </c>
      <c r="AD84" s="24">
        <f t="shared" si="12"/>
        <v>33.749999999999936</v>
      </c>
      <c r="AE84" s="24">
        <f t="shared" si="12"/>
        <v>35.999999999999432</v>
      </c>
      <c r="AF84" s="25">
        <f t="shared" si="12"/>
        <v>27.899999999999558</v>
      </c>
      <c r="AG84" s="25">
        <f t="shared" si="12"/>
        <v>31.500000000000874</v>
      </c>
      <c r="AH84" s="25">
        <f t="shared" si="12"/>
        <v>33.749999999999936</v>
      </c>
      <c r="AI84" s="26">
        <f t="shared" si="12"/>
        <v>25.650000000000265</v>
      </c>
      <c r="AJ84" s="26">
        <f t="shared" si="12"/>
        <v>29.249999999999147</v>
      </c>
      <c r="AK84" s="26">
        <f t="shared" si="12"/>
        <v>31.500000000000874</v>
      </c>
    </row>
    <row r="85" spans="4:37" ht="20.100000000000001" customHeight="1">
      <c r="D85" s="27">
        <f t="shared" si="14"/>
        <v>0.22777777777777747</v>
      </c>
      <c r="E85" s="16">
        <f t="shared" si="25"/>
        <v>65.144444444443565</v>
      </c>
      <c r="F85" s="16">
        <f t="shared" si="25"/>
        <v>68.788888888886035</v>
      </c>
      <c r="G85" s="16">
        <f t="shared" si="25"/>
        <v>71.066666666665498</v>
      </c>
      <c r="H85" s="17">
        <f t="shared" si="25"/>
        <v>60.588888888890075</v>
      </c>
      <c r="I85" s="17">
        <f t="shared" si="25"/>
        <v>64.233333333332922</v>
      </c>
      <c r="J85" s="17">
        <f t="shared" si="25"/>
        <v>66.511111111111063</v>
      </c>
      <c r="K85" s="18">
        <f t="shared" si="25"/>
        <v>56.033333333332365</v>
      </c>
      <c r="L85" s="18">
        <f t="shared" si="25"/>
        <v>59.677777777776356</v>
      </c>
      <c r="M85" s="18">
        <f t="shared" si="25"/>
        <v>61.955555555554945</v>
      </c>
      <c r="N85" s="19">
        <f t="shared" si="25"/>
        <v>41.911111111110742</v>
      </c>
      <c r="O85" s="19">
        <f t="shared" si="25"/>
        <v>45.55555555555695</v>
      </c>
      <c r="P85" s="19">
        <f t="shared" si="25"/>
        <v>47.833333333332462</v>
      </c>
      <c r="Q85" s="20">
        <f t="shared" si="25"/>
        <v>39.63333333333442</v>
      </c>
      <c r="R85" s="20">
        <f t="shared" si="25"/>
        <v>43.277777777779249</v>
      </c>
      <c r="S85" s="20">
        <f t="shared" si="25"/>
        <v>45.55555555555695</v>
      </c>
      <c r="T85" s="21">
        <f t="shared" si="25"/>
        <v>37.355555555557068</v>
      </c>
      <c r="U85" s="21">
        <f t="shared" si="16"/>
        <v>41</v>
      </c>
      <c r="V85" s="21">
        <f t="shared" si="17"/>
        <v>43.277777777779249</v>
      </c>
      <c r="W85" s="22">
        <f t="shared" si="18"/>
        <v>35.077777777777953</v>
      </c>
      <c r="X85" s="22">
        <f t="shared" si="19"/>
        <v>38.72222222222085</v>
      </c>
      <c r="Y85" s="22">
        <f t="shared" si="20"/>
        <v>41</v>
      </c>
      <c r="Z85" s="23">
        <f t="shared" si="21"/>
        <v>32.799999999998981</v>
      </c>
      <c r="AA85" s="23">
        <f t="shared" si="22"/>
        <v>36.444444444443874</v>
      </c>
      <c r="AB85" s="23">
        <f t="shared" si="23"/>
        <v>38.72222222222085</v>
      </c>
      <c r="AC85" s="24">
        <f t="shared" si="12"/>
        <v>30.522222222222595</v>
      </c>
      <c r="AD85" s="24">
        <f t="shared" si="12"/>
        <v>34.1666666666666</v>
      </c>
      <c r="AE85" s="24">
        <f t="shared" si="12"/>
        <v>36.444444444443874</v>
      </c>
      <c r="AF85" s="25">
        <f t="shared" ref="AF85:AK85" si="26">AF86-(AF$363/360)</f>
        <v>28.244444444444003</v>
      </c>
      <c r="AG85" s="25">
        <f t="shared" si="26"/>
        <v>31.888888888889763</v>
      </c>
      <c r="AH85" s="25">
        <f t="shared" si="26"/>
        <v>34.1666666666666</v>
      </c>
      <c r="AI85" s="26">
        <f t="shared" si="26"/>
        <v>25.966666666666931</v>
      </c>
      <c r="AJ85" s="26">
        <f t="shared" si="26"/>
        <v>29.611111111110258</v>
      </c>
      <c r="AK85" s="26">
        <f t="shared" si="26"/>
        <v>31.888888888889763</v>
      </c>
    </row>
    <row r="86" spans="4:37" ht="20.100000000000001" customHeight="1">
      <c r="D86" s="27">
        <f t="shared" si="14"/>
        <v>0.23055555555555524</v>
      </c>
      <c r="E86" s="16">
        <f t="shared" si="25"/>
        <v>65.938888888888016</v>
      </c>
      <c r="F86" s="16">
        <f t="shared" si="25"/>
        <v>69.627777777774924</v>
      </c>
      <c r="G86" s="16">
        <f t="shared" si="25"/>
        <v>71.933333333332158</v>
      </c>
      <c r="H86" s="17">
        <f t="shared" si="25"/>
        <v>61.327777777778962</v>
      </c>
      <c r="I86" s="17">
        <f t="shared" si="25"/>
        <v>65.016666666666254</v>
      </c>
      <c r="J86" s="17">
        <f t="shared" si="25"/>
        <v>67.32222222222218</v>
      </c>
      <c r="K86" s="18">
        <f t="shared" si="25"/>
        <v>56.716666666665695</v>
      </c>
      <c r="L86" s="18">
        <f t="shared" si="25"/>
        <v>60.40555555555413</v>
      </c>
      <c r="M86" s="18">
        <f t="shared" si="25"/>
        <v>62.711111111110498</v>
      </c>
      <c r="N86" s="19">
        <f t="shared" si="25"/>
        <v>42.422222222221855</v>
      </c>
      <c r="O86" s="19">
        <f t="shared" si="25"/>
        <v>46.111111111112507</v>
      </c>
      <c r="P86" s="19">
        <f t="shared" si="25"/>
        <v>48.416666666665797</v>
      </c>
      <c r="Q86" s="20">
        <f t="shared" si="25"/>
        <v>40.116666666667754</v>
      </c>
      <c r="R86" s="20">
        <f t="shared" si="25"/>
        <v>43.805555555557028</v>
      </c>
      <c r="S86" s="20">
        <f t="shared" si="25"/>
        <v>46.111111111112507</v>
      </c>
      <c r="T86" s="21">
        <f t="shared" si="25"/>
        <v>37.811111111112623</v>
      </c>
      <c r="U86" s="21">
        <f t="shared" si="16"/>
        <v>41.5</v>
      </c>
      <c r="V86" s="21">
        <f t="shared" si="17"/>
        <v>43.805555555557028</v>
      </c>
      <c r="W86" s="22">
        <f t="shared" si="18"/>
        <v>35.505555555555731</v>
      </c>
      <c r="X86" s="22">
        <f t="shared" si="19"/>
        <v>39.194444444443072</v>
      </c>
      <c r="Y86" s="22">
        <f t="shared" si="20"/>
        <v>41.5</v>
      </c>
      <c r="Z86" s="23">
        <f t="shared" si="21"/>
        <v>33.19999999999898</v>
      </c>
      <c r="AA86" s="23">
        <f t="shared" si="22"/>
        <v>36.888888888888317</v>
      </c>
      <c r="AB86" s="23">
        <f t="shared" si="23"/>
        <v>39.194444444443072</v>
      </c>
      <c r="AC86" s="24">
        <f t="shared" ref="AC86:AK117" si="27">AC87-(AC$363/360)</f>
        <v>30.894444444444819</v>
      </c>
      <c r="AD86" s="24">
        <f t="shared" si="27"/>
        <v>34.583333333333265</v>
      </c>
      <c r="AE86" s="24">
        <f t="shared" si="27"/>
        <v>36.888888888888317</v>
      </c>
      <c r="AF86" s="25">
        <f t="shared" si="27"/>
        <v>28.588888888888448</v>
      </c>
      <c r="AG86" s="25">
        <f t="shared" si="27"/>
        <v>32.277777777778653</v>
      </c>
      <c r="AH86" s="25">
        <f t="shared" si="27"/>
        <v>34.583333333333265</v>
      </c>
      <c r="AI86" s="26">
        <f t="shared" si="27"/>
        <v>26.283333333333598</v>
      </c>
      <c r="AJ86" s="26">
        <f t="shared" si="27"/>
        <v>29.972222222221369</v>
      </c>
      <c r="AK86" s="26">
        <f t="shared" si="27"/>
        <v>32.277777777778653</v>
      </c>
    </row>
    <row r="87" spans="4:37" ht="20.100000000000001" customHeight="1">
      <c r="D87" s="27">
        <f t="shared" si="14"/>
        <v>0.233333333333333</v>
      </c>
      <c r="E87" s="16">
        <f t="shared" si="25"/>
        <v>66.733333333332467</v>
      </c>
      <c r="F87" s="16">
        <f t="shared" si="25"/>
        <v>70.466666666663812</v>
      </c>
      <c r="G87" s="16">
        <f t="shared" si="25"/>
        <v>72.799999999998818</v>
      </c>
      <c r="H87" s="17">
        <f t="shared" si="25"/>
        <v>62.066666666667849</v>
      </c>
      <c r="I87" s="17">
        <f t="shared" si="25"/>
        <v>65.799999999999585</v>
      </c>
      <c r="J87" s="17">
        <f t="shared" si="25"/>
        <v>68.133333333333297</v>
      </c>
      <c r="K87" s="18">
        <f t="shared" si="25"/>
        <v>57.399999999999025</v>
      </c>
      <c r="L87" s="18">
        <f t="shared" si="25"/>
        <v>61.133333333331905</v>
      </c>
      <c r="M87" s="18">
        <f t="shared" si="25"/>
        <v>63.46666666666605</v>
      </c>
      <c r="N87" s="19">
        <f t="shared" si="25"/>
        <v>42.933333333332968</v>
      </c>
      <c r="O87" s="19">
        <f t="shared" si="25"/>
        <v>46.666666666668064</v>
      </c>
      <c r="P87" s="19">
        <f t="shared" si="25"/>
        <v>48.999999999999133</v>
      </c>
      <c r="Q87" s="20">
        <f t="shared" si="25"/>
        <v>40.600000000001089</v>
      </c>
      <c r="R87" s="20">
        <f t="shared" si="25"/>
        <v>44.333333333334807</v>
      </c>
      <c r="S87" s="20">
        <f t="shared" si="25"/>
        <v>46.666666666668064</v>
      </c>
      <c r="T87" s="21">
        <f t="shared" si="25"/>
        <v>38.266666666668179</v>
      </c>
      <c r="U87" s="21">
        <f t="shared" si="16"/>
        <v>42</v>
      </c>
      <c r="V87" s="21">
        <f t="shared" si="17"/>
        <v>44.333333333334807</v>
      </c>
      <c r="W87" s="22">
        <f t="shared" si="18"/>
        <v>35.933333333333508</v>
      </c>
      <c r="X87" s="22">
        <f t="shared" si="19"/>
        <v>39.666666666665293</v>
      </c>
      <c r="Y87" s="22">
        <f t="shared" si="20"/>
        <v>42</v>
      </c>
      <c r="Z87" s="23">
        <f t="shared" si="21"/>
        <v>33.599999999998978</v>
      </c>
      <c r="AA87" s="23">
        <f t="shared" si="22"/>
        <v>37.33333333333276</v>
      </c>
      <c r="AB87" s="23">
        <f t="shared" si="23"/>
        <v>39.666666666665293</v>
      </c>
      <c r="AC87" s="24">
        <f t="shared" si="27"/>
        <v>31.266666666667042</v>
      </c>
      <c r="AD87" s="24">
        <f t="shared" si="27"/>
        <v>34.999999999999929</v>
      </c>
      <c r="AE87" s="24">
        <f t="shared" si="27"/>
        <v>37.33333333333276</v>
      </c>
      <c r="AF87" s="25">
        <f t="shared" si="27"/>
        <v>28.933333333332893</v>
      </c>
      <c r="AG87" s="25">
        <f t="shared" si="27"/>
        <v>32.666666666667538</v>
      </c>
      <c r="AH87" s="25">
        <f t="shared" si="27"/>
        <v>34.999999999999929</v>
      </c>
      <c r="AI87" s="26">
        <f t="shared" si="27"/>
        <v>26.600000000000264</v>
      </c>
      <c r="AJ87" s="26">
        <f t="shared" si="27"/>
        <v>30.333333333332479</v>
      </c>
      <c r="AK87" s="26">
        <f t="shared" si="27"/>
        <v>32.666666666667538</v>
      </c>
    </row>
    <row r="88" spans="4:37" ht="20.100000000000001" customHeight="1">
      <c r="D88" s="27">
        <f t="shared" si="14"/>
        <v>0.23611111111111077</v>
      </c>
      <c r="E88" s="16">
        <f t="shared" si="25"/>
        <v>67.527777777776919</v>
      </c>
      <c r="F88" s="16">
        <f t="shared" si="25"/>
        <v>71.305555555552701</v>
      </c>
      <c r="G88" s="16">
        <f t="shared" si="25"/>
        <v>73.666666666665478</v>
      </c>
      <c r="H88" s="17">
        <f t="shared" si="25"/>
        <v>62.805555555556737</v>
      </c>
      <c r="I88" s="17">
        <f t="shared" si="25"/>
        <v>66.583333333332916</v>
      </c>
      <c r="J88" s="17">
        <f t="shared" si="25"/>
        <v>68.944444444444414</v>
      </c>
      <c r="K88" s="18">
        <f t="shared" si="25"/>
        <v>58.083333333332355</v>
      </c>
      <c r="L88" s="18">
        <f t="shared" si="25"/>
        <v>61.861111111109679</v>
      </c>
      <c r="M88" s="18">
        <f t="shared" si="25"/>
        <v>64.222222222221603</v>
      </c>
      <c r="N88" s="19">
        <f t="shared" si="25"/>
        <v>43.44444444444408</v>
      </c>
      <c r="O88" s="19">
        <f t="shared" si="25"/>
        <v>47.222222222223621</v>
      </c>
      <c r="P88" s="19">
        <f t="shared" si="25"/>
        <v>49.583333333332469</v>
      </c>
      <c r="Q88" s="20">
        <f t="shared" si="25"/>
        <v>41.083333333334423</v>
      </c>
      <c r="R88" s="20">
        <f t="shared" si="25"/>
        <v>44.861111111112585</v>
      </c>
      <c r="S88" s="20">
        <f t="shared" si="25"/>
        <v>47.222222222223621</v>
      </c>
      <c r="T88" s="21">
        <f t="shared" si="25"/>
        <v>38.722222222223735</v>
      </c>
      <c r="U88" s="21">
        <f t="shared" si="16"/>
        <v>42.5</v>
      </c>
      <c r="V88" s="21">
        <f t="shared" si="17"/>
        <v>44.861111111112585</v>
      </c>
      <c r="W88" s="22">
        <f t="shared" si="18"/>
        <v>36.361111111111285</v>
      </c>
      <c r="X88" s="22">
        <f t="shared" si="19"/>
        <v>40.138888888887514</v>
      </c>
      <c r="Y88" s="22">
        <f t="shared" si="20"/>
        <v>42.5</v>
      </c>
      <c r="Z88" s="23">
        <f t="shared" si="21"/>
        <v>33.999999999998977</v>
      </c>
      <c r="AA88" s="23">
        <f t="shared" si="22"/>
        <v>37.777777777777203</v>
      </c>
      <c r="AB88" s="23">
        <f t="shared" si="23"/>
        <v>40.138888888887514</v>
      </c>
      <c r="AC88" s="24">
        <f t="shared" si="27"/>
        <v>31.638888888889266</v>
      </c>
      <c r="AD88" s="24">
        <f t="shared" si="27"/>
        <v>35.416666666666593</v>
      </c>
      <c r="AE88" s="24">
        <f t="shared" si="27"/>
        <v>37.777777777777203</v>
      </c>
      <c r="AF88" s="25">
        <f t="shared" si="27"/>
        <v>29.277777777777338</v>
      </c>
      <c r="AG88" s="25">
        <f t="shared" si="27"/>
        <v>33.055555555556424</v>
      </c>
      <c r="AH88" s="25">
        <f t="shared" si="27"/>
        <v>35.416666666666593</v>
      </c>
      <c r="AI88" s="26">
        <f t="shared" si="27"/>
        <v>26.916666666666931</v>
      </c>
      <c r="AJ88" s="26">
        <f t="shared" si="27"/>
        <v>30.69444444444359</v>
      </c>
      <c r="AK88" s="26">
        <f t="shared" si="27"/>
        <v>33.055555555556424</v>
      </c>
    </row>
    <row r="89" spans="4:37" ht="20.100000000000001" customHeight="1">
      <c r="D89" s="27">
        <f t="shared" si="14"/>
        <v>0.23888888888888854</v>
      </c>
      <c r="E89" s="16">
        <f t="shared" si="25"/>
        <v>68.32222222222137</v>
      </c>
      <c r="F89" s="16">
        <f t="shared" si="25"/>
        <v>72.144444444441589</v>
      </c>
      <c r="G89" s="16">
        <f t="shared" si="25"/>
        <v>74.533333333332138</v>
      </c>
      <c r="H89" s="17">
        <f t="shared" si="25"/>
        <v>63.544444444445624</v>
      </c>
      <c r="I89" s="17">
        <f t="shared" si="25"/>
        <v>67.366666666666248</v>
      </c>
      <c r="J89" s="17">
        <f t="shared" si="25"/>
        <v>69.755555555555532</v>
      </c>
      <c r="K89" s="18">
        <f t="shared" si="25"/>
        <v>58.766666666665685</v>
      </c>
      <c r="L89" s="18">
        <f t="shared" si="25"/>
        <v>62.588888888887453</v>
      </c>
      <c r="M89" s="18">
        <f t="shared" si="25"/>
        <v>64.977777777777163</v>
      </c>
      <c r="N89" s="19">
        <f t="shared" si="25"/>
        <v>43.955555555555193</v>
      </c>
      <c r="O89" s="19">
        <f t="shared" si="25"/>
        <v>47.777777777779178</v>
      </c>
      <c r="P89" s="19">
        <f t="shared" si="25"/>
        <v>50.166666666665805</v>
      </c>
      <c r="Q89" s="20">
        <f t="shared" si="25"/>
        <v>41.566666666667757</v>
      </c>
      <c r="R89" s="20">
        <f t="shared" si="25"/>
        <v>45.388888888890364</v>
      </c>
      <c r="S89" s="20">
        <f t="shared" si="25"/>
        <v>47.777777777779178</v>
      </c>
      <c r="T89" s="21">
        <f t="shared" si="25"/>
        <v>39.177777777779291</v>
      </c>
      <c r="U89" s="21">
        <f t="shared" si="16"/>
        <v>43</v>
      </c>
      <c r="V89" s="21">
        <f t="shared" si="17"/>
        <v>45.388888888890364</v>
      </c>
      <c r="W89" s="22">
        <f t="shared" si="18"/>
        <v>36.788888888889062</v>
      </c>
      <c r="X89" s="22">
        <f t="shared" si="19"/>
        <v>40.611111111109736</v>
      </c>
      <c r="Y89" s="22">
        <f t="shared" si="20"/>
        <v>43</v>
      </c>
      <c r="Z89" s="23">
        <f t="shared" si="21"/>
        <v>34.399999999998975</v>
      </c>
      <c r="AA89" s="23">
        <f t="shared" si="22"/>
        <v>38.222222222221646</v>
      </c>
      <c r="AB89" s="23">
        <f t="shared" si="23"/>
        <v>40.611111111109736</v>
      </c>
      <c r="AC89" s="24">
        <f t="shared" si="27"/>
        <v>32.011111111111489</v>
      </c>
      <c r="AD89" s="24">
        <f t="shared" si="27"/>
        <v>35.833333333333258</v>
      </c>
      <c r="AE89" s="24">
        <f t="shared" si="27"/>
        <v>38.222222222221646</v>
      </c>
      <c r="AF89" s="25">
        <f t="shared" si="27"/>
        <v>29.622222222221783</v>
      </c>
      <c r="AG89" s="25">
        <f t="shared" si="27"/>
        <v>33.44444444444531</v>
      </c>
      <c r="AH89" s="25">
        <f t="shared" si="27"/>
        <v>35.833333333333258</v>
      </c>
      <c r="AI89" s="26">
        <f t="shared" si="27"/>
        <v>27.233333333333597</v>
      </c>
      <c r="AJ89" s="26">
        <f t="shared" si="27"/>
        <v>31.055555555554701</v>
      </c>
      <c r="AK89" s="26">
        <f t="shared" si="27"/>
        <v>33.44444444444531</v>
      </c>
    </row>
    <row r="90" spans="4:37" ht="20.100000000000001" customHeight="1">
      <c r="D90" s="27">
        <f t="shared" si="14"/>
        <v>0.24166666666666631</v>
      </c>
      <c r="E90" s="16">
        <f t="shared" si="25"/>
        <v>69.116666666665822</v>
      </c>
      <c r="F90" s="16">
        <f t="shared" si="25"/>
        <v>72.983333333330478</v>
      </c>
      <c r="G90" s="16">
        <f t="shared" si="25"/>
        <v>75.399999999998798</v>
      </c>
      <c r="H90" s="17">
        <f t="shared" si="25"/>
        <v>64.283333333334511</v>
      </c>
      <c r="I90" s="17">
        <f t="shared" si="25"/>
        <v>68.149999999999579</v>
      </c>
      <c r="J90" s="17">
        <f t="shared" si="25"/>
        <v>70.566666666666649</v>
      </c>
      <c r="K90" s="18">
        <f t="shared" si="25"/>
        <v>59.449999999999015</v>
      </c>
      <c r="L90" s="18">
        <f t="shared" si="25"/>
        <v>63.316666666665228</v>
      </c>
      <c r="M90" s="18">
        <f t="shared" si="25"/>
        <v>65.733333333332723</v>
      </c>
      <c r="N90" s="19">
        <f t="shared" si="25"/>
        <v>44.466666666666306</v>
      </c>
      <c r="O90" s="19">
        <f t="shared" si="25"/>
        <v>48.333333333334735</v>
      </c>
      <c r="P90" s="19">
        <f t="shared" si="25"/>
        <v>50.74999999999914</v>
      </c>
      <c r="Q90" s="20">
        <f t="shared" si="25"/>
        <v>42.050000000001091</v>
      </c>
      <c r="R90" s="20">
        <f t="shared" si="25"/>
        <v>45.916666666668142</v>
      </c>
      <c r="S90" s="20">
        <f t="shared" si="25"/>
        <v>48.333333333334735</v>
      </c>
      <c r="T90" s="21">
        <f t="shared" si="25"/>
        <v>39.633333333334846</v>
      </c>
      <c r="U90" s="21">
        <f t="shared" si="16"/>
        <v>43.5</v>
      </c>
      <c r="V90" s="21">
        <f t="shared" si="17"/>
        <v>45.916666666668142</v>
      </c>
      <c r="W90" s="22">
        <f t="shared" si="18"/>
        <v>37.216666666666839</v>
      </c>
      <c r="X90" s="22">
        <f t="shared" si="19"/>
        <v>41.083333333331957</v>
      </c>
      <c r="Y90" s="22">
        <f t="shared" si="20"/>
        <v>43.5</v>
      </c>
      <c r="Z90" s="23">
        <f t="shared" si="21"/>
        <v>34.799999999998974</v>
      </c>
      <c r="AA90" s="23">
        <f t="shared" si="22"/>
        <v>38.666666666666089</v>
      </c>
      <c r="AB90" s="23">
        <f t="shared" si="23"/>
        <v>41.083333333331957</v>
      </c>
      <c r="AC90" s="24">
        <f t="shared" si="27"/>
        <v>32.383333333333709</v>
      </c>
      <c r="AD90" s="24">
        <f t="shared" si="27"/>
        <v>36.249999999999922</v>
      </c>
      <c r="AE90" s="24">
        <f t="shared" si="27"/>
        <v>38.666666666666089</v>
      </c>
      <c r="AF90" s="25">
        <f t="shared" si="27"/>
        <v>29.966666666666228</v>
      </c>
      <c r="AG90" s="25">
        <f t="shared" si="27"/>
        <v>33.833333333334195</v>
      </c>
      <c r="AH90" s="25">
        <f t="shared" si="27"/>
        <v>36.249999999999922</v>
      </c>
      <c r="AI90" s="26">
        <f t="shared" si="27"/>
        <v>27.550000000000264</v>
      </c>
      <c r="AJ90" s="26">
        <f t="shared" si="27"/>
        <v>31.416666666665812</v>
      </c>
      <c r="AK90" s="26">
        <f t="shared" si="27"/>
        <v>33.833333333334195</v>
      </c>
    </row>
    <row r="91" spans="4:37" ht="20.100000000000001" customHeight="1">
      <c r="D91" s="27">
        <f t="shared" si="14"/>
        <v>0.24444444444444408</v>
      </c>
      <c r="E91" s="16">
        <f t="shared" si="25"/>
        <v>69.911111111110273</v>
      </c>
      <c r="F91" s="16">
        <f t="shared" si="25"/>
        <v>73.822222222219366</v>
      </c>
      <c r="G91" s="16">
        <f t="shared" si="25"/>
        <v>76.266666666665458</v>
      </c>
      <c r="H91" s="17">
        <f t="shared" si="25"/>
        <v>65.022222222223405</v>
      </c>
      <c r="I91" s="17">
        <f t="shared" si="25"/>
        <v>68.933333333332911</v>
      </c>
      <c r="J91" s="17">
        <f t="shared" si="25"/>
        <v>71.377777777777766</v>
      </c>
      <c r="K91" s="18">
        <f t="shared" si="25"/>
        <v>60.133333333332345</v>
      </c>
      <c r="L91" s="18">
        <f t="shared" si="25"/>
        <v>64.044444444443002</v>
      </c>
      <c r="M91" s="18">
        <f t="shared" si="25"/>
        <v>66.488888888888283</v>
      </c>
      <c r="N91" s="19">
        <f t="shared" si="25"/>
        <v>44.977777777777419</v>
      </c>
      <c r="O91" s="19">
        <f t="shared" si="25"/>
        <v>48.888888888890293</v>
      </c>
      <c r="P91" s="19">
        <f t="shared" si="25"/>
        <v>51.333333333332476</v>
      </c>
      <c r="Q91" s="20">
        <f t="shared" si="25"/>
        <v>42.533333333334426</v>
      </c>
      <c r="R91" s="20">
        <f t="shared" si="25"/>
        <v>46.444444444445921</v>
      </c>
      <c r="S91" s="20">
        <f t="shared" si="25"/>
        <v>48.888888888890293</v>
      </c>
      <c r="T91" s="21">
        <f t="shared" si="25"/>
        <v>40.088888888890402</v>
      </c>
      <c r="U91" s="21">
        <f t="shared" si="16"/>
        <v>44</v>
      </c>
      <c r="V91" s="21">
        <f t="shared" si="17"/>
        <v>46.444444444445921</v>
      </c>
      <c r="W91" s="22">
        <f t="shared" si="18"/>
        <v>37.644444444444616</v>
      </c>
      <c r="X91" s="22">
        <f t="shared" si="19"/>
        <v>41.555555555554179</v>
      </c>
      <c r="Y91" s="22">
        <f t="shared" si="20"/>
        <v>44</v>
      </c>
      <c r="Z91" s="23">
        <f t="shared" si="21"/>
        <v>35.199999999998973</v>
      </c>
      <c r="AA91" s="23">
        <f t="shared" si="22"/>
        <v>39.111111111110532</v>
      </c>
      <c r="AB91" s="23">
        <f t="shared" si="23"/>
        <v>41.555555555554179</v>
      </c>
      <c r="AC91" s="24">
        <f t="shared" si="27"/>
        <v>32.755555555555929</v>
      </c>
      <c r="AD91" s="24">
        <f t="shared" si="27"/>
        <v>36.666666666666586</v>
      </c>
      <c r="AE91" s="24">
        <f t="shared" si="27"/>
        <v>39.111111111110532</v>
      </c>
      <c r="AF91" s="25">
        <f t="shared" si="27"/>
        <v>30.311111111110673</v>
      </c>
      <c r="AG91" s="25">
        <f t="shared" si="27"/>
        <v>34.222222222223081</v>
      </c>
      <c r="AH91" s="25">
        <f t="shared" si="27"/>
        <v>36.666666666666586</v>
      </c>
      <c r="AI91" s="26">
        <f t="shared" si="27"/>
        <v>27.86666666666693</v>
      </c>
      <c r="AJ91" s="26">
        <f t="shared" si="27"/>
        <v>31.777777777776922</v>
      </c>
      <c r="AK91" s="26">
        <f t="shared" si="27"/>
        <v>34.222222222223081</v>
      </c>
    </row>
    <row r="92" spans="4:37" ht="20.100000000000001" customHeight="1">
      <c r="D92" s="27">
        <f t="shared" si="14"/>
        <v>0.24722222222222184</v>
      </c>
      <c r="E92" s="16">
        <f t="shared" si="25"/>
        <v>70.705555555554724</v>
      </c>
      <c r="F92" s="16">
        <f t="shared" si="25"/>
        <v>74.661111111108255</v>
      </c>
      <c r="G92" s="16">
        <f t="shared" si="25"/>
        <v>77.133333333332118</v>
      </c>
      <c r="H92" s="17">
        <f t="shared" si="25"/>
        <v>65.761111111112299</v>
      </c>
      <c r="I92" s="17">
        <f t="shared" si="25"/>
        <v>69.716666666666242</v>
      </c>
      <c r="J92" s="17">
        <f t="shared" si="25"/>
        <v>72.188888888888883</v>
      </c>
      <c r="K92" s="18">
        <f t="shared" si="25"/>
        <v>60.816666666665675</v>
      </c>
      <c r="L92" s="18">
        <f t="shared" si="25"/>
        <v>64.772222222220776</v>
      </c>
      <c r="M92" s="18">
        <f t="shared" si="25"/>
        <v>67.244444444443843</v>
      </c>
      <c r="N92" s="19">
        <f t="shared" si="25"/>
        <v>45.488888888888532</v>
      </c>
      <c r="O92" s="19">
        <f t="shared" si="25"/>
        <v>49.44444444444585</v>
      </c>
      <c r="P92" s="19">
        <f t="shared" si="25"/>
        <v>51.916666666665812</v>
      </c>
      <c r="Q92" s="20">
        <f t="shared" si="25"/>
        <v>43.01666666666776</v>
      </c>
      <c r="R92" s="20">
        <f t="shared" si="25"/>
        <v>46.972222222223699</v>
      </c>
      <c r="S92" s="20">
        <f t="shared" si="25"/>
        <v>49.44444444444585</v>
      </c>
      <c r="T92" s="21">
        <f t="shared" si="25"/>
        <v>40.544444444445958</v>
      </c>
      <c r="U92" s="21">
        <f t="shared" ref="U92:AJ106" si="28">U93-(U$363/360)</f>
        <v>44.5</v>
      </c>
      <c r="V92" s="21">
        <f t="shared" si="28"/>
        <v>46.972222222223699</v>
      </c>
      <c r="W92" s="22">
        <f t="shared" si="28"/>
        <v>38.072222222222393</v>
      </c>
      <c r="X92" s="22">
        <f t="shared" si="28"/>
        <v>42.0277777777764</v>
      </c>
      <c r="Y92" s="22">
        <f t="shared" si="28"/>
        <v>44.5</v>
      </c>
      <c r="Z92" s="23">
        <f t="shared" si="28"/>
        <v>35.599999999998971</v>
      </c>
      <c r="AA92" s="23">
        <f t="shared" si="28"/>
        <v>39.555555555554974</v>
      </c>
      <c r="AB92" s="23">
        <f t="shared" si="28"/>
        <v>42.0277777777764</v>
      </c>
      <c r="AC92" s="24">
        <f t="shared" si="28"/>
        <v>33.127777777778149</v>
      </c>
      <c r="AD92" s="24">
        <f t="shared" si="28"/>
        <v>37.08333333333325</v>
      </c>
      <c r="AE92" s="24">
        <f t="shared" si="28"/>
        <v>39.555555555554974</v>
      </c>
      <c r="AF92" s="25">
        <f t="shared" si="28"/>
        <v>30.655555555555118</v>
      </c>
      <c r="AG92" s="25">
        <f t="shared" si="28"/>
        <v>34.611111111111967</v>
      </c>
      <c r="AH92" s="25">
        <f t="shared" si="27"/>
        <v>37.08333333333325</v>
      </c>
      <c r="AI92" s="26">
        <f t="shared" si="27"/>
        <v>28.183333333333596</v>
      </c>
      <c r="AJ92" s="26">
        <f t="shared" si="27"/>
        <v>32.138888888888033</v>
      </c>
      <c r="AK92" s="26">
        <f t="shared" si="27"/>
        <v>34.611111111111967</v>
      </c>
    </row>
    <row r="93" spans="4:37" ht="20.100000000000001" customHeight="1">
      <c r="D93" s="27">
        <f t="shared" si="14"/>
        <v>0.24999999999999961</v>
      </c>
      <c r="E93" s="16">
        <f t="shared" si="25"/>
        <v>71.499999999999176</v>
      </c>
      <c r="F93" s="16">
        <f t="shared" si="25"/>
        <v>75.499999999997144</v>
      </c>
      <c r="G93" s="16">
        <f t="shared" si="25"/>
        <v>77.999999999998778</v>
      </c>
      <c r="H93" s="17">
        <f t="shared" si="25"/>
        <v>66.500000000001194</v>
      </c>
      <c r="I93" s="17">
        <f t="shared" si="25"/>
        <v>70.499999999999574</v>
      </c>
      <c r="J93" s="17">
        <f t="shared" si="25"/>
        <v>73</v>
      </c>
      <c r="K93" s="18">
        <f t="shared" si="25"/>
        <v>61.499999999999005</v>
      </c>
      <c r="L93" s="18">
        <f t="shared" si="25"/>
        <v>65.49999999999855</v>
      </c>
      <c r="M93" s="18">
        <f t="shared" si="25"/>
        <v>67.999999999999403</v>
      </c>
      <c r="N93" s="19">
        <f t="shared" si="25"/>
        <v>45.999999999999645</v>
      </c>
      <c r="O93" s="19">
        <f t="shared" si="25"/>
        <v>50.000000000001407</v>
      </c>
      <c r="P93" s="19">
        <f t="shared" si="25"/>
        <v>52.499999999999147</v>
      </c>
      <c r="Q93" s="20">
        <f t="shared" si="25"/>
        <v>43.500000000001094</v>
      </c>
      <c r="R93" s="20">
        <f t="shared" si="25"/>
        <v>47.500000000001478</v>
      </c>
      <c r="S93" s="20">
        <f t="shared" si="25"/>
        <v>50.000000000001407</v>
      </c>
      <c r="T93" s="21">
        <f t="shared" si="25"/>
        <v>41.000000000001513</v>
      </c>
      <c r="U93" s="21">
        <f t="shared" si="28"/>
        <v>45</v>
      </c>
      <c r="V93" s="21">
        <f t="shared" si="28"/>
        <v>47.500000000001478</v>
      </c>
      <c r="W93" s="22">
        <f t="shared" si="28"/>
        <v>38.500000000000171</v>
      </c>
      <c r="X93" s="22">
        <f t="shared" si="28"/>
        <v>42.499999999998622</v>
      </c>
      <c r="Y93" s="22">
        <f t="shared" si="28"/>
        <v>45</v>
      </c>
      <c r="Z93" s="23">
        <f t="shared" si="28"/>
        <v>35.99999999999897</v>
      </c>
      <c r="AA93" s="23">
        <f t="shared" si="28"/>
        <v>39.999999999999417</v>
      </c>
      <c r="AB93" s="23">
        <f t="shared" si="28"/>
        <v>42.499999999998622</v>
      </c>
      <c r="AC93" s="24">
        <f t="shared" si="28"/>
        <v>33.500000000000369</v>
      </c>
      <c r="AD93" s="24">
        <f t="shared" si="28"/>
        <v>37.499999999999915</v>
      </c>
      <c r="AE93" s="24">
        <f t="shared" si="28"/>
        <v>39.999999999999417</v>
      </c>
      <c r="AF93" s="25">
        <f t="shared" si="28"/>
        <v>30.999999999999563</v>
      </c>
      <c r="AG93" s="25">
        <f t="shared" si="28"/>
        <v>35.000000000000853</v>
      </c>
      <c r="AH93" s="25">
        <f t="shared" si="27"/>
        <v>37.499999999999915</v>
      </c>
      <c r="AI93" s="26">
        <f t="shared" si="27"/>
        <v>28.500000000000263</v>
      </c>
      <c r="AJ93" s="26">
        <f t="shared" si="27"/>
        <v>32.499999999999147</v>
      </c>
      <c r="AK93" s="26">
        <f t="shared" si="27"/>
        <v>35.000000000000853</v>
      </c>
    </row>
    <row r="94" spans="4:37" ht="20.100000000000001" customHeight="1">
      <c r="D94" s="27">
        <f t="shared" si="14"/>
        <v>0.25277777777777738</v>
      </c>
      <c r="E94" s="16">
        <f t="shared" si="25"/>
        <v>72.294444444443627</v>
      </c>
      <c r="F94" s="16">
        <f t="shared" si="25"/>
        <v>76.338888888886032</v>
      </c>
      <c r="G94" s="16">
        <f t="shared" si="25"/>
        <v>78.866666666665438</v>
      </c>
      <c r="H94" s="17">
        <f t="shared" si="25"/>
        <v>67.238888888890088</v>
      </c>
      <c r="I94" s="17">
        <f t="shared" si="25"/>
        <v>71.283333333332905</v>
      </c>
      <c r="J94" s="17">
        <f t="shared" si="25"/>
        <v>73.811111111111117</v>
      </c>
      <c r="K94" s="18">
        <f t="shared" si="25"/>
        <v>62.183333333332335</v>
      </c>
      <c r="L94" s="18">
        <f t="shared" si="25"/>
        <v>66.227777777776325</v>
      </c>
      <c r="M94" s="18">
        <f t="shared" si="25"/>
        <v>68.755555555554963</v>
      </c>
      <c r="N94" s="19">
        <f t="shared" si="25"/>
        <v>46.511111111110758</v>
      </c>
      <c r="O94" s="19">
        <f t="shared" si="25"/>
        <v>50.555555555556964</v>
      </c>
      <c r="P94" s="19">
        <f t="shared" si="25"/>
        <v>53.083333333332483</v>
      </c>
      <c r="Q94" s="20">
        <f t="shared" si="25"/>
        <v>43.983333333334429</v>
      </c>
      <c r="R94" s="20">
        <f t="shared" si="25"/>
        <v>48.027777777779256</v>
      </c>
      <c r="S94" s="20">
        <f t="shared" si="25"/>
        <v>50.555555555556964</v>
      </c>
      <c r="T94" s="21">
        <f t="shared" si="25"/>
        <v>41.455555555557069</v>
      </c>
      <c r="U94" s="21">
        <f t="shared" si="28"/>
        <v>45.5</v>
      </c>
      <c r="V94" s="21">
        <f t="shared" si="28"/>
        <v>48.027777777779256</v>
      </c>
      <c r="W94" s="22">
        <f t="shared" si="28"/>
        <v>38.927777777777948</v>
      </c>
      <c r="X94" s="22">
        <f t="shared" si="28"/>
        <v>42.972222222220843</v>
      </c>
      <c r="Y94" s="22">
        <f t="shared" si="28"/>
        <v>45.5</v>
      </c>
      <c r="Z94" s="23">
        <f t="shared" si="28"/>
        <v>36.399999999998968</v>
      </c>
      <c r="AA94" s="23">
        <f t="shared" si="28"/>
        <v>40.44444444444386</v>
      </c>
      <c r="AB94" s="23">
        <f t="shared" si="28"/>
        <v>42.972222222220843</v>
      </c>
      <c r="AC94" s="24">
        <f t="shared" si="28"/>
        <v>33.872222222222589</v>
      </c>
      <c r="AD94" s="24">
        <f t="shared" si="28"/>
        <v>37.916666666666579</v>
      </c>
      <c r="AE94" s="24">
        <f t="shared" si="28"/>
        <v>40.44444444444386</v>
      </c>
      <c r="AF94" s="25">
        <f t="shared" si="28"/>
        <v>31.344444444444008</v>
      </c>
      <c r="AG94" s="25">
        <f t="shared" si="28"/>
        <v>35.388888888889738</v>
      </c>
      <c r="AH94" s="25">
        <f t="shared" si="27"/>
        <v>37.916666666666579</v>
      </c>
      <c r="AI94" s="26">
        <f t="shared" si="27"/>
        <v>28.816666666666929</v>
      </c>
      <c r="AJ94" s="26">
        <f t="shared" si="27"/>
        <v>32.861111111110262</v>
      </c>
      <c r="AK94" s="26">
        <f t="shared" si="27"/>
        <v>35.388888888889738</v>
      </c>
    </row>
    <row r="95" spans="4:37" ht="20.100000000000001" customHeight="1">
      <c r="D95" s="27">
        <f t="shared" si="14"/>
        <v>0.25555555555555515</v>
      </c>
      <c r="E95" s="16">
        <f t="shared" si="25"/>
        <v>73.088888888888079</v>
      </c>
      <c r="F95" s="16">
        <f t="shared" si="25"/>
        <v>77.177777777774921</v>
      </c>
      <c r="G95" s="16">
        <f t="shared" si="25"/>
        <v>79.733333333332098</v>
      </c>
      <c r="H95" s="17">
        <f t="shared" si="25"/>
        <v>67.977777777778982</v>
      </c>
      <c r="I95" s="17">
        <f t="shared" si="25"/>
        <v>72.066666666666237</v>
      </c>
      <c r="J95" s="17">
        <f t="shared" si="25"/>
        <v>74.622222222222234</v>
      </c>
      <c r="K95" s="18">
        <f t="shared" si="25"/>
        <v>62.866666666665665</v>
      </c>
      <c r="L95" s="18">
        <f t="shared" si="25"/>
        <v>66.955555555554099</v>
      </c>
      <c r="M95" s="18">
        <f t="shared" si="25"/>
        <v>69.511111111110523</v>
      </c>
      <c r="N95" s="19">
        <f t="shared" si="25"/>
        <v>47.02222222222187</v>
      </c>
      <c r="O95" s="19">
        <f t="shared" si="25"/>
        <v>51.111111111112521</v>
      </c>
      <c r="P95" s="19">
        <f t="shared" si="25"/>
        <v>53.666666666665819</v>
      </c>
      <c r="Q95" s="20">
        <f t="shared" si="25"/>
        <v>44.466666666667763</v>
      </c>
      <c r="R95" s="20">
        <f t="shared" si="25"/>
        <v>48.555555555557035</v>
      </c>
      <c r="S95" s="20">
        <f t="shared" si="25"/>
        <v>51.111111111112521</v>
      </c>
      <c r="T95" s="21">
        <f t="shared" si="25"/>
        <v>41.911111111112625</v>
      </c>
      <c r="U95" s="21">
        <f t="shared" si="28"/>
        <v>46</v>
      </c>
      <c r="V95" s="21">
        <f t="shared" si="28"/>
        <v>48.555555555557035</v>
      </c>
      <c r="W95" s="22">
        <f t="shared" si="28"/>
        <v>39.355555555555725</v>
      </c>
      <c r="X95" s="22">
        <f t="shared" si="28"/>
        <v>43.444444444443064</v>
      </c>
      <c r="Y95" s="22">
        <f t="shared" si="28"/>
        <v>46</v>
      </c>
      <c r="Z95" s="23">
        <f t="shared" si="28"/>
        <v>36.799999999998967</v>
      </c>
      <c r="AA95" s="23">
        <f t="shared" si="28"/>
        <v>40.888888888888303</v>
      </c>
      <c r="AB95" s="23">
        <f t="shared" si="28"/>
        <v>43.444444444443064</v>
      </c>
      <c r="AC95" s="24">
        <f t="shared" si="28"/>
        <v>34.24444444444481</v>
      </c>
      <c r="AD95" s="24">
        <f t="shared" si="28"/>
        <v>38.333333333333243</v>
      </c>
      <c r="AE95" s="24">
        <f t="shared" si="28"/>
        <v>40.888888888888303</v>
      </c>
      <c r="AF95" s="25">
        <f t="shared" si="28"/>
        <v>31.688888888888453</v>
      </c>
      <c r="AG95" s="25">
        <f t="shared" si="28"/>
        <v>35.777777777778624</v>
      </c>
      <c r="AH95" s="25">
        <f t="shared" si="27"/>
        <v>38.333333333333243</v>
      </c>
      <c r="AI95" s="26">
        <f t="shared" si="27"/>
        <v>29.133333333333596</v>
      </c>
      <c r="AJ95" s="26">
        <f t="shared" si="27"/>
        <v>33.222222222221376</v>
      </c>
      <c r="AK95" s="26">
        <f t="shared" si="27"/>
        <v>35.777777777778624</v>
      </c>
    </row>
    <row r="96" spans="4:37" ht="20.100000000000001" customHeight="1">
      <c r="D96" s="27">
        <f t="shared" si="14"/>
        <v>0.25833333333333292</v>
      </c>
      <c r="E96" s="16">
        <f t="shared" si="25"/>
        <v>73.88333333333253</v>
      </c>
      <c r="F96" s="16">
        <f t="shared" si="25"/>
        <v>78.016666666663809</v>
      </c>
      <c r="G96" s="16">
        <f t="shared" si="25"/>
        <v>80.599999999998758</v>
      </c>
      <c r="H96" s="17">
        <f t="shared" si="25"/>
        <v>68.716666666667876</v>
      </c>
      <c r="I96" s="17">
        <f t="shared" si="25"/>
        <v>72.849999999999568</v>
      </c>
      <c r="J96" s="17">
        <f t="shared" si="25"/>
        <v>75.433333333333351</v>
      </c>
      <c r="K96" s="18">
        <f t="shared" si="25"/>
        <v>63.549999999998995</v>
      </c>
      <c r="L96" s="18">
        <f t="shared" si="25"/>
        <v>67.683333333331873</v>
      </c>
      <c r="M96" s="18">
        <f t="shared" si="25"/>
        <v>70.266666666666083</v>
      </c>
      <c r="N96" s="19">
        <f t="shared" si="25"/>
        <v>47.533333333332983</v>
      </c>
      <c r="O96" s="19">
        <f t="shared" si="25"/>
        <v>51.666666666668078</v>
      </c>
      <c r="P96" s="19">
        <f t="shared" si="25"/>
        <v>54.249999999999154</v>
      </c>
      <c r="Q96" s="20">
        <f t="shared" si="25"/>
        <v>44.950000000001097</v>
      </c>
      <c r="R96" s="20">
        <f t="shared" si="25"/>
        <v>49.083333333334814</v>
      </c>
      <c r="S96" s="20">
        <f t="shared" si="25"/>
        <v>51.666666666668078</v>
      </c>
      <c r="T96" s="21">
        <f>T97-(T$363/360)</f>
        <v>42.366666666668181</v>
      </c>
      <c r="U96" s="21">
        <f>U97-(U$363/360)</f>
        <v>46.5</v>
      </c>
      <c r="V96" s="21">
        <f t="shared" si="28"/>
        <v>49.083333333334814</v>
      </c>
      <c r="W96" s="22">
        <f t="shared" si="28"/>
        <v>39.783333333333502</v>
      </c>
      <c r="X96" s="22">
        <f t="shared" si="28"/>
        <v>43.916666666665286</v>
      </c>
      <c r="Y96" s="22">
        <f t="shared" si="28"/>
        <v>46.5</v>
      </c>
      <c r="Z96" s="23">
        <f t="shared" si="28"/>
        <v>37.199999999998965</v>
      </c>
      <c r="AA96" s="23">
        <f t="shared" si="28"/>
        <v>41.333333333332746</v>
      </c>
      <c r="AB96" s="23">
        <f t="shared" si="28"/>
        <v>43.916666666665286</v>
      </c>
      <c r="AC96" s="24">
        <f t="shared" si="28"/>
        <v>34.61666666666703</v>
      </c>
      <c r="AD96" s="24">
        <f t="shared" si="28"/>
        <v>38.749999999999908</v>
      </c>
      <c r="AE96" s="24">
        <f t="shared" si="28"/>
        <v>41.333333333332746</v>
      </c>
      <c r="AF96" s="25">
        <f t="shared" si="28"/>
        <v>32.033333333332898</v>
      </c>
      <c r="AG96" s="25">
        <f t="shared" si="28"/>
        <v>36.16666666666751</v>
      </c>
      <c r="AH96" s="25">
        <f t="shared" si="27"/>
        <v>38.749999999999908</v>
      </c>
      <c r="AI96" s="26">
        <f t="shared" si="27"/>
        <v>29.450000000000262</v>
      </c>
      <c r="AJ96" s="26">
        <f t="shared" si="27"/>
        <v>33.58333333333249</v>
      </c>
      <c r="AK96" s="26">
        <f t="shared" si="27"/>
        <v>36.16666666666751</v>
      </c>
    </row>
    <row r="97" spans="4:37" ht="20.100000000000001" customHeight="1">
      <c r="D97" s="27">
        <f t="shared" si="14"/>
        <v>0.26111111111111068</v>
      </c>
      <c r="E97" s="16">
        <f t="shared" ref="E97:T112" si="29">E98-(E$363/360)</f>
        <v>74.677777777776981</v>
      </c>
      <c r="F97" s="16">
        <f t="shared" si="29"/>
        <v>78.855555555552698</v>
      </c>
      <c r="G97" s="16">
        <f t="shared" si="29"/>
        <v>81.466666666665418</v>
      </c>
      <c r="H97" s="17">
        <f t="shared" si="29"/>
        <v>69.455555555556771</v>
      </c>
      <c r="I97" s="17">
        <f t="shared" si="29"/>
        <v>73.633333333332899</v>
      </c>
      <c r="J97" s="17">
        <f t="shared" si="29"/>
        <v>76.244444444444468</v>
      </c>
      <c r="K97" s="18">
        <f t="shared" si="29"/>
        <v>64.233333333332325</v>
      </c>
      <c r="L97" s="18">
        <f t="shared" si="29"/>
        <v>68.411111111109648</v>
      </c>
      <c r="M97" s="18">
        <f t="shared" si="29"/>
        <v>71.022222222221643</v>
      </c>
      <c r="N97" s="19">
        <f t="shared" si="29"/>
        <v>48.044444444444096</v>
      </c>
      <c r="O97" s="19">
        <f t="shared" si="29"/>
        <v>52.222222222223635</v>
      </c>
      <c r="P97" s="19">
        <f t="shared" si="29"/>
        <v>54.83333333333249</v>
      </c>
      <c r="Q97" s="20">
        <f t="shared" si="29"/>
        <v>45.433333333334431</v>
      </c>
      <c r="R97" s="20">
        <f t="shared" si="29"/>
        <v>49.611111111112592</v>
      </c>
      <c r="S97" s="20">
        <f t="shared" si="29"/>
        <v>52.222222222223635</v>
      </c>
      <c r="T97" s="21">
        <f t="shared" si="29"/>
        <v>42.822222222223736</v>
      </c>
      <c r="U97" s="21">
        <f t="shared" ref="U97:U111" si="30">U98-(U$363/360)</f>
        <v>47</v>
      </c>
      <c r="V97" s="21">
        <f t="shared" si="28"/>
        <v>49.611111111112592</v>
      </c>
      <c r="W97" s="22">
        <f t="shared" si="28"/>
        <v>40.211111111111279</v>
      </c>
      <c r="X97" s="22">
        <f t="shared" si="28"/>
        <v>44.388888888887507</v>
      </c>
      <c r="Y97" s="22">
        <f t="shared" si="28"/>
        <v>47</v>
      </c>
      <c r="Z97" s="23">
        <f t="shared" si="28"/>
        <v>37.599999999998964</v>
      </c>
      <c r="AA97" s="23">
        <f t="shared" si="28"/>
        <v>41.777777777777189</v>
      </c>
      <c r="AB97" s="23">
        <f t="shared" si="28"/>
        <v>44.388888888887507</v>
      </c>
      <c r="AC97" s="24">
        <f t="shared" si="28"/>
        <v>34.98888888888925</v>
      </c>
      <c r="AD97" s="24">
        <f t="shared" si="28"/>
        <v>39.166666666666572</v>
      </c>
      <c r="AE97" s="24">
        <f t="shared" si="28"/>
        <v>41.777777777777189</v>
      </c>
      <c r="AF97" s="25">
        <f t="shared" si="28"/>
        <v>32.377777777777339</v>
      </c>
      <c r="AG97" s="25">
        <f t="shared" si="28"/>
        <v>36.555555555556396</v>
      </c>
      <c r="AH97" s="25">
        <f t="shared" si="27"/>
        <v>39.166666666666572</v>
      </c>
      <c r="AI97" s="26">
        <f t="shared" si="27"/>
        <v>29.766666666666929</v>
      </c>
      <c r="AJ97" s="26">
        <f t="shared" si="27"/>
        <v>33.944444444443604</v>
      </c>
      <c r="AK97" s="26">
        <f t="shared" si="27"/>
        <v>36.555555555556396</v>
      </c>
    </row>
    <row r="98" spans="4:37" ht="20.100000000000001" customHeight="1">
      <c r="D98" s="27">
        <f t="shared" si="14"/>
        <v>0.26388888888888845</v>
      </c>
      <c r="E98" s="16">
        <f t="shared" si="29"/>
        <v>75.472222222221433</v>
      </c>
      <c r="F98" s="16">
        <f t="shared" si="29"/>
        <v>79.694444444441586</v>
      </c>
      <c r="G98" s="16">
        <f t="shared" si="29"/>
        <v>82.333333333332078</v>
      </c>
      <c r="H98" s="17">
        <f t="shared" si="29"/>
        <v>70.194444444445665</v>
      </c>
      <c r="I98" s="17">
        <f t="shared" si="29"/>
        <v>74.416666666666231</v>
      </c>
      <c r="J98" s="17">
        <f t="shared" si="29"/>
        <v>77.055555555555586</v>
      </c>
      <c r="K98" s="18">
        <f t="shared" si="29"/>
        <v>64.916666666665662</v>
      </c>
      <c r="L98" s="18">
        <f t="shared" si="29"/>
        <v>69.138888888887422</v>
      </c>
      <c r="M98" s="18">
        <f t="shared" si="29"/>
        <v>71.777777777777203</v>
      </c>
      <c r="N98" s="19">
        <f t="shared" si="29"/>
        <v>48.555555555555209</v>
      </c>
      <c r="O98" s="19">
        <f t="shared" si="29"/>
        <v>52.777777777779193</v>
      </c>
      <c r="P98" s="19">
        <f t="shared" si="29"/>
        <v>55.416666666665826</v>
      </c>
      <c r="Q98" s="20">
        <f t="shared" si="29"/>
        <v>45.916666666667766</v>
      </c>
      <c r="R98" s="20">
        <f t="shared" si="29"/>
        <v>50.138888888890371</v>
      </c>
      <c r="S98" s="20">
        <f t="shared" si="29"/>
        <v>52.777777777779193</v>
      </c>
      <c r="T98" s="21">
        <f t="shared" si="29"/>
        <v>43.277777777779292</v>
      </c>
      <c r="U98" s="21">
        <f t="shared" si="30"/>
        <v>47.5</v>
      </c>
      <c r="V98" s="21">
        <f t="shared" si="28"/>
        <v>50.138888888890371</v>
      </c>
      <c r="W98" s="22">
        <f t="shared" si="28"/>
        <v>40.638888888889056</v>
      </c>
      <c r="X98" s="22">
        <f t="shared" si="28"/>
        <v>44.861111111109729</v>
      </c>
      <c r="Y98" s="22">
        <f t="shared" si="28"/>
        <v>47.5</v>
      </c>
      <c r="Z98" s="23">
        <f t="shared" si="28"/>
        <v>37.999999999998963</v>
      </c>
      <c r="AA98" s="23">
        <f t="shared" si="28"/>
        <v>42.222222222221632</v>
      </c>
      <c r="AB98" s="23">
        <f t="shared" si="28"/>
        <v>44.861111111109729</v>
      </c>
      <c r="AC98" s="24">
        <f t="shared" si="28"/>
        <v>35.36111111111147</v>
      </c>
      <c r="AD98" s="24">
        <f t="shared" si="28"/>
        <v>39.583333333333236</v>
      </c>
      <c r="AE98" s="24">
        <f t="shared" si="28"/>
        <v>42.222222222221632</v>
      </c>
      <c r="AF98" s="25">
        <f t="shared" si="28"/>
        <v>32.722222222221781</v>
      </c>
      <c r="AG98" s="25">
        <f t="shared" si="28"/>
        <v>36.944444444445281</v>
      </c>
      <c r="AH98" s="25">
        <f t="shared" si="27"/>
        <v>39.583333333333236</v>
      </c>
      <c r="AI98" s="26">
        <f t="shared" si="27"/>
        <v>30.083333333333595</v>
      </c>
      <c r="AJ98" s="26">
        <f t="shared" si="27"/>
        <v>34.305555555554719</v>
      </c>
      <c r="AK98" s="26">
        <f t="shared" si="27"/>
        <v>36.944444444445281</v>
      </c>
    </row>
    <row r="99" spans="4:37" ht="20.100000000000001" customHeight="1">
      <c r="D99" s="27">
        <f t="shared" si="14"/>
        <v>0.26666666666666622</v>
      </c>
      <c r="E99" s="16">
        <f t="shared" si="29"/>
        <v>76.266666666665884</v>
      </c>
      <c r="F99" s="16">
        <f t="shared" si="29"/>
        <v>80.533333333330475</v>
      </c>
      <c r="G99" s="16">
        <f t="shared" si="29"/>
        <v>83.199999999998738</v>
      </c>
      <c r="H99" s="17">
        <f t="shared" si="29"/>
        <v>70.933333333334559</v>
      </c>
      <c r="I99" s="17">
        <f t="shared" si="29"/>
        <v>75.199999999999562</v>
      </c>
      <c r="J99" s="17">
        <f t="shared" si="29"/>
        <v>77.866666666666703</v>
      </c>
      <c r="K99" s="18">
        <f t="shared" si="29"/>
        <v>65.599999999999</v>
      </c>
      <c r="L99" s="18">
        <f t="shared" si="29"/>
        <v>69.866666666665196</v>
      </c>
      <c r="M99" s="18">
        <f t="shared" si="29"/>
        <v>72.533333333332763</v>
      </c>
      <c r="N99" s="19">
        <f t="shared" si="29"/>
        <v>49.066666666666322</v>
      </c>
      <c r="O99" s="19">
        <f t="shared" si="29"/>
        <v>53.33333333333475</v>
      </c>
      <c r="P99" s="19">
        <f t="shared" si="29"/>
        <v>55.999999999999162</v>
      </c>
      <c r="Q99" s="20">
        <f t="shared" si="29"/>
        <v>46.4000000000011</v>
      </c>
      <c r="R99" s="20">
        <f t="shared" si="29"/>
        <v>50.666666666668149</v>
      </c>
      <c r="S99" s="20">
        <f t="shared" si="29"/>
        <v>53.33333333333475</v>
      </c>
      <c r="T99" s="21">
        <f t="shared" si="29"/>
        <v>43.733333333334848</v>
      </c>
      <c r="U99" s="21">
        <f t="shared" si="30"/>
        <v>48</v>
      </c>
      <c r="V99" s="21">
        <f t="shared" si="28"/>
        <v>50.666666666668149</v>
      </c>
      <c r="W99" s="22">
        <f t="shared" si="28"/>
        <v>41.066666666666833</v>
      </c>
      <c r="X99" s="22">
        <f t="shared" si="28"/>
        <v>45.33333333333195</v>
      </c>
      <c r="Y99" s="22">
        <f t="shared" si="28"/>
        <v>48</v>
      </c>
      <c r="Z99" s="23">
        <f t="shared" si="28"/>
        <v>38.399999999998961</v>
      </c>
      <c r="AA99" s="23">
        <f t="shared" si="28"/>
        <v>42.666666666666075</v>
      </c>
      <c r="AB99" s="23">
        <f t="shared" si="28"/>
        <v>45.33333333333195</v>
      </c>
      <c r="AC99" s="24">
        <f t="shared" si="28"/>
        <v>35.73333333333369</v>
      </c>
      <c r="AD99" s="24">
        <f t="shared" si="28"/>
        <v>39.999999999999901</v>
      </c>
      <c r="AE99" s="24">
        <f t="shared" si="28"/>
        <v>42.666666666666075</v>
      </c>
      <c r="AF99" s="25">
        <f t="shared" si="28"/>
        <v>33.066666666666222</v>
      </c>
      <c r="AG99" s="25">
        <f t="shared" si="28"/>
        <v>37.333333333334167</v>
      </c>
      <c r="AH99" s="25">
        <f t="shared" si="27"/>
        <v>39.999999999999901</v>
      </c>
      <c r="AI99" s="26">
        <f t="shared" si="27"/>
        <v>30.400000000000261</v>
      </c>
      <c r="AJ99" s="26">
        <f t="shared" si="27"/>
        <v>34.666666666665833</v>
      </c>
      <c r="AK99" s="26">
        <f t="shared" si="27"/>
        <v>37.333333333334167</v>
      </c>
    </row>
    <row r="100" spans="4:37" ht="20.100000000000001" customHeight="1">
      <c r="D100" s="27">
        <f t="shared" si="14"/>
        <v>0.26944444444444399</v>
      </c>
      <c r="E100" s="16">
        <f t="shared" si="29"/>
        <v>77.061111111110336</v>
      </c>
      <c r="F100" s="16">
        <f t="shared" si="29"/>
        <v>81.372222222219364</v>
      </c>
      <c r="G100" s="16">
        <f t="shared" si="29"/>
        <v>84.066666666665398</v>
      </c>
      <c r="H100" s="17">
        <f t="shared" si="29"/>
        <v>71.672222222223454</v>
      </c>
      <c r="I100" s="17">
        <f t="shared" si="29"/>
        <v>75.983333333332894</v>
      </c>
      <c r="J100" s="17">
        <f t="shared" si="29"/>
        <v>78.67777777777782</v>
      </c>
      <c r="K100" s="18">
        <f t="shared" si="29"/>
        <v>66.283333333332337</v>
      </c>
      <c r="L100" s="18">
        <f t="shared" si="29"/>
        <v>70.594444444442971</v>
      </c>
      <c r="M100" s="18">
        <f t="shared" si="29"/>
        <v>73.288888888888323</v>
      </c>
      <c r="N100" s="19">
        <f t="shared" si="29"/>
        <v>49.577777777777435</v>
      </c>
      <c r="O100" s="19">
        <f t="shared" si="29"/>
        <v>53.888888888890307</v>
      </c>
      <c r="P100" s="19">
        <f t="shared" si="29"/>
        <v>56.583333333332497</v>
      </c>
      <c r="Q100" s="20">
        <f t="shared" si="29"/>
        <v>46.883333333334434</v>
      </c>
      <c r="R100" s="20">
        <f t="shared" si="29"/>
        <v>51.194444444445928</v>
      </c>
      <c r="S100" s="20">
        <f t="shared" si="29"/>
        <v>53.888888888890307</v>
      </c>
      <c r="T100" s="21">
        <f t="shared" si="29"/>
        <v>44.188888888890403</v>
      </c>
      <c r="U100" s="21">
        <f t="shared" si="30"/>
        <v>48.5</v>
      </c>
      <c r="V100" s="21">
        <f t="shared" si="28"/>
        <v>51.194444444445928</v>
      </c>
      <c r="W100" s="22">
        <f t="shared" si="28"/>
        <v>41.494444444444611</v>
      </c>
      <c r="X100" s="22">
        <f t="shared" si="28"/>
        <v>45.805555555554172</v>
      </c>
      <c r="Y100" s="22">
        <f t="shared" si="28"/>
        <v>48.5</v>
      </c>
      <c r="Z100" s="23">
        <f t="shared" si="28"/>
        <v>38.79999999999896</v>
      </c>
      <c r="AA100" s="23">
        <f t="shared" si="28"/>
        <v>43.111111111110517</v>
      </c>
      <c r="AB100" s="23">
        <f t="shared" si="28"/>
        <v>45.805555555554172</v>
      </c>
      <c r="AC100" s="24">
        <f t="shared" si="28"/>
        <v>36.10555555555591</v>
      </c>
      <c r="AD100" s="24">
        <f t="shared" si="28"/>
        <v>40.416666666666565</v>
      </c>
      <c r="AE100" s="24">
        <f t="shared" si="28"/>
        <v>43.111111111110517</v>
      </c>
      <c r="AF100" s="25">
        <f t="shared" si="28"/>
        <v>33.411111111110664</v>
      </c>
      <c r="AG100" s="25">
        <f t="shared" si="28"/>
        <v>37.722222222223053</v>
      </c>
      <c r="AH100" s="25">
        <f t="shared" si="27"/>
        <v>40.416666666666565</v>
      </c>
      <c r="AI100" s="26">
        <f t="shared" si="27"/>
        <v>30.716666666666928</v>
      </c>
      <c r="AJ100" s="26">
        <f t="shared" si="27"/>
        <v>35.027777777776947</v>
      </c>
      <c r="AK100" s="26">
        <f t="shared" si="27"/>
        <v>37.722222222223053</v>
      </c>
    </row>
    <row r="101" spans="4:37" ht="20.100000000000001" customHeight="1">
      <c r="D101" s="27">
        <f t="shared" si="14"/>
        <v>0.27222222222222175</v>
      </c>
      <c r="E101" s="16">
        <f t="shared" si="29"/>
        <v>77.855555555554787</v>
      </c>
      <c r="F101" s="16">
        <f t="shared" si="29"/>
        <v>82.211111111108252</v>
      </c>
      <c r="G101" s="16">
        <f t="shared" si="29"/>
        <v>84.933333333332058</v>
      </c>
      <c r="H101" s="17">
        <f t="shared" si="29"/>
        <v>72.411111111112348</v>
      </c>
      <c r="I101" s="17">
        <f t="shared" si="29"/>
        <v>76.766666666666225</v>
      </c>
      <c r="J101" s="17">
        <f t="shared" si="29"/>
        <v>79.488888888888937</v>
      </c>
      <c r="K101" s="18">
        <f t="shared" si="29"/>
        <v>66.966666666665674</v>
      </c>
      <c r="L101" s="18">
        <f t="shared" si="29"/>
        <v>71.322222222220745</v>
      </c>
      <c r="M101" s="18">
        <f t="shared" si="29"/>
        <v>74.044444444443883</v>
      </c>
      <c r="N101" s="19">
        <f t="shared" si="29"/>
        <v>50.088888888888548</v>
      </c>
      <c r="O101" s="19">
        <f t="shared" si="29"/>
        <v>54.444444444445864</v>
      </c>
      <c r="P101" s="19">
        <f t="shared" si="29"/>
        <v>57.166666666665833</v>
      </c>
      <c r="Q101" s="20">
        <f t="shared" si="29"/>
        <v>47.366666666667768</v>
      </c>
      <c r="R101" s="20">
        <f t="shared" si="29"/>
        <v>51.722222222223706</v>
      </c>
      <c r="S101" s="20">
        <f t="shared" si="29"/>
        <v>54.444444444445864</v>
      </c>
      <c r="T101" s="21">
        <f t="shared" si="29"/>
        <v>44.644444444445959</v>
      </c>
      <c r="U101" s="21">
        <f t="shared" si="30"/>
        <v>49</v>
      </c>
      <c r="V101" s="21">
        <f t="shared" si="28"/>
        <v>51.722222222223706</v>
      </c>
      <c r="W101" s="22">
        <f t="shared" si="28"/>
        <v>41.922222222222388</v>
      </c>
      <c r="X101" s="22">
        <f t="shared" si="28"/>
        <v>46.277777777776393</v>
      </c>
      <c r="Y101" s="22">
        <f t="shared" si="28"/>
        <v>49</v>
      </c>
      <c r="Z101" s="23">
        <f t="shared" si="28"/>
        <v>39.199999999998958</v>
      </c>
      <c r="AA101" s="23">
        <f t="shared" si="28"/>
        <v>43.55555555555496</v>
      </c>
      <c r="AB101" s="23">
        <f t="shared" si="28"/>
        <v>46.277777777776393</v>
      </c>
      <c r="AC101" s="24">
        <f t="shared" si="28"/>
        <v>36.47777777777813</v>
      </c>
      <c r="AD101" s="24">
        <f t="shared" si="28"/>
        <v>40.833333333333229</v>
      </c>
      <c r="AE101" s="24">
        <f t="shared" si="28"/>
        <v>43.55555555555496</v>
      </c>
      <c r="AF101" s="25">
        <f t="shared" si="28"/>
        <v>33.755555555555105</v>
      </c>
      <c r="AG101" s="25">
        <f t="shared" si="28"/>
        <v>38.111111111111938</v>
      </c>
      <c r="AH101" s="25">
        <f t="shared" si="27"/>
        <v>40.833333333333229</v>
      </c>
      <c r="AI101" s="26">
        <f t="shared" si="27"/>
        <v>31.033333333333594</v>
      </c>
      <c r="AJ101" s="26">
        <f t="shared" si="27"/>
        <v>35.388888888888062</v>
      </c>
      <c r="AK101" s="26">
        <f t="shared" si="27"/>
        <v>38.111111111111938</v>
      </c>
    </row>
    <row r="102" spans="4:37" ht="20.100000000000001" customHeight="1">
      <c r="D102" s="27">
        <f t="shared" si="14"/>
        <v>0.27499999999999952</v>
      </c>
      <c r="E102" s="16">
        <f t="shared" si="29"/>
        <v>78.649999999999238</v>
      </c>
      <c r="F102" s="16">
        <f t="shared" si="29"/>
        <v>83.049999999997141</v>
      </c>
      <c r="G102" s="16">
        <f t="shared" si="29"/>
        <v>85.799999999998718</v>
      </c>
      <c r="H102" s="17">
        <f t="shared" si="29"/>
        <v>73.150000000001242</v>
      </c>
      <c r="I102" s="17">
        <f t="shared" si="29"/>
        <v>77.549999999999557</v>
      </c>
      <c r="J102" s="17">
        <f t="shared" si="29"/>
        <v>80.300000000000054</v>
      </c>
      <c r="K102" s="18">
        <f t="shared" si="29"/>
        <v>67.649999999999011</v>
      </c>
      <c r="L102" s="18">
        <f t="shared" si="29"/>
        <v>72.049999999998519</v>
      </c>
      <c r="M102" s="18">
        <f t="shared" si="29"/>
        <v>74.799999999999443</v>
      </c>
      <c r="N102" s="19">
        <f t="shared" si="29"/>
        <v>50.59999999999966</v>
      </c>
      <c r="O102" s="19">
        <f t="shared" si="29"/>
        <v>55.000000000001421</v>
      </c>
      <c r="P102" s="19">
        <f t="shared" si="29"/>
        <v>57.749999999999169</v>
      </c>
      <c r="Q102" s="20">
        <f t="shared" si="29"/>
        <v>47.850000000001103</v>
      </c>
      <c r="R102" s="20">
        <f t="shared" si="29"/>
        <v>52.250000000001485</v>
      </c>
      <c r="S102" s="20">
        <f t="shared" si="29"/>
        <v>55.000000000001421</v>
      </c>
      <c r="T102" s="21">
        <f t="shared" si="29"/>
        <v>45.100000000001515</v>
      </c>
      <c r="U102" s="21">
        <f t="shared" si="30"/>
        <v>49.5</v>
      </c>
      <c r="V102" s="21">
        <f t="shared" si="28"/>
        <v>52.250000000001485</v>
      </c>
      <c r="W102" s="22">
        <f t="shared" si="28"/>
        <v>42.350000000000165</v>
      </c>
      <c r="X102" s="22">
        <f t="shared" si="28"/>
        <v>46.749999999998614</v>
      </c>
      <c r="Y102" s="22">
        <f t="shared" si="28"/>
        <v>49.5</v>
      </c>
      <c r="Z102" s="23">
        <f t="shared" si="28"/>
        <v>39.599999999998957</v>
      </c>
      <c r="AA102" s="23">
        <f t="shared" si="28"/>
        <v>43.999999999999403</v>
      </c>
      <c r="AB102" s="23">
        <f t="shared" si="28"/>
        <v>46.749999999998614</v>
      </c>
      <c r="AC102" s="24">
        <f t="shared" si="28"/>
        <v>36.85000000000035</v>
      </c>
      <c r="AD102" s="24">
        <f t="shared" si="28"/>
        <v>41.249999999999893</v>
      </c>
      <c r="AE102" s="24">
        <f t="shared" si="28"/>
        <v>43.999999999999403</v>
      </c>
      <c r="AF102" s="25">
        <f t="shared" si="28"/>
        <v>34.099999999999547</v>
      </c>
      <c r="AG102" s="25">
        <f t="shared" si="28"/>
        <v>38.500000000000824</v>
      </c>
      <c r="AH102" s="25">
        <f t="shared" si="27"/>
        <v>41.249999999999893</v>
      </c>
      <c r="AI102" s="26">
        <f t="shared" si="27"/>
        <v>31.350000000000261</v>
      </c>
      <c r="AJ102" s="26">
        <f t="shared" si="27"/>
        <v>35.749999999999176</v>
      </c>
      <c r="AK102" s="26">
        <f t="shared" si="27"/>
        <v>38.500000000000824</v>
      </c>
    </row>
    <row r="103" spans="4:37" ht="20.100000000000001" customHeight="1">
      <c r="D103" s="27">
        <f t="shared" si="14"/>
        <v>0.27777777777777729</v>
      </c>
      <c r="E103" s="16">
        <f t="shared" si="29"/>
        <v>79.44444444444369</v>
      </c>
      <c r="F103" s="16">
        <f t="shared" si="29"/>
        <v>83.888888888886029</v>
      </c>
      <c r="G103" s="16">
        <f t="shared" si="29"/>
        <v>86.666666666665378</v>
      </c>
      <c r="H103" s="17">
        <f t="shared" si="29"/>
        <v>73.888888888890136</v>
      </c>
      <c r="I103" s="17">
        <f t="shared" si="29"/>
        <v>78.333333333332888</v>
      </c>
      <c r="J103" s="17">
        <f t="shared" si="29"/>
        <v>81.111111111111171</v>
      </c>
      <c r="K103" s="18">
        <f t="shared" si="29"/>
        <v>68.333333333332348</v>
      </c>
      <c r="L103" s="18">
        <f t="shared" si="29"/>
        <v>72.777777777776294</v>
      </c>
      <c r="M103" s="18">
        <f t="shared" si="29"/>
        <v>75.555555555555003</v>
      </c>
      <c r="N103" s="19">
        <f t="shared" si="29"/>
        <v>51.111111111110773</v>
      </c>
      <c r="O103" s="19">
        <f t="shared" si="29"/>
        <v>55.555555555556978</v>
      </c>
      <c r="P103" s="19">
        <f t="shared" si="29"/>
        <v>58.333333333332504</v>
      </c>
      <c r="Q103" s="20">
        <f t="shared" si="29"/>
        <v>48.333333333334437</v>
      </c>
      <c r="R103" s="20">
        <f t="shared" si="29"/>
        <v>52.777777777779264</v>
      </c>
      <c r="S103" s="20">
        <f t="shared" si="29"/>
        <v>55.555555555556978</v>
      </c>
      <c r="T103" s="21">
        <f t="shared" si="29"/>
        <v>45.555555555557071</v>
      </c>
      <c r="U103" s="21">
        <f t="shared" si="30"/>
        <v>50</v>
      </c>
      <c r="V103" s="21">
        <f t="shared" si="28"/>
        <v>52.777777777779264</v>
      </c>
      <c r="W103" s="22">
        <f t="shared" si="28"/>
        <v>42.777777777777942</v>
      </c>
      <c r="X103" s="22">
        <f t="shared" si="28"/>
        <v>47.222222222220836</v>
      </c>
      <c r="Y103" s="22">
        <f t="shared" si="28"/>
        <v>50</v>
      </c>
      <c r="Z103" s="23">
        <f t="shared" si="28"/>
        <v>39.999999999998956</v>
      </c>
      <c r="AA103" s="23">
        <f t="shared" si="28"/>
        <v>44.444444444443846</v>
      </c>
      <c r="AB103" s="23">
        <f t="shared" si="28"/>
        <v>47.222222222220836</v>
      </c>
      <c r="AC103" s="24">
        <f t="shared" si="28"/>
        <v>37.22222222222257</v>
      </c>
      <c r="AD103" s="24">
        <f t="shared" si="28"/>
        <v>41.666666666666558</v>
      </c>
      <c r="AE103" s="24">
        <f t="shared" si="28"/>
        <v>44.444444444443846</v>
      </c>
      <c r="AF103" s="25">
        <f t="shared" si="28"/>
        <v>34.444444444443988</v>
      </c>
      <c r="AG103" s="25">
        <f t="shared" si="28"/>
        <v>38.88888888888971</v>
      </c>
      <c r="AH103" s="25">
        <f t="shared" si="27"/>
        <v>41.666666666666558</v>
      </c>
      <c r="AI103" s="26">
        <f t="shared" si="27"/>
        <v>31.666666666666927</v>
      </c>
      <c r="AJ103" s="26">
        <f t="shared" si="27"/>
        <v>36.11111111111029</v>
      </c>
      <c r="AK103" s="26">
        <f t="shared" si="27"/>
        <v>38.88888888888971</v>
      </c>
    </row>
    <row r="104" spans="4:37" ht="20.100000000000001" customHeight="1">
      <c r="D104" s="27">
        <f t="shared" si="14"/>
        <v>0.28055555555555506</v>
      </c>
      <c r="E104" s="16">
        <f t="shared" si="29"/>
        <v>80.238888888888141</v>
      </c>
      <c r="F104" s="16">
        <f t="shared" si="29"/>
        <v>84.727777777774918</v>
      </c>
      <c r="G104" s="16">
        <f t="shared" si="29"/>
        <v>87.533333333332038</v>
      </c>
      <c r="H104" s="17">
        <f t="shared" si="29"/>
        <v>74.627777777779031</v>
      </c>
      <c r="I104" s="17">
        <f t="shared" si="29"/>
        <v>79.116666666666219</v>
      </c>
      <c r="J104" s="17">
        <f t="shared" si="29"/>
        <v>81.922222222222288</v>
      </c>
      <c r="K104" s="18">
        <f t="shared" si="29"/>
        <v>69.016666666665685</v>
      </c>
      <c r="L104" s="18">
        <f t="shared" si="29"/>
        <v>73.505555555554068</v>
      </c>
      <c r="M104" s="18">
        <f t="shared" si="29"/>
        <v>76.311111111110563</v>
      </c>
      <c r="N104" s="19">
        <f t="shared" si="29"/>
        <v>51.622222222221886</v>
      </c>
      <c r="O104" s="19">
        <f t="shared" si="29"/>
        <v>56.111111111112535</v>
      </c>
      <c r="P104" s="19">
        <f t="shared" si="29"/>
        <v>58.91666666666584</v>
      </c>
      <c r="Q104" s="20">
        <f t="shared" si="29"/>
        <v>48.816666666667771</v>
      </c>
      <c r="R104" s="20">
        <f t="shared" si="29"/>
        <v>53.305555555557042</v>
      </c>
      <c r="S104" s="20">
        <f t="shared" si="29"/>
        <v>56.111111111112535</v>
      </c>
      <c r="T104" s="21">
        <f t="shared" si="29"/>
        <v>46.011111111112626</v>
      </c>
      <c r="U104" s="21">
        <f t="shared" si="30"/>
        <v>50.5</v>
      </c>
      <c r="V104" s="21">
        <f t="shared" si="28"/>
        <v>53.305555555557042</v>
      </c>
      <c r="W104" s="22">
        <f t="shared" si="28"/>
        <v>43.205555555555719</v>
      </c>
      <c r="X104" s="22">
        <f t="shared" si="28"/>
        <v>47.694444444443057</v>
      </c>
      <c r="Y104" s="22">
        <f t="shared" si="28"/>
        <v>50.5</v>
      </c>
      <c r="Z104" s="23">
        <f t="shared" si="28"/>
        <v>40.399999999998954</v>
      </c>
      <c r="AA104" s="23">
        <f t="shared" si="28"/>
        <v>44.888888888888289</v>
      </c>
      <c r="AB104" s="23">
        <f t="shared" si="28"/>
        <v>47.694444444443057</v>
      </c>
      <c r="AC104" s="24">
        <f t="shared" si="28"/>
        <v>37.59444444444479</v>
      </c>
      <c r="AD104" s="24">
        <f t="shared" si="28"/>
        <v>42.083333333333222</v>
      </c>
      <c r="AE104" s="24">
        <f t="shared" si="28"/>
        <v>44.888888888888289</v>
      </c>
      <c r="AF104" s="25">
        <f t="shared" si="28"/>
        <v>34.78888888888843</v>
      </c>
      <c r="AG104" s="25">
        <f t="shared" si="28"/>
        <v>39.277777777778596</v>
      </c>
      <c r="AH104" s="25">
        <f t="shared" si="28"/>
        <v>42.083333333333222</v>
      </c>
      <c r="AI104" s="26">
        <f t="shared" si="28"/>
        <v>31.983333333333594</v>
      </c>
      <c r="AJ104" s="26">
        <f t="shared" si="28"/>
        <v>36.472222222221404</v>
      </c>
      <c r="AK104" s="26">
        <f t="shared" si="27"/>
        <v>39.277777777778596</v>
      </c>
    </row>
    <row r="105" spans="4:37" ht="20.100000000000001" customHeight="1">
      <c r="D105" s="27">
        <f t="shared" si="14"/>
        <v>0.28333333333333283</v>
      </c>
      <c r="E105" s="16">
        <f t="shared" si="29"/>
        <v>81.033333333332592</v>
      </c>
      <c r="F105" s="16">
        <f t="shared" si="29"/>
        <v>85.566666666663806</v>
      </c>
      <c r="G105" s="16">
        <f t="shared" si="29"/>
        <v>88.399999999998698</v>
      </c>
      <c r="H105" s="17">
        <f t="shared" si="29"/>
        <v>75.366666666667925</v>
      </c>
      <c r="I105" s="17">
        <f t="shared" si="29"/>
        <v>79.899999999999551</v>
      </c>
      <c r="J105" s="17">
        <f t="shared" si="29"/>
        <v>82.733333333333405</v>
      </c>
      <c r="K105" s="18">
        <f t="shared" si="29"/>
        <v>69.699999999999022</v>
      </c>
      <c r="L105" s="18">
        <f t="shared" si="29"/>
        <v>74.233333333331842</v>
      </c>
      <c r="M105" s="18">
        <f t="shared" si="29"/>
        <v>77.066666666666123</v>
      </c>
      <c r="N105" s="19">
        <f t="shared" si="29"/>
        <v>52.133333333332999</v>
      </c>
      <c r="O105" s="19">
        <f t="shared" si="29"/>
        <v>56.666666666668092</v>
      </c>
      <c r="P105" s="19">
        <f t="shared" si="29"/>
        <v>59.499999999999176</v>
      </c>
      <c r="Q105" s="20">
        <f t="shared" si="29"/>
        <v>49.300000000001106</v>
      </c>
      <c r="R105" s="20">
        <f t="shared" si="29"/>
        <v>53.833333333334821</v>
      </c>
      <c r="S105" s="20">
        <f t="shared" si="29"/>
        <v>56.666666666668092</v>
      </c>
      <c r="T105" s="21">
        <f t="shared" si="29"/>
        <v>46.466666666668182</v>
      </c>
      <c r="U105" s="21">
        <f t="shared" si="30"/>
        <v>51</v>
      </c>
      <c r="V105" s="21">
        <f t="shared" si="28"/>
        <v>53.833333333334821</v>
      </c>
      <c r="W105" s="22">
        <f t="shared" si="28"/>
        <v>43.633333333333496</v>
      </c>
      <c r="X105" s="22">
        <f t="shared" si="28"/>
        <v>48.166666666665279</v>
      </c>
      <c r="Y105" s="22">
        <f t="shared" si="28"/>
        <v>51</v>
      </c>
      <c r="Z105" s="23">
        <f t="shared" si="28"/>
        <v>40.799999999998953</v>
      </c>
      <c r="AA105" s="23">
        <f t="shared" si="28"/>
        <v>45.333333333332732</v>
      </c>
      <c r="AB105" s="23">
        <f t="shared" si="28"/>
        <v>48.166666666665279</v>
      </c>
      <c r="AC105" s="24">
        <f t="shared" si="28"/>
        <v>37.96666666666701</v>
      </c>
      <c r="AD105" s="24">
        <f t="shared" si="28"/>
        <v>42.499999999999886</v>
      </c>
      <c r="AE105" s="24">
        <f t="shared" si="28"/>
        <v>45.333333333332732</v>
      </c>
      <c r="AF105" s="25">
        <f t="shared" si="28"/>
        <v>35.133333333332871</v>
      </c>
      <c r="AG105" s="25">
        <f t="shared" si="28"/>
        <v>39.666666666667481</v>
      </c>
      <c r="AH105" s="25">
        <f t="shared" si="28"/>
        <v>42.499999999999886</v>
      </c>
      <c r="AI105" s="26">
        <f t="shared" si="28"/>
        <v>32.30000000000026</v>
      </c>
      <c r="AJ105" s="26">
        <f t="shared" si="28"/>
        <v>36.833333333332519</v>
      </c>
      <c r="AK105" s="26">
        <f t="shared" si="27"/>
        <v>39.666666666667481</v>
      </c>
    </row>
    <row r="106" spans="4:37" ht="20.100000000000001" customHeight="1">
      <c r="D106" s="27">
        <f t="shared" si="14"/>
        <v>0.28611111111111059</v>
      </c>
      <c r="E106" s="16">
        <f t="shared" si="29"/>
        <v>81.827777777777044</v>
      </c>
      <c r="F106" s="16">
        <f t="shared" si="29"/>
        <v>86.405555555552695</v>
      </c>
      <c r="G106" s="16">
        <f t="shared" si="29"/>
        <v>89.266666666665358</v>
      </c>
      <c r="H106" s="17">
        <f t="shared" si="29"/>
        <v>76.105555555556819</v>
      </c>
      <c r="I106" s="17">
        <f t="shared" si="29"/>
        <v>80.683333333332882</v>
      </c>
      <c r="J106" s="17">
        <f t="shared" si="29"/>
        <v>83.544444444444522</v>
      </c>
      <c r="K106" s="18">
        <f t="shared" si="29"/>
        <v>70.383333333332359</v>
      </c>
      <c r="L106" s="18">
        <f t="shared" si="29"/>
        <v>74.961111111109616</v>
      </c>
      <c r="M106" s="18">
        <f t="shared" si="29"/>
        <v>77.822222222221683</v>
      </c>
      <c r="N106" s="19">
        <f t="shared" si="29"/>
        <v>52.644444444444112</v>
      </c>
      <c r="O106" s="19">
        <f t="shared" si="29"/>
        <v>57.22222222222365</v>
      </c>
      <c r="P106" s="19">
        <f t="shared" si="29"/>
        <v>60.083333333332511</v>
      </c>
      <c r="Q106" s="20">
        <f t="shared" si="29"/>
        <v>49.78333333333444</v>
      </c>
      <c r="R106" s="20">
        <f t="shared" si="29"/>
        <v>54.361111111112599</v>
      </c>
      <c r="S106" s="20">
        <f t="shared" si="29"/>
        <v>57.22222222222365</v>
      </c>
      <c r="T106" s="21">
        <f t="shared" si="29"/>
        <v>46.922222222223738</v>
      </c>
      <c r="U106" s="21">
        <f t="shared" si="30"/>
        <v>51.5</v>
      </c>
      <c r="V106" s="21">
        <f t="shared" si="28"/>
        <v>54.361111111112599</v>
      </c>
      <c r="W106" s="22">
        <f t="shared" si="28"/>
        <v>44.061111111111273</v>
      </c>
      <c r="X106" s="22">
        <f t="shared" si="28"/>
        <v>48.6388888888875</v>
      </c>
      <c r="Y106" s="22">
        <f t="shared" si="28"/>
        <v>51.5</v>
      </c>
      <c r="Z106" s="23">
        <f t="shared" si="28"/>
        <v>41.199999999998951</v>
      </c>
      <c r="AA106" s="23">
        <f t="shared" si="28"/>
        <v>45.777777777777175</v>
      </c>
      <c r="AB106" s="23">
        <f t="shared" si="28"/>
        <v>48.6388888888875</v>
      </c>
      <c r="AC106" s="24">
        <f t="shared" si="28"/>
        <v>38.33888888888923</v>
      </c>
      <c r="AD106" s="24">
        <f t="shared" si="28"/>
        <v>42.916666666666551</v>
      </c>
      <c r="AE106" s="24">
        <f t="shared" si="28"/>
        <v>45.777777777777175</v>
      </c>
      <c r="AF106" s="25">
        <f t="shared" si="28"/>
        <v>35.477777777777312</v>
      </c>
      <c r="AG106" s="25">
        <f t="shared" si="28"/>
        <v>40.055555555556367</v>
      </c>
      <c r="AH106" s="25">
        <f t="shared" si="28"/>
        <v>42.916666666666551</v>
      </c>
      <c r="AI106" s="26">
        <f t="shared" si="28"/>
        <v>32.61666666666693</v>
      </c>
      <c r="AJ106" s="26">
        <f t="shared" si="28"/>
        <v>37.194444444443633</v>
      </c>
      <c r="AK106" s="26">
        <f t="shared" si="27"/>
        <v>40.055555555556367</v>
      </c>
    </row>
    <row r="107" spans="4:37" ht="20.100000000000001" customHeight="1">
      <c r="D107" s="27">
        <f t="shared" si="14"/>
        <v>0.28888888888888836</v>
      </c>
      <c r="E107" s="16">
        <f t="shared" si="29"/>
        <v>82.622222222221495</v>
      </c>
      <c r="F107" s="16">
        <f t="shared" si="29"/>
        <v>87.244444444441584</v>
      </c>
      <c r="G107" s="16">
        <f t="shared" si="29"/>
        <v>90.133333333332018</v>
      </c>
      <c r="H107" s="17">
        <f t="shared" si="29"/>
        <v>76.844444444445713</v>
      </c>
      <c r="I107" s="17">
        <f t="shared" si="29"/>
        <v>81.466666666666214</v>
      </c>
      <c r="J107" s="17">
        <f t="shared" si="29"/>
        <v>84.35555555555564</v>
      </c>
      <c r="K107" s="18">
        <f t="shared" si="29"/>
        <v>71.066666666665697</v>
      </c>
      <c r="L107" s="18">
        <f t="shared" si="29"/>
        <v>75.688888888887391</v>
      </c>
      <c r="M107" s="18">
        <f t="shared" si="29"/>
        <v>78.577777777777243</v>
      </c>
      <c r="N107" s="19">
        <f t="shared" si="29"/>
        <v>53.155555555555225</v>
      </c>
      <c r="O107" s="19">
        <f t="shared" si="29"/>
        <v>57.777777777779207</v>
      </c>
      <c r="P107" s="19">
        <f t="shared" si="29"/>
        <v>60.666666666665847</v>
      </c>
      <c r="Q107" s="20">
        <f t="shared" si="29"/>
        <v>50.266666666667774</v>
      </c>
      <c r="R107" s="20">
        <f t="shared" si="29"/>
        <v>54.888888888890378</v>
      </c>
      <c r="S107" s="20">
        <f t="shared" si="29"/>
        <v>57.777777777779207</v>
      </c>
      <c r="T107" s="21">
        <f t="shared" si="29"/>
        <v>47.377777777779293</v>
      </c>
      <c r="U107" s="21">
        <f t="shared" si="30"/>
        <v>52</v>
      </c>
      <c r="V107" s="21">
        <f t="shared" ref="V107:AD111" si="31">V108-(V$363/360)</f>
        <v>54.888888888890378</v>
      </c>
      <c r="W107" s="22">
        <f t="shared" si="31"/>
        <v>44.488888888889051</v>
      </c>
      <c r="X107" s="22">
        <f t="shared" si="31"/>
        <v>49.111111111109722</v>
      </c>
      <c r="Y107" s="22">
        <f t="shared" si="31"/>
        <v>52</v>
      </c>
      <c r="Z107" s="23">
        <f t="shared" si="31"/>
        <v>41.59999999999895</v>
      </c>
      <c r="AA107" s="23">
        <f t="shared" si="31"/>
        <v>46.222222222221617</v>
      </c>
      <c r="AB107" s="23">
        <f t="shared" si="31"/>
        <v>49.111111111109722</v>
      </c>
      <c r="AC107" s="24">
        <f t="shared" si="31"/>
        <v>38.71111111111145</v>
      </c>
      <c r="AD107" s="24">
        <f t="shared" si="31"/>
        <v>43.333333333333215</v>
      </c>
      <c r="AE107" s="24">
        <f t="shared" si="27"/>
        <v>46.222222222221617</v>
      </c>
      <c r="AF107" s="25">
        <f t="shared" si="27"/>
        <v>35.822222222221754</v>
      </c>
      <c r="AG107" s="25">
        <f t="shared" si="27"/>
        <v>40.444444444445253</v>
      </c>
      <c r="AH107" s="25">
        <f t="shared" si="27"/>
        <v>43.333333333333215</v>
      </c>
      <c r="AI107" s="26">
        <f t="shared" si="27"/>
        <v>32.9333333333336</v>
      </c>
      <c r="AJ107" s="26">
        <f t="shared" si="27"/>
        <v>37.555555555554747</v>
      </c>
      <c r="AK107" s="26">
        <f t="shared" si="27"/>
        <v>40.444444444445253</v>
      </c>
    </row>
    <row r="108" spans="4:37" ht="20.100000000000001" customHeight="1">
      <c r="D108" s="27">
        <f t="shared" si="14"/>
        <v>0.29166666666666613</v>
      </c>
      <c r="E108" s="16">
        <f t="shared" si="29"/>
        <v>83.416666666665947</v>
      </c>
      <c r="F108" s="16">
        <f t="shared" si="29"/>
        <v>88.083333333330472</v>
      </c>
      <c r="G108" s="16">
        <f t="shared" si="29"/>
        <v>90.999999999998678</v>
      </c>
      <c r="H108" s="17">
        <f t="shared" si="29"/>
        <v>77.583333333334608</v>
      </c>
      <c r="I108" s="17">
        <f t="shared" si="29"/>
        <v>82.249999999999545</v>
      </c>
      <c r="J108" s="17">
        <f t="shared" si="29"/>
        <v>85.166666666666757</v>
      </c>
      <c r="K108" s="18">
        <f t="shared" si="29"/>
        <v>71.749999999999034</v>
      </c>
      <c r="L108" s="18">
        <f t="shared" si="29"/>
        <v>76.416666666665165</v>
      </c>
      <c r="M108" s="18">
        <f t="shared" si="29"/>
        <v>79.333333333332803</v>
      </c>
      <c r="N108" s="19">
        <f t="shared" si="29"/>
        <v>53.666666666666337</v>
      </c>
      <c r="O108" s="19">
        <f t="shared" si="29"/>
        <v>58.333333333334764</v>
      </c>
      <c r="P108" s="19">
        <f t="shared" si="29"/>
        <v>61.249999999999183</v>
      </c>
      <c r="Q108" s="20">
        <f t="shared" si="29"/>
        <v>50.750000000001108</v>
      </c>
      <c r="R108" s="20">
        <f t="shared" si="29"/>
        <v>55.416666666668156</v>
      </c>
      <c r="S108" s="20">
        <f t="shared" si="29"/>
        <v>58.333333333334764</v>
      </c>
      <c r="T108" s="21">
        <f t="shared" si="29"/>
        <v>47.833333333334849</v>
      </c>
      <c r="U108" s="21">
        <f t="shared" si="30"/>
        <v>52.5</v>
      </c>
      <c r="V108" s="21">
        <f t="shared" si="31"/>
        <v>55.416666666668156</v>
      </c>
      <c r="W108" s="22">
        <f t="shared" si="31"/>
        <v>44.916666666666828</v>
      </c>
      <c r="X108" s="22">
        <f t="shared" si="31"/>
        <v>49.583333333331943</v>
      </c>
      <c r="Y108" s="22">
        <f t="shared" si="31"/>
        <v>52.5</v>
      </c>
      <c r="Z108" s="23">
        <f t="shared" si="31"/>
        <v>41.999999999998948</v>
      </c>
      <c r="AA108" s="23">
        <f t="shared" si="31"/>
        <v>46.66666666666606</v>
      </c>
      <c r="AB108" s="23">
        <f t="shared" si="31"/>
        <v>49.583333333331943</v>
      </c>
      <c r="AC108" s="24">
        <f t="shared" si="31"/>
        <v>39.08333333333367</v>
      </c>
      <c r="AD108" s="24">
        <f t="shared" si="31"/>
        <v>43.749999999999879</v>
      </c>
      <c r="AE108" s="24">
        <f t="shared" si="27"/>
        <v>46.66666666666606</v>
      </c>
      <c r="AF108" s="25">
        <f t="shared" si="27"/>
        <v>36.166666666666195</v>
      </c>
      <c r="AG108" s="25">
        <f t="shared" si="27"/>
        <v>40.833333333334139</v>
      </c>
      <c r="AH108" s="25">
        <f t="shared" si="27"/>
        <v>43.749999999999879</v>
      </c>
      <c r="AI108" s="26">
        <f t="shared" si="27"/>
        <v>33.25000000000027</v>
      </c>
      <c r="AJ108" s="26">
        <f t="shared" si="27"/>
        <v>37.916666666665861</v>
      </c>
      <c r="AK108" s="26">
        <f t="shared" si="27"/>
        <v>40.833333333334139</v>
      </c>
    </row>
    <row r="109" spans="4:37" ht="20.100000000000001" customHeight="1">
      <c r="D109" s="27">
        <f t="shared" si="14"/>
        <v>0.2944444444444439</v>
      </c>
      <c r="E109" s="16">
        <f t="shared" si="29"/>
        <v>84.211111111110398</v>
      </c>
      <c r="F109" s="16">
        <f t="shared" si="29"/>
        <v>88.922222222219361</v>
      </c>
      <c r="G109" s="16">
        <f t="shared" si="29"/>
        <v>91.866666666665338</v>
      </c>
      <c r="H109" s="17">
        <f t="shared" si="29"/>
        <v>78.322222222223502</v>
      </c>
      <c r="I109" s="17">
        <f t="shared" si="29"/>
        <v>83.033333333332877</v>
      </c>
      <c r="J109" s="17">
        <f t="shared" si="29"/>
        <v>85.977777777777874</v>
      </c>
      <c r="K109" s="18">
        <f t="shared" si="29"/>
        <v>72.433333333332371</v>
      </c>
      <c r="L109" s="18">
        <f t="shared" si="29"/>
        <v>77.144444444442939</v>
      </c>
      <c r="M109" s="18">
        <f t="shared" si="29"/>
        <v>80.088888888888363</v>
      </c>
      <c r="N109" s="19">
        <f t="shared" si="29"/>
        <v>54.17777777777745</v>
      </c>
      <c r="O109" s="19">
        <f t="shared" si="29"/>
        <v>58.888888888890321</v>
      </c>
      <c r="P109" s="19">
        <f t="shared" si="29"/>
        <v>61.833333333332519</v>
      </c>
      <c r="Q109" s="20">
        <f t="shared" si="29"/>
        <v>51.233333333334443</v>
      </c>
      <c r="R109" s="20">
        <f t="shared" si="29"/>
        <v>55.944444444445935</v>
      </c>
      <c r="S109" s="20">
        <f t="shared" si="29"/>
        <v>58.888888888890321</v>
      </c>
      <c r="T109" s="21">
        <f t="shared" si="29"/>
        <v>48.288888888890405</v>
      </c>
      <c r="U109" s="21">
        <f t="shared" si="30"/>
        <v>53</v>
      </c>
      <c r="V109" s="21">
        <f t="shared" si="31"/>
        <v>55.944444444445935</v>
      </c>
      <c r="W109" s="22">
        <f t="shared" si="31"/>
        <v>45.344444444444605</v>
      </c>
      <c r="X109" s="22">
        <f t="shared" si="31"/>
        <v>50.055555555554164</v>
      </c>
      <c r="Y109" s="22">
        <f t="shared" si="31"/>
        <v>53</v>
      </c>
      <c r="Z109" s="23">
        <f t="shared" si="31"/>
        <v>42.399999999998947</v>
      </c>
      <c r="AA109" s="23">
        <f t="shared" si="31"/>
        <v>47.111111111110503</v>
      </c>
      <c r="AB109" s="23">
        <f t="shared" si="31"/>
        <v>50.055555555554164</v>
      </c>
      <c r="AC109" s="24">
        <f t="shared" si="31"/>
        <v>39.45555555555589</v>
      </c>
      <c r="AD109" s="24">
        <f t="shared" si="31"/>
        <v>44.166666666666544</v>
      </c>
      <c r="AE109" s="24">
        <f t="shared" si="27"/>
        <v>47.111111111110503</v>
      </c>
      <c r="AF109" s="25">
        <f t="shared" si="27"/>
        <v>36.511111111110637</v>
      </c>
      <c r="AG109" s="25">
        <f t="shared" si="27"/>
        <v>41.222222222223024</v>
      </c>
      <c r="AH109" s="25">
        <f t="shared" si="27"/>
        <v>44.166666666666544</v>
      </c>
      <c r="AI109" s="26">
        <f t="shared" si="27"/>
        <v>33.56666666666694</v>
      </c>
      <c r="AJ109" s="26">
        <f t="shared" si="27"/>
        <v>38.277777777776976</v>
      </c>
      <c r="AK109" s="26">
        <f t="shared" si="27"/>
        <v>41.222222222223024</v>
      </c>
    </row>
    <row r="110" spans="4:37" ht="20.100000000000001" customHeight="1">
      <c r="D110" s="27">
        <f t="shared" si="14"/>
        <v>0.29722222222222167</v>
      </c>
      <c r="E110" s="16">
        <f t="shared" si="29"/>
        <v>85.005555555554849</v>
      </c>
      <c r="F110" s="16">
        <f t="shared" si="29"/>
        <v>89.761111111108249</v>
      </c>
      <c r="G110" s="16">
        <f t="shared" si="29"/>
        <v>92.733333333331998</v>
      </c>
      <c r="H110" s="17">
        <f t="shared" si="29"/>
        <v>79.061111111112396</v>
      </c>
      <c r="I110" s="17">
        <f t="shared" si="29"/>
        <v>83.816666666666208</v>
      </c>
      <c r="J110" s="17">
        <f t="shared" si="29"/>
        <v>86.788888888888991</v>
      </c>
      <c r="K110" s="18">
        <f t="shared" si="29"/>
        <v>73.116666666665708</v>
      </c>
      <c r="L110" s="18">
        <f t="shared" si="29"/>
        <v>77.872222222220714</v>
      </c>
      <c r="M110" s="18">
        <f t="shared" si="29"/>
        <v>80.844444444443923</v>
      </c>
      <c r="N110" s="19">
        <f t="shared" si="29"/>
        <v>54.688888888888563</v>
      </c>
      <c r="O110" s="19">
        <f t="shared" si="29"/>
        <v>59.444444444445878</v>
      </c>
      <c r="P110" s="19">
        <f t="shared" si="29"/>
        <v>62.416666666665854</v>
      </c>
      <c r="Q110" s="20">
        <f t="shared" si="29"/>
        <v>51.716666666667777</v>
      </c>
      <c r="R110" s="20">
        <f t="shared" si="29"/>
        <v>56.472222222223714</v>
      </c>
      <c r="S110" s="20">
        <f t="shared" si="29"/>
        <v>59.444444444445878</v>
      </c>
      <c r="T110" s="21">
        <f t="shared" si="29"/>
        <v>48.744444444445961</v>
      </c>
      <c r="U110" s="21">
        <f t="shared" si="30"/>
        <v>53.5</v>
      </c>
      <c r="V110" s="21">
        <f t="shared" si="31"/>
        <v>56.472222222223714</v>
      </c>
      <c r="W110" s="22">
        <f t="shared" si="31"/>
        <v>45.772222222222382</v>
      </c>
      <c r="X110" s="22">
        <f t="shared" si="31"/>
        <v>50.527777777776386</v>
      </c>
      <c r="Y110" s="22">
        <f t="shared" si="31"/>
        <v>53.5</v>
      </c>
      <c r="Z110" s="23">
        <f t="shared" si="31"/>
        <v>42.799999999998946</v>
      </c>
      <c r="AA110" s="23">
        <f t="shared" si="31"/>
        <v>47.555555555554946</v>
      </c>
      <c r="AB110" s="23">
        <f t="shared" si="31"/>
        <v>50.527777777776386</v>
      </c>
      <c r="AC110" s="24">
        <f t="shared" si="31"/>
        <v>39.82777777777811</v>
      </c>
      <c r="AD110" s="24">
        <f t="shared" si="31"/>
        <v>44.583333333333208</v>
      </c>
      <c r="AE110" s="24">
        <f t="shared" si="27"/>
        <v>47.555555555554946</v>
      </c>
      <c r="AF110" s="25">
        <f t="shared" si="27"/>
        <v>36.855555555555078</v>
      </c>
      <c r="AG110" s="25">
        <f t="shared" si="27"/>
        <v>41.61111111111191</v>
      </c>
      <c r="AH110" s="25">
        <f t="shared" si="27"/>
        <v>44.583333333333208</v>
      </c>
      <c r="AI110" s="26">
        <f t="shared" si="27"/>
        <v>33.88333333333361</v>
      </c>
      <c r="AJ110" s="26">
        <f t="shared" si="27"/>
        <v>38.63888888888809</v>
      </c>
      <c r="AK110" s="26">
        <f t="shared" si="27"/>
        <v>41.61111111111191</v>
      </c>
    </row>
    <row r="111" spans="4:37" ht="20.100000000000001" customHeight="1">
      <c r="D111" s="27">
        <f t="shared" si="14"/>
        <v>0.29999999999999943</v>
      </c>
      <c r="E111" s="16">
        <f t="shared" si="29"/>
        <v>85.799999999999301</v>
      </c>
      <c r="F111" s="16">
        <f t="shared" si="29"/>
        <v>90.599999999997138</v>
      </c>
      <c r="G111" s="16">
        <f t="shared" si="29"/>
        <v>93.599999999998658</v>
      </c>
      <c r="H111" s="17">
        <f t="shared" si="29"/>
        <v>79.80000000000129</v>
      </c>
      <c r="I111" s="17">
        <f t="shared" si="29"/>
        <v>84.59999999999954</v>
      </c>
      <c r="J111" s="17">
        <f t="shared" si="29"/>
        <v>87.600000000000108</v>
      </c>
      <c r="K111" s="18">
        <f t="shared" si="29"/>
        <v>73.799999999999045</v>
      </c>
      <c r="L111" s="18">
        <f t="shared" si="29"/>
        <v>78.599999999998488</v>
      </c>
      <c r="M111" s="18">
        <f t="shared" si="29"/>
        <v>81.599999999999483</v>
      </c>
      <c r="N111" s="19">
        <f t="shared" si="29"/>
        <v>55.199999999999676</v>
      </c>
      <c r="O111" s="19">
        <f t="shared" si="29"/>
        <v>60.000000000001435</v>
      </c>
      <c r="P111" s="19">
        <f t="shared" si="29"/>
        <v>62.99999999999919</v>
      </c>
      <c r="Q111" s="20">
        <f t="shared" si="29"/>
        <v>52.200000000001111</v>
      </c>
      <c r="R111" s="20">
        <f t="shared" si="29"/>
        <v>57.000000000001492</v>
      </c>
      <c r="S111" s="20">
        <f t="shared" si="29"/>
        <v>60.000000000001435</v>
      </c>
      <c r="T111" s="21">
        <f t="shared" si="29"/>
        <v>49.200000000001516</v>
      </c>
      <c r="U111" s="21">
        <f t="shared" si="30"/>
        <v>54</v>
      </c>
      <c r="V111" s="21">
        <f t="shared" si="31"/>
        <v>57.000000000001492</v>
      </c>
      <c r="W111" s="22">
        <f t="shared" si="31"/>
        <v>46.200000000000159</v>
      </c>
      <c r="X111" s="22">
        <f t="shared" si="31"/>
        <v>50.999999999998607</v>
      </c>
      <c r="Y111" s="22">
        <f t="shared" si="31"/>
        <v>54</v>
      </c>
      <c r="Z111" s="23">
        <f t="shared" si="31"/>
        <v>43.199999999998944</v>
      </c>
      <c r="AA111" s="23">
        <f t="shared" si="31"/>
        <v>47.999999999999389</v>
      </c>
      <c r="AB111" s="23">
        <f t="shared" si="31"/>
        <v>50.999999999998607</v>
      </c>
      <c r="AC111" s="24">
        <f t="shared" si="31"/>
        <v>40.20000000000033</v>
      </c>
      <c r="AD111" s="24">
        <f t="shared" si="31"/>
        <v>44.999999999999872</v>
      </c>
      <c r="AE111" s="24">
        <f t="shared" si="27"/>
        <v>47.999999999999389</v>
      </c>
      <c r="AF111" s="25">
        <f t="shared" si="27"/>
        <v>37.19999999999952</v>
      </c>
      <c r="AG111" s="25">
        <f t="shared" si="27"/>
        <v>42.000000000000796</v>
      </c>
      <c r="AH111" s="25">
        <f t="shared" si="27"/>
        <v>44.999999999999872</v>
      </c>
      <c r="AI111" s="26">
        <f t="shared" si="27"/>
        <v>34.20000000000028</v>
      </c>
      <c r="AJ111" s="26">
        <f t="shared" si="27"/>
        <v>38.999999999999204</v>
      </c>
      <c r="AK111" s="26">
        <f t="shared" si="27"/>
        <v>42.000000000000796</v>
      </c>
    </row>
    <row r="112" spans="4:37" ht="20.100000000000001" customHeight="1">
      <c r="D112" s="27">
        <f t="shared" si="14"/>
        <v>0.3027777777777772</v>
      </c>
      <c r="E112" s="16">
        <f t="shared" si="29"/>
        <v>86.594444444443752</v>
      </c>
      <c r="F112" s="16">
        <f t="shared" si="29"/>
        <v>91.438888888886027</v>
      </c>
      <c r="G112" s="16">
        <f t="shared" si="29"/>
        <v>94.466666666665319</v>
      </c>
      <c r="H112" s="17">
        <f t="shared" si="29"/>
        <v>80.538888888890185</v>
      </c>
      <c r="I112" s="17">
        <f t="shared" si="29"/>
        <v>85.383333333332871</v>
      </c>
      <c r="J112" s="17">
        <f t="shared" si="29"/>
        <v>88.411111111111225</v>
      </c>
      <c r="K112" s="18">
        <f t="shared" si="29"/>
        <v>74.483333333332382</v>
      </c>
      <c r="L112" s="18">
        <f t="shared" si="29"/>
        <v>79.327777777776262</v>
      </c>
      <c r="M112" s="18">
        <f t="shared" si="29"/>
        <v>82.355555555555043</v>
      </c>
      <c r="N112" s="19">
        <f t="shared" si="29"/>
        <v>55.711111111110789</v>
      </c>
      <c r="O112" s="19">
        <f t="shared" si="29"/>
        <v>60.555555555556992</v>
      </c>
      <c r="P112" s="19">
        <f t="shared" si="29"/>
        <v>63.583333333332526</v>
      </c>
      <c r="Q112" s="20">
        <f t="shared" si="29"/>
        <v>52.683333333334446</v>
      </c>
      <c r="R112" s="20">
        <f t="shared" si="29"/>
        <v>57.527777777779271</v>
      </c>
      <c r="S112" s="20">
        <f t="shared" si="29"/>
        <v>60.555555555556992</v>
      </c>
      <c r="T112" s="21">
        <f t="shared" ref="T112:AI130" si="32">T113-(T$363/360)</f>
        <v>49.655555555557072</v>
      </c>
      <c r="U112" s="21">
        <f t="shared" si="32"/>
        <v>54.5</v>
      </c>
      <c r="V112" s="21">
        <f t="shared" si="32"/>
        <v>57.527777777779271</v>
      </c>
      <c r="W112" s="22">
        <f t="shared" si="32"/>
        <v>46.627777777777936</v>
      </c>
      <c r="X112" s="22">
        <f t="shared" si="32"/>
        <v>51.472222222220829</v>
      </c>
      <c r="Y112" s="22">
        <f t="shared" si="32"/>
        <v>54.5</v>
      </c>
      <c r="Z112" s="23">
        <f t="shared" si="32"/>
        <v>43.599999999998943</v>
      </c>
      <c r="AA112" s="23">
        <f t="shared" si="32"/>
        <v>48.444444444443832</v>
      </c>
      <c r="AB112" s="23">
        <f t="shared" si="32"/>
        <v>51.472222222220829</v>
      </c>
      <c r="AC112" s="24">
        <f t="shared" si="32"/>
        <v>40.57222222222255</v>
      </c>
      <c r="AD112" s="24">
        <f t="shared" si="32"/>
        <v>45.416666666666536</v>
      </c>
      <c r="AE112" s="24">
        <f t="shared" si="27"/>
        <v>48.444444444443832</v>
      </c>
      <c r="AF112" s="25">
        <f t="shared" si="27"/>
        <v>37.544444444443961</v>
      </c>
      <c r="AG112" s="25">
        <f t="shared" si="27"/>
        <v>42.388888888889682</v>
      </c>
      <c r="AH112" s="25">
        <f t="shared" si="27"/>
        <v>45.416666666666536</v>
      </c>
      <c r="AI112" s="26">
        <f t="shared" si="27"/>
        <v>34.51666666666695</v>
      </c>
      <c r="AJ112" s="26">
        <f t="shared" si="27"/>
        <v>39.361111111110318</v>
      </c>
      <c r="AK112" s="26">
        <f t="shared" si="27"/>
        <v>42.388888888889682</v>
      </c>
    </row>
    <row r="113" spans="4:37" ht="20.100000000000001" customHeight="1">
      <c r="D113" s="27">
        <f t="shared" si="14"/>
        <v>0.30555555555555497</v>
      </c>
      <c r="E113" s="16">
        <f t="shared" ref="E113:T128" si="33">E114-(E$363/360)</f>
        <v>87.388888888888204</v>
      </c>
      <c r="F113" s="16">
        <f t="shared" si="33"/>
        <v>92.277777777774915</v>
      </c>
      <c r="G113" s="16">
        <f t="shared" si="33"/>
        <v>95.333333333331979</v>
      </c>
      <c r="H113" s="17">
        <f t="shared" si="33"/>
        <v>81.277777777779079</v>
      </c>
      <c r="I113" s="17">
        <f t="shared" si="33"/>
        <v>86.166666666666202</v>
      </c>
      <c r="J113" s="17">
        <f t="shared" si="33"/>
        <v>89.222222222222342</v>
      </c>
      <c r="K113" s="18">
        <f t="shared" si="33"/>
        <v>75.166666666665719</v>
      </c>
      <c r="L113" s="18">
        <f t="shared" si="33"/>
        <v>80.055555555554037</v>
      </c>
      <c r="M113" s="18">
        <f t="shared" si="33"/>
        <v>83.111111111110603</v>
      </c>
      <c r="N113" s="19">
        <f t="shared" si="33"/>
        <v>56.222222222221902</v>
      </c>
      <c r="O113" s="19">
        <f t="shared" si="33"/>
        <v>61.11111111111255</v>
      </c>
      <c r="P113" s="19">
        <f t="shared" si="33"/>
        <v>64.166666666665861</v>
      </c>
      <c r="Q113" s="20">
        <f t="shared" si="33"/>
        <v>53.16666666666778</v>
      </c>
      <c r="R113" s="20">
        <f t="shared" si="33"/>
        <v>58.055555555557049</v>
      </c>
      <c r="S113" s="20">
        <f t="shared" si="33"/>
        <v>61.11111111111255</v>
      </c>
      <c r="T113" s="21">
        <f t="shared" si="33"/>
        <v>50.111111111112628</v>
      </c>
      <c r="U113" s="21">
        <f t="shared" si="32"/>
        <v>55</v>
      </c>
      <c r="V113" s="21">
        <f t="shared" si="32"/>
        <v>58.055555555557049</v>
      </c>
      <c r="W113" s="22">
        <f t="shared" si="32"/>
        <v>47.055555555555713</v>
      </c>
      <c r="X113" s="22">
        <f t="shared" si="32"/>
        <v>51.94444444444305</v>
      </c>
      <c r="Y113" s="22">
        <f t="shared" si="32"/>
        <v>55</v>
      </c>
      <c r="Z113" s="23">
        <f t="shared" si="32"/>
        <v>43.999999999998941</v>
      </c>
      <c r="AA113" s="23">
        <f t="shared" si="32"/>
        <v>48.888888888888275</v>
      </c>
      <c r="AB113" s="23">
        <f t="shared" si="32"/>
        <v>51.94444444444305</v>
      </c>
      <c r="AC113" s="24">
        <f t="shared" si="32"/>
        <v>40.94444444444477</v>
      </c>
      <c r="AD113" s="24">
        <f t="shared" si="32"/>
        <v>45.833333333333201</v>
      </c>
      <c r="AE113" s="24">
        <f t="shared" si="27"/>
        <v>48.888888888888275</v>
      </c>
      <c r="AF113" s="25">
        <f t="shared" si="27"/>
        <v>37.888888888888403</v>
      </c>
      <c r="AG113" s="25">
        <f t="shared" si="27"/>
        <v>42.777777777778567</v>
      </c>
      <c r="AH113" s="25">
        <f t="shared" si="27"/>
        <v>45.833333333333201</v>
      </c>
      <c r="AI113" s="26">
        <f t="shared" si="27"/>
        <v>34.83333333333362</v>
      </c>
      <c r="AJ113" s="26">
        <f t="shared" si="27"/>
        <v>39.722222222221433</v>
      </c>
      <c r="AK113" s="26">
        <f t="shared" si="27"/>
        <v>42.777777777778567</v>
      </c>
    </row>
    <row r="114" spans="4:37" ht="20.100000000000001" customHeight="1">
      <c r="D114" s="27">
        <f t="shared" si="14"/>
        <v>0.30833333333333274</v>
      </c>
      <c r="E114" s="16">
        <f t="shared" si="33"/>
        <v>88.183333333332655</v>
      </c>
      <c r="F114" s="16">
        <f t="shared" si="33"/>
        <v>93.116666666663804</v>
      </c>
      <c r="G114" s="16">
        <f t="shared" si="33"/>
        <v>96.199999999998639</v>
      </c>
      <c r="H114" s="17">
        <f t="shared" si="33"/>
        <v>82.016666666667973</v>
      </c>
      <c r="I114" s="17">
        <f t="shared" si="33"/>
        <v>86.949999999999534</v>
      </c>
      <c r="J114" s="17">
        <f t="shared" si="33"/>
        <v>90.033333333333459</v>
      </c>
      <c r="K114" s="18">
        <f t="shared" si="33"/>
        <v>75.849999999999056</v>
      </c>
      <c r="L114" s="18">
        <f t="shared" si="33"/>
        <v>80.783333333331811</v>
      </c>
      <c r="M114" s="18">
        <f t="shared" si="33"/>
        <v>83.866666666666163</v>
      </c>
      <c r="N114" s="19">
        <f t="shared" si="33"/>
        <v>56.733333333333015</v>
      </c>
      <c r="O114" s="19">
        <f t="shared" si="33"/>
        <v>61.666666666668107</v>
      </c>
      <c r="P114" s="19">
        <f t="shared" si="33"/>
        <v>64.74999999999919</v>
      </c>
      <c r="Q114" s="20">
        <f t="shared" si="33"/>
        <v>53.650000000001114</v>
      </c>
      <c r="R114" s="20">
        <f t="shared" si="33"/>
        <v>58.583333333334828</v>
      </c>
      <c r="S114" s="20">
        <f t="shared" si="33"/>
        <v>61.666666666668107</v>
      </c>
      <c r="T114" s="21">
        <f t="shared" si="33"/>
        <v>50.566666666668183</v>
      </c>
      <c r="U114" s="21">
        <f t="shared" si="32"/>
        <v>55.5</v>
      </c>
      <c r="V114" s="21">
        <f t="shared" si="32"/>
        <v>58.583333333334828</v>
      </c>
      <c r="W114" s="22">
        <f t="shared" si="32"/>
        <v>47.483333333333491</v>
      </c>
      <c r="X114" s="22">
        <f t="shared" si="32"/>
        <v>52.416666666665272</v>
      </c>
      <c r="Y114" s="22">
        <f t="shared" si="32"/>
        <v>55.5</v>
      </c>
      <c r="Z114" s="23">
        <f t="shared" si="32"/>
        <v>44.39999999999894</v>
      </c>
      <c r="AA114" s="23">
        <f t="shared" si="32"/>
        <v>49.333333333332718</v>
      </c>
      <c r="AB114" s="23">
        <f t="shared" si="32"/>
        <v>52.416666666665272</v>
      </c>
      <c r="AC114" s="24">
        <f t="shared" si="32"/>
        <v>41.31666666666699</v>
      </c>
      <c r="AD114" s="24">
        <f t="shared" si="32"/>
        <v>46.249999999999865</v>
      </c>
      <c r="AE114" s="24">
        <f t="shared" si="27"/>
        <v>49.333333333332718</v>
      </c>
      <c r="AF114" s="25">
        <f t="shared" si="27"/>
        <v>38.233333333332844</v>
      </c>
      <c r="AG114" s="25">
        <f t="shared" si="27"/>
        <v>43.166666666667453</v>
      </c>
      <c r="AH114" s="25">
        <f t="shared" si="27"/>
        <v>46.249999999999865</v>
      </c>
      <c r="AI114" s="26">
        <f t="shared" si="27"/>
        <v>35.15000000000029</v>
      </c>
      <c r="AJ114" s="26">
        <f t="shared" si="27"/>
        <v>40.083333333332547</v>
      </c>
      <c r="AK114" s="26">
        <f t="shared" si="27"/>
        <v>43.166666666667453</v>
      </c>
    </row>
    <row r="115" spans="4:37" ht="20.100000000000001" customHeight="1">
      <c r="D115" s="27">
        <f t="shared" si="14"/>
        <v>0.31111111111111051</v>
      </c>
      <c r="E115" s="16">
        <f t="shared" si="33"/>
        <v>88.977777777777106</v>
      </c>
      <c r="F115" s="16">
        <f t="shared" si="33"/>
        <v>93.955555555552692</v>
      </c>
      <c r="G115" s="16">
        <f t="shared" si="33"/>
        <v>97.066666666665299</v>
      </c>
      <c r="H115" s="17">
        <f t="shared" si="33"/>
        <v>82.755555555556867</v>
      </c>
      <c r="I115" s="17">
        <f t="shared" si="33"/>
        <v>87.733333333332865</v>
      </c>
      <c r="J115" s="17">
        <f t="shared" si="33"/>
        <v>90.844444444444576</v>
      </c>
      <c r="K115" s="18">
        <f t="shared" si="33"/>
        <v>76.533333333332394</v>
      </c>
      <c r="L115" s="18">
        <f t="shared" si="33"/>
        <v>81.511111111109585</v>
      </c>
      <c r="M115" s="18">
        <f t="shared" si="33"/>
        <v>84.622222222221723</v>
      </c>
      <c r="N115" s="19">
        <f t="shared" si="33"/>
        <v>57.244444444444127</v>
      </c>
      <c r="O115" s="19">
        <f t="shared" si="33"/>
        <v>62.222222222223664</v>
      </c>
      <c r="P115" s="19">
        <f t="shared" si="33"/>
        <v>65.333333333332519</v>
      </c>
      <c r="Q115" s="20">
        <f t="shared" si="33"/>
        <v>54.133333333334448</v>
      </c>
      <c r="R115" s="20">
        <f t="shared" si="33"/>
        <v>59.111111111112606</v>
      </c>
      <c r="S115" s="20">
        <f t="shared" si="33"/>
        <v>62.222222222223664</v>
      </c>
      <c r="T115" s="21">
        <f t="shared" si="33"/>
        <v>51.022222222223739</v>
      </c>
      <c r="U115" s="21">
        <f t="shared" si="32"/>
        <v>56</v>
      </c>
      <c r="V115" s="21">
        <f t="shared" si="32"/>
        <v>59.111111111112606</v>
      </c>
      <c r="W115" s="22">
        <f t="shared" si="32"/>
        <v>47.911111111111268</v>
      </c>
      <c r="X115" s="22">
        <f t="shared" si="32"/>
        <v>52.888888888887493</v>
      </c>
      <c r="Y115" s="22">
        <f t="shared" si="32"/>
        <v>56</v>
      </c>
      <c r="Z115" s="23">
        <f t="shared" si="32"/>
        <v>44.799999999998938</v>
      </c>
      <c r="AA115" s="23">
        <f t="shared" si="32"/>
        <v>49.77777777777716</v>
      </c>
      <c r="AB115" s="23">
        <f t="shared" si="32"/>
        <v>52.888888888887493</v>
      </c>
      <c r="AC115" s="24">
        <f t="shared" si="32"/>
        <v>41.68888888888921</v>
      </c>
      <c r="AD115" s="24">
        <f t="shared" si="32"/>
        <v>46.666666666666529</v>
      </c>
      <c r="AE115" s="24">
        <f t="shared" si="27"/>
        <v>49.77777777777716</v>
      </c>
      <c r="AF115" s="25">
        <f t="shared" si="27"/>
        <v>38.577777777777285</v>
      </c>
      <c r="AG115" s="25">
        <f t="shared" si="27"/>
        <v>43.555555555556339</v>
      </c>
      <c r="AH115" s="25">
        <f t="shared" si="27"/>
        <v>46.666666666666529</v>
      </c>
      <c r="AI115" s="26">
        <f t="shared" si="27"/>
        <v>35.46666666666696</v>
      </c>
      <c r="AJ115" s="26">
        <f t="shared" si="27"/>
        <v>40.444444444443661</v>
      </c>
      <c r="AK115" s="26">
        <f t="shared" si="27"/>
        <v>43.555555555556339</v>
      </c>
    </row>
    <row r="116" spans="4:37" ht="20.100000000000001" customHeight="1">
      <c r="D116" s="27">
        <f t="shared" si="14"/>
        <v>0.31388888888888827</v>
      </c>
      <c r="E116" s="16">
        <f t="shared" si="33"/>
        <v>89.772222222221558</v>
      </c>
      <c r="F116" s="16">
        <f t="shared" si="33"/>
        <v>94.794444444441581</v>
      </c>
      <c r="G116" s="16">
        <f t="shared" si="33"/>
        <v>97.933333333331959</v>
      </c>
      <c r="H116" s="17">
        <f t="shared" si="33"/>
        <v>83.494444444445762</v>
      </c>
      <c r="I116" s="17">
        <f t="shared" si="33"/>
        <v>88.516666666666197</v>
      </c>
      <c r="J116" s="17">
        <f t="shared" si="33"/>
        <v>91.655555555555694</v>
      </c>
      <c r="K116" s="18">
        <f t="shared" si="33"/>
        <v>77.216666666665731</v>
      </c>
      <c r="L116" s="18">
        <f t="shared" si="33"/>
        <v>82.238888888887359</v>
      </c>
      <c r="M116" s="18">
        <f t="shared" si="33"/>
        <v>85.377777777777283</v>
      </c>
      <c r="N116" s="19">
        <f t="shared" si="33"/>
        <v>57.75555555555524</v>
      </c>
      <c r="O116" s="19">
        <f t="shared" si="33"/>
        <v>62.777777777779221</v>
      </c>
      <c r="P116" s="19">
        <f t="shared" si="33"/>
        <v>65.916666666665847</v>
      </c>
      <c r="Q116" s="20">
        <f t="shared" si="33"/>
        <v>54.616666666667783</v>
      </c>
      <c r="R116" s="20">
        <f t="shared" si="33"/>
        <v>59.638888888890385</v>
      </c>
      <c r="S116" s="20">
        <f t="shared" si="33"/>
        <v>62.777777777779221</v>
      </c>
      <c r="T116" s="21">
        <f t="shared" si="33"/>
        <v>51.477777777779295</v>
      </c>
      <c r="U116" s="21">
        <f t="shared" si="32"/>
        <v>56.5</v>
      </c>
      <c r="V116" s="21">
        <f t="shared" si="32"/>
        <v>59.638888888890385</v>
      </c>
      <c r="W116" s="22">
        <f t="shared" si="32"/>
        <v>48.338888888889045</v>
      </c>
      <c r="X116" s="22">
        <f t="shared" si="32"/>
        <v>53.361111111109714</v>
      </c>
      <c r="Y116" s="22">
        <f t="shared" si="32"/>
        <v>56.5</v>
      </c>
      <c r="Z116" s="23">
        <f t="shared" si="32"/>
        <v>45.199999999998937</v>
      </c>
      <c r="AA116" s="23">
        <f t="shared" si="32"/>
        <v>50.222222222221603</v>
      </c>
      <c r="AB116" s="23">
        <f t="shared" si="32"/>
        <v>53.361111111109714</v>
      </c>
      <c r="AC116" s="24">
        <f t="shared" si="32"/>
        <v>42.06111111111143</v>
      </c>
      <c r="AD116" s="24">
        <f t="shared" si="32"/>
        <v>47.083333333333194</v>
      </c>
      <c r="AE116" s="24">
        <f t="shared" si="27"/>
        <v>50.222222222221603</v>
      </c>
      <c r="AF116" s="25">
        <f t="shared" si="27"/>
        <v>38.922222222221727</v>
      </c>
      <c r="AG116" s="25">
        <f t="shared" si="27"/>
        <v>43.944444444445224</v>
      </c>
      <c r="AH116" s="25">
        <f t="shared" si="27"/>
        <v>47.083333333333194</v>
      </c>
      <c r="AI116" s="26">
        <f t="shared" si="27"/>
        <v>35.78333333333363</v>
      </c>
      <c r="AJ116" s="26">
        <f t="shared" si="27"/>
        <v>40.805555555554776</v>
      </c>
      <c r="AK116" s="26">
        <f t="shared" si="27"/>
        <v>43.944444444445224</v>
      </c>
    </row>
    <row r="117" spans="4:37" ht="20.100000000000001" customHeight="1">
      <c r="D117" s="27">
        <f t="shared" si="14"/>
        <v>0.31666666666666604</v>
      </c>
      <c r="E117" s="16">
        <f t="shared" si="33"/>
        <v>90.566666666666009</v>
      </c>
      <c r="F117" s="16">
        <f t="shared" si="33"/>
        <v>95.633333333330469</v>
      </c>
      <c r="G117" s="16">
        <f t="shared" si="33"/>
        <v>98.799999999998619</v>
      </c>
      <c r="H117" s="17">
        <f t="shared" si="33"/>
        <v>84.233333333334656</v>
      </c>
      <c r="I117" s="17">
        <f t="shared" si="33"/>
        <v>89.299999999999528</v>
      </c>
      <c r="J117" s="17">
        <f t="shared" si="33"/>
        <v>92.466666666666811</v>
      </c>
      <c r="K117" s="18">
        <f t="shared" si="33"/>
        <v>77.899999999999068</v>
      </c>
      <c r="L117" s="18">
        <f t="shared" si="33"/>
        <v>82.966666666665134</v>
      </c>
      <c r="M117" s="18">
        <f t="shared" si="33"/>
        <v>86.133333333332843</v>
      </c>
      <c r="N117" s="19">
        <f t="shared" si="33"/>
        <v>58.266666666666353</v>
      </c>
      <c r="O117" s="19">
        <f t="shared" si="33"/>
        <v>63.333333333334778</v>
      </c>
      <c r="P117" s="19">
        <f t="shared" si="33"/>
        <v>66.499999999999176</v>
      </c>
      <c r="Q117" s="20">
        <f t="shared" si="33"/>
        <v>55.100000000001117</v>
      </c>
      <c r="R117" s="20">
        <f t="shared" si="33"/>
        <v>60.166666666668164</v>
      </c>
      <c r="S117" s="20">
        <f t="shared" si="33"/>
        <v>63.333333333334778</v>
      </c>
      <c r="T117" s="21">
        <f t="shared" si="33"/>
        <v>51.933333333334851</v>
      </c>
      <c r="U117" s="21">
        <f t="shared" si="32"/>
        <v>57</v>
      </c>
      <c r="V117" s="21">
        <f t="shared" si="32"/>
        <v>60.166666666668164</v>
      </c>
      <c r="W117" s="22">
        <f t="shared" si="32"/>
        <v>48.766666666666822</v>
      </c>
      <c r="X117" s="22">
        <f t="shared" si="32"/>
        <v>53.833333333331936</v>
      </c>
      <c r="Y117" s="22">
        <f t="shared" si="32"/>
        <v>57</v>
      </c>
      <c r="Z117" s="23">
        <f t="shared" si="32"/>
        <v>45.599999999998936</v>
      </c>
      <c r="AA117" s="23">
        <f t="shared" si="32"/>
        <v>50.666666666666046</v>
      </c>
      <c r="AB117" s="23">
        <f t="shared" si="32"/>
        <v>53.833333333331936</v>
      </c>
      <c r="AC117" s="24">
        <f t="shared" si="32"/>
        <v>42.43333333333365</v>
      </c>
      <c r="AD117" s="24">
        <f t="shared" si="32"/>
        <v>47.499999999999858</v>
      </c>
      <c r="AE117" s="24">
        <f t="shared" si="32"/>
        <v>50.666666666666046</v>
      </c>
      <c r="AF117" s="25">
        <f t="shared" si="32"/>
        <v>39.266666666666168</v>
      </c>
      <c r="AG117" s="25">
        <f t="shared" si="32"/>
        <v>44.33333333333411</v>
      </c>
      <c r="AH117" s="25">
        <f t="shared" si="32"/>
        <v>47.499999999999858</v>
      </c>
      <c r="AI117" s="26">
        <f t="shared" si="32"/>
        <v>36.1000000000003</v>
      </c>
      <c r="AJ117" s="26">
        <f t="shared" si="27"/>
        <v>41.16666666666589</v>
      </c>
      <c r="AK117" s="26">
        <f t="shared" si="27"/>
        <v>44.33333333333411</v>
      </c>
    </row>
    <row r="118" spans="4:37" ht="20.100000000000001" customHeight="1">
      <c r="D118" s="27">
        <f t="shared" si="14"/>
        <v>0.31944444444444381</v>
      </c>
      <c r="E118" s="16">
        <f t="shared" si="33"/>
        <v>91.361111111110461</v>
      </c>
      <c r="F118" s="16">
        <f t="shared" si="33"/>
        <v>96.472222222219358</v>
      </c>
      <c r="G118" s="16">
        <f t="shared" si="33"/>
        <v>99.666666666665279</v>
      </c>
      <c r="H118" s="17">
        <f t="shared" si="33"/>
        <v>84.97222222222355</v>
      </c>
      <c r="I118" s="17">
        <f t="shared" si="33"/>
        <v>90.08333333333286</v>
      </c>
      <c r="J118" s="17">
        <f t="shared" si="33"/>
        <v>93.277777777777928</v>
      </c>
      <c r="K118" s="18">
        <f t="shared" si="33"/>
        <v>78.583333333332405</v>
      </c>
      <c r="L118" s="18">
        <f t="shared" si="33"/>
        <v>83.694444444442908</v>
      </c>
      <c r="M118" s="18">
        <f t="shared" si="33"/>
        <v>86.888888888888403</v>
      </c>
      <c r="N118" s="19">
        <f t="shared" si="33"/>
        <v>58.777777777777466</v>
      </c>
      <c r="O118" s="19">
        <f t="shared" si="33"/>
        <v>63.888888888890335</v>
      </c>
      <c r="P118" s="19">
        <f t="shared" si="33"/>
        <v>67.083333333332504</v>
      </c>
      <c r="Q118" s="20">
        <f t="shared" si="33"/>
        <v>55.583333333334451</v>
      </c>
      <c r="R118" s="20">
        <f t="shared" si="33"/>
        <v>60.694444444445942</v>
      </c>
      <c r="S118" s="20">
        <f t="shared" si="33"/>
        <v>63.888888888890335</v>
      </c>
      <c r="T118" s="21">
        <f t="shared" si="33"/>
        <v>52.388888888890406</v>
      </c>
      <c r="U118" s="21">
        <f t="shared" si="32"/>
        <v>57.5</v>
      </c>
      <c r="V118" s="21">
        <f t="shared" si="32"/>
        <v>60.694444444445942</v>
      </c>
      <c r="W118" s="22">
        <f t="shared" si="32"/>
        <v>49.194444444444599</v>
      </c>
      <c r="X118" s="22">
        <f t="shared" si="32"/>
        <v>54.305555555554157</v>
      </c>
      <c r="Y118" s="22">
        <f t="shared" si="32"/>
        <v>57.5</v>
      </c>
      <c r="Z118" s="23">
        <f t="shared" si="32"/>
        <v>45.999999999998934</v>
      </c>
      <c r="AA118" s="23">
        <f t="shared" si="32"/>
        <v>51.111111111110489</v>
      </c>
      <c r="AB118" s="23">
        <f t="shared" si="32"/>
        <v>54.305555555554157</v>
      </c>
      <c r="AC118" s="24">
        <f t="shared" si="32"/>
        <v>42.80555555555587</v>
      </c>
      <c r="AD118" s="24">
        <f t="shared" si="32"/>
        <v>47.916666666666522</v>
      </c>
      <c r="AE118" s="24">
        <f t="shared" si="32"/>
        <v>51.111111111110489</v>
      </c>
      <c r="AF118" s="25">
        <f t="shared" si="32"/>
        <v>39.61111111111061</v>
      </c>
      <c r="AG118" s="25">
        <f t="shared" si="32"/>
        <v>44.722222222222996</v>
      </c>
      <c r="AH118" s="25">
        <f t="shared" si="32"/>
        <v>47.916666666666522</v>
      </c>
      <c r="AI118" s="26">
        <f t="shared" si="32"/>
        <v>36.41666666666697</v>
      </c>
      <c r="AJ118" s="26">
        <f t="shared" ref="AJ118:AK145" si="34">AJ119-(AJ$363/360)</f>
        <v>41.527777777777004</v>
      </c>
      <c r="AK118" s="26">
        <f t="shared" si="34"/>
        <v>44.722222222222996</v>
      </c>
    </row>
    <row r="119" spans="4:37" ht="20.100000000000001" customHeight="1">
      <c r="D119" s="27">
        <f t="shared" si="14"/>
        <v>0.32222222222222158</v>
      </c>
      <c r="E119" s="16">
        <f t="shared" si="33"/>
        <v>92.155555555554912</v>
      </c>
      <c r="F119" s="16">
        <f t="shared" si="33"/>
        <v>97.311111111108247</v>
      </c>
      <c r="G119" s="16">
        <f t="shared" si="33"/>
        <v>100.53333333333194</v>
      </c>
      <c r="H119" s="17">
        <f t="shared" si="33"/>
        <v>85.711111111112444</v>
      </c>
      <c r="I119" s="17">
        <f t="shared" si="33"/>
        <v>90.866666666666191</v>
      </c>
      <c r="J119" s="17">
        <f t="shared" si="33"/>
        <v>94.088888888889045</v>
      </c>
      <c r="K119" s="18">
        <f t="shared" si="33"/>
        <v>79.266666666665742</v>
      </c>
      <c r="L119" s="18">
        <f t="shared" si="33"/>
        <v>84.422222222220682</v>
      </c>
      <c r="M119" s="18">
        <f t="shared" si="33"/>
        <v>87.644444444443963</v>
      </c>
      <c r="N119" s="19">
        <f t="shared" si="33"/>
        <v>59.288888888888579</v>
      </c>
      <c r="O119" s="19">
        <f t="shared" si="33"/>
        <v>64.444444444445892</v>
      </c>
      <c r="P119" s="19">
        <f t="shared" si="33"/>
        <v>67.666666666665833</v>
      </c>
      <c r="Q119" s="20">
        <f t="shared" si="33"/>
        <v>56.066666666667786</v>
      </c>
      <c r="R119" s="20">
        <f t="shared" si="33"/>
        <v>61.222222222223721</v>
      </c>
      <c r="S119" s="20">
        <f t="shared" si="33"/>
        <v>64.444444444445892</v>
      </c>
      <c r="T119" s="21">
        <f t="shared" si="33"/>
        <v>52.844444444445962</v>
      </c>
      <c r="U119" s="21">
        <f t="shared" si="32"/>
        <v>58</v>
      </c>
      <c r="V119" s="21">
        <f t="shared" si="32"/>
        <v>61.222222222223721</v>
      </c>
      <c r="W119" s="22">
        <f t="shared" si="32"/>
        <v>49.622222222222376</v>
      </c>
      <c r="X119" s="22">
        <f t="shared" si="32"/>
        <v>54.777777777776379</v>
      </c>
      <c r="Y119" s="22">
        <f t="shared" si="32"/>
        <v>58</v>
      </c>
      <c r="Z119" s="23">
        <f t="shared" si="32"/>
        <v>46.399999999998933</v>
      </c>
      <c r="AA119" s="23">
        <f t="shared" si="32"/>
        <v>51.555555555554932</v>
      </c>
      <c r="AB119" s="23">
        <f t="shared" si="32"/>
        <v>54.777777777776379</v>
      </c>
      <c r="AC119" s="24">
        <f t="shared" si="32"/>
        <v>43.17777777777809</v>
      </c>
      <c r="AD119" s="24">
        <f t="shared" si="32"/>
        <v>48.333333333333186</v>
      </c>
      <c r="AE119" s="24">
        <f t="shared" si="32"/>
        <v>51.555555555554932</v>
      </c>
      <c r="AF119" s="25">
        <f t="shared" si="32"/>
        <v>39.955555555555051</v>
      </c>
      <c r="AG119" s="25">
        <f t="shared" si="32"/>
        <v>45.111111111111882</v>
      </c>
      <c r="AH119" s="25">
        <f t="shared" si="32"/>
        <v>48.333333333333186</v>
      </c>
      <c r="AI119" s="26">
        <f t="shared" si="32"/>
        <v>36.73333333333364</v>
      </c>
      <c r="AJ119" s="26">
        <f t="shared" si="34"/>
        <v>41.888888888888118</v>
      </c>
      <c r="AK119" s="26">
        <f t="shared" si="34"/>
        <v>45.111111111111882</v>
      </c>
    </row>
    <row r="120" spans="4:37" ht="20.100000000000001" customHeight="1">
      <c r="D120" s="27">
        <f t="shared" si="14"/>
        <v>0.32499999999999934</v>
      </c>
      <c r="E120" s="16">
        <f t="shared" si="33"/>
        <v>92.949999999999363</v>
      </c>
      <c r="F120" s="16">
        <f t="shared" si="33"/>
        <v>98.149999999997135</v>
      </c>
      <c r="G120" s="16">
        <f t="shared" si="33"/>
        <v>101.3999999999986</v>
      </c>
      <c r="H120" s="17">
        <f t="shared" si="33"/>
        <v>86.450000000001339</v>
      </c>
      <c r="I120" s="17">
        <f t="shared" si="33"/>
        <v>91.649999999999523</v>
      </c>
      <c r="J120" s="17">
        <f t="shared" si="33"/>
        <v>94.900000000000162</v>
      </c>
      <c r="K120" s="18">
        <f t="shared" si="33"/>
        <v>79.949999999999079</v>
      </c>
      <c r="L120" s="18">
        <f t="shared" si="33"/>
        <v>85.149999999998457</v>
      </c>
      <c r="M120" s="18">
        <f t="shared" si="33"/>
        <v>88.399999999999523</v>
      </c>
      <c r="N120" s="19">
        <f t="shared" si="33"/>
        <v>59.799999999999692</v>
      </c>
      <c r="O120" s="19">
        <f t="shared" si="33"/>
        <v>65.00000000000145</v>
      </c>
      <c r="P120" s="19">
        <f t="shared" si="33"/>
        <v>68.249999999999162</v>
      </c>
      <c r="Q120" s="20">
        <f t="shared" si="33"/>
        <v>56.55000000000112</v>
      </c>
      <c r="R120" s="20">
        <f t="shared" si="33"/>
        <v>61.750000000001499</v>
      </c>
      <c r="S120" s="20">
        <f t="shared" si="33"/>
        <v>65.00000000000145</v>
      </c>
      <c r="T120" s="21">
        <f t="shared" si="33"/>
        <v>53.300000000001518</v>
      </c>
      <c r="U120" s="21">
        <f t="shared" si="32"/>
        <v>58.5</v>
      </c>
      <c r="V120" s="21">
        <f t="shared" si="32"/>
        <v>61.750000000001499</v>
      </c>
      <c r="W120" s="22">
        <f t="shared" si="32"/>
        <v>50.050000000000153</v>
      </c>
      <c r="X120" s="22">
        <f t="shared" si="32"/>
        <v>55.2499999999986</v>
      </c>
      <c r="Y120" s="22">
        <f t="shared" si="32"/>
        <v>58.5</v>
      </c>
      <c r="Z120" s="23">
        <f t="shared" si="32"/>
        <v>46.799999999998931</v>
      </c>
      <c r="AA120" s="23">
        <f t="shared" si="32"/>
        <v>51.999999999999375</v>
      </c>
      <c r="AB120" s="23">
        <f t="shared" si="32"/>
        <v>55.2499999999986</v>
      </c>
      <c r="AC120" s="24">
        <f t="shared" si="32"/>
        <v>43.55000000000031</v>
      </c>
      <c r="AD120" s="24">
        <f t="shared" si="32"/>
        <v>48.749999999999851</v>
      </c>
      <c r="AE120" s="24">
        <f t="shared" si="32"/>
        <v>51.999999999999375</v>
      </c>
      <c r="AF120" s="25">
        <f t="shared" si="32"/>
        <v>40.299999999999493</v>
      </c>
      <c r="AG120" s="25">
        <f t="shared" si="32"/>
        <v>45.500000000000767</v>
      </c>
      <c r="AH120" s="25">
        <f t="shared" si="32"/>
        <v>48.749999999999851</v>
      </c>
      <c r="AI120" s="26">
        <f t="shared" si="32"/>
        <v>37.05000000000031</v>
      </c>
      <c r="AJ120" s="26">
        <f t="shared" si="34"/>
        <v>42.249999999999233</v>
      </c>
      <c r="AK120" s="26">
        <f t="shared" si="34"/>
        <v>45.500000000000767</v>
      </c>
    </row>
    <row r="121" spans="4:37" ht="20.100000000000001" customHeight="1">
      <c r="D121" s="27">
        <f t="shared" si="14"/>
        <v>0.32777777777777711</v>
      </c>
      <c r="E121" s="16">
        <f t="shared" si="33"/>
        <v>93.744444444443815</v>
      </c>
      <c r="F121" s="16">
        <f t="shared" si="33"/>
        <v>98.988888888886024</v>
      </c>
      <c r="G121" s="16">
        <f t="shared" si="33"/>
        <v>102.26666666666526</v>
      </c>
      <c r="H121" s="17">
        <f t="shared" si="33"/>
        <v>87.188888888890233</v>
      </c>
      <c r="I121" s="17">
        <f t="shared" si="33"/>
        <v>92.433333333332854</v>
      </c>
      <c r="J121" s="17">
        <f t="shared" si="33"/>
        <v>95.711111111111279</v>
      </c>
      <c r="K121" s="18">
        <f t="shared" si="33"/>
        <v>80.633333333332416</v>
      </c>
      <c r="L121" s="18">
        <f t="shared" si="33"/>
        <v>85.877777777776231</v>
      </c>
      <c r="M121" s="18">
        <f t="shared" si="33"/>
        <v>89.155555555555082</v>
      </c>
      <c r="N121" s="19">
        <f t="shared" si="33"/>
        <v>60.311111111110804</v>
      </c>
      <c r="O121" s="19">
        <f t="shared" si="33"/>
        <v>65.555555555557007</v>
      </c>
      <c r="P121" s="19">
        <f t="shared" si="33"/>
        <v>68.83333333333249</v>
      </c>
      <c r="Q121" s="20">
        <f t="shared" si="33"/>
        <v>57.033333333334454</v>
      </c>
      <c r="R121" s="20">
        <f t="shared" si="33"/>
        <v>62.277777777779278</v>
      </c>
      <c r="S121" s="20">
        <f t="shared" si="33"/>
        <v>65.555555555557007</v>
      </c>
      <c r="T121" s="21">
        <f t="shared" si="33"/>
        <v>53.755555555557073</v>
      </c>
      <c r="U121" s="21">
        <f t="shared" si="32"/>
        <v>59</v>
      </c>
      <c r="V121" s="21">
        <f t="shared" si="32"/>
        <v>62.277777777779278</v>
      </c>
      <c r="W121" s="22">
        <f t="shared" si="32"/>
        <v>50.477777777777931</v>
      </c>
      <c r="X121" s="22">
        <f t="shared" si="32"/>
        <v>55.722222222220822</v>
      </c>
      <c r="Y121" s="22">
        <f t="shared" si="32"/>
        <v>59</v>
      </c>
      <c r="Z121" s="23">
        <f t="shared" si="32"/>
        <v>47.19999999999893</v>
      </c>
      <c r="AA121" s="23">
        <f t="shared" si="32"/>
        <v>52.444444444443818</v>
      </c>
      <c r="AB121" s="23">
        <f t="shared" si="32"/>
        <v>55.722222222220822</v>
      </c>
      <c r="AC121" s="24">
        <f t="shared" si="32"/>
        <v>43.92222222222253</v>
      </c>
      <c r="AD121" s="24">
        <f t="shared" si="32"/>
        <v>49.166666666666515</v>
      </c>
      <c r="AE121" s="24">
        <f t="shared" si="32"/>
        <v>52.444444444443818</v>
      </c>
      <c r="AF121" s="25">
        <f t="shared" si="32"/>
        <v>40.644444444443934</v>
      </c>
      <c r="AG121" s="25">
        <f t="shared" si="32"/>
        <v>45.888888888889653</v>
      </c>
      <c r="AH121" s="25">
        <f t="shared" si="32"/>
        <v>49.166666666666515</v>
      </c>
      <c r="AI121" s="26">
        <f t="shared" si="32"/>
        <v>37.36666666666698</v>
      </c>
      <c r="AJ121" s="26">
        <f t="shared" si="34"/>
        <v>42.611111111110347</v>
      </c>
      <c r="AK121" s="26">
        <f t="shared" si="34"/>
        <v>45.888888888889653</v>
      </c>
    </row>
    <row r="122" spans="4:37" ht="20.100000000000001" customHeight="1">
      <c r="D122" s="27">
        <f t="shared" si="14"/>
        <v>0.33055555555555488</v>
      </c>
      <c r="E122" s="16">
        <f t="shared" si="33"/>
        <v>94.538888888888266</v>
      </c>
      <c r="F122" s="16">
        <f t="shared" si="33"/>
        <v>99.827777777774912</v>
      </c>
      <c r="G122" s="16">
        <f t="shared" si="33"/>
        <v>103.13333333333192</v>
      </c>
      <c r="H122" s="17">
        <f t="shared" si="33"/>
        <v>87.927777777779127</v>
      </c>
      <c r="I122" s="17">
        <f t="shared" si="33"/>
        <v>93.216666666666185</v>
      </c>
      <c r="J122" s="17">
        <f t="shared" si="33"/>
        <v>96.522222222222396</v>
      </c>
      <c r="K122" s="18">
        <f t="shared" si="33"/>
        <v>81.316666666665753</v>
      </c>
      <c r="L122" s="18">
        <f t="shared" si="33"/>
        <v>86.605555555554005</v>
      </c>
      <c r="M122" s="18">
        <f t="shared" si="33"/>
        <v>89.911111111110642</v>
      </c>
      <c r="N122" s="19">
        <f t="shared" si="33"/>
        <v>60.822222222221917</v>
      </c>
      <c r="O122" s="19">
        <f t="shared" si="33"/>
        <v>66.111111111112564</v>
      </c>
      <c r="P122" s="19">
        <f t="shared" si="33"/>
        <v>69.416666666665819</v>
      </c>
      <c r="Q122" s="20">
        <f t="shared" si="33"/>
        <v>57.516666666667788</v>
      </c>
      <c r="R122" s="20">
        <f t="shared" si="33"/>
        <v>62.805555555557056</v>
      </c>
      <c r="S122" s="20">
        <f t="shared" si="33"/>
        <v>66.111111111112564</v>
      </c>
      <c r="T122" s="21">
        <f t="shared" si="33"/>
        <v>54.211111111112629</v>
      </c>
      <c r="U122" s="21">
        <f t="shared" si="32"/>
        <v>59.5</v>
      </c>
      <c r="V122" s="21">
        <f t="shared" si="32"/>
        <v>62.805555555557056</v>
      </c>
      <c r="W122" s="22">
        <f t="shared" si="32"/>
        <v>50.905555555555708</v>
      </c>
      <c r="X122" s="22">
        <f t="shared" si="32"/>
        <v>56.194444444443043</v>
      </c>
      <c r="Y122" s="22">
        <f t="shared" si="32"/>
        <v>59.5</v>
      </c>
      <c r="Z122" s="23">
        <f t="shared" si="32"/>
        <v>47.599999999998929</v>
      </c>
      <c r="AA122" s="23">
        <f t="shared" si="32"/>
        <v>52.88888888888826</v>
      </c>
      <c r="AB122" s="23">
        <f t="shared" si="32"/>
        <v>56.194444444443043</v>
      </c>
      <c r="AC122" s="24">
        <f t="shared" si="32"/>
        <v>44.29444444444475</v>
      </c>
      <c r="AD122" s="24">
        <f t="shared" si="32"/>
        <v>49.583333333333179</v>
      </c>
      <c r="AE122" s="24">
        <f t="shared" si="32"/>
        <v>52.88888888888826</v>
      </c>
      <c r="AF122" s="25">
        <f t="shared" si="32"/>
        <v>40.988888888888376</v>
      </c>
      <c r="AG122" s="25">
        <f t="shared" si="32"/>
        <v>46.277777777778539</v>
      </c>
      <c r="AH122" s="25">
        <f t="shared" si="32"/>
        <v>49.583333333333179</v>
      </c>
      <c r="AI122" s="26">
        <f t="shared" si="32"/>
        <v>37.68333333333365</v>
      </c>
      <c r="AJ122" s="26">
        <f t="shared" si="34"/>
        <v>42.972222222221461</v>
      </c>
      <c r="AK122" s="26">
        <f t="shared" si="34"/>
        <v>46.277777777778539</v>
      </c>
    </row>
    <row r="123" spans="4:37" ht="20.100000000000001" customHeight="1">
      <c r="D123" s="27">
        <f t="shared" si="14"/>
        <v>0.33333333333333265</v>
      </c>
      <c r="E123" s="16">
        <f t="shared" si="33"/>
        <v>95.333333333332718</v>
      </c>
      <c r="F123" s="16">
        <f t="shared" si="33"/>
        <v>100.6666666666638</v>
      </c>
      <c r="G123" s="16">
        <f t="shared" si="33"/>
        <v>103.99999999999858</v>
      </c>
      <c r="H123" s="17">
        <f t="shared" si="33"/>
        <v>88.666666666668021</v>
      </c>
      <c r="I123" s="17">
        <f t="shared" si="33"/>
        <v>93.999999999999517</v>
      </c>
      <c r="J123" s="17">
        <f t="shared" si="33"/>
        <v>97.333333333333513</v>
      </c>
      <c r="K123" s="18">
        <f t="shared" si="33"/>
        <v>81.999999999999091</v>
      </c>
      <c r="L123" s="18">
        <f t="shared" si="33"/>
        <v>87.33333333333178</v>
      </c>
      <c r="M123" s="18">
        <f t="shared" si="33"/>
        <v>90.666666666666202</v>
      </c>
      <c r="N123" s="19">
        <f t="shared" si="33"/>
        <v>61.33333333333303</v>
      </c>
      <c r="O123" s="19">
        <f t="shared" si="33"/>
        <v>66.666666666668121</v>
      </c>
      <c r="P123" s="19">
        <f t="shared" si="33"/>
        <v>69.999999999999147</v>
      </c>
      <c r="Q123" s="20">
        <f t="shared" si="33"/>
        <v>58.000000000001123</v>
      </c>
      <c r="R123" s="20">
        <f t="shared" si="33"/>
        <v>63.333333333334835</v>
      </c>
      <c r="S123" s="20">
        <f t="shared" si="33"/>
        <v>66.666666666668121</v>
      </c>
      <c r="T123" s="21">
        <f t="shared" si="33"/>
        <v>54.666666666668185</v>
      </c>
      <c r="U123" s="21">
        <f t="shared" si="32"/>
        <v>60</v>
      </c>
      <c r="V123" s="21">
        <f t="shared" si="32"/>
        <v>63.333333333334835</v>
      </c>
      <c r="W123" s="22">
        <f t="shared" si="32"/>
        <v>51.333333333333485</v>
      </c>
      <c r="X123" s="22">
        <f t="shared" si="32"/>
        <v>56.666666666665265</v>
      </c>
      <c r="Y123" s="22">
        <f t="shared" si="32"/>
        <v>60</v>
      </c>
      <c r="Z123" s="23">
        <f t="shared" si="32"/>
        <v>47.999999999998927</v>
      </c>
      <c r="AA123" s="23">
        <f t="shared" si="32"/>
        <v>53.333333333332703</v>
      </c>
      <c r="AB123" s="23">
        <f t="shared" si="32"/>
        <v>56.666666666665265</v>
      </c>
      <c r="AC123" s="24">
        <f t="shared" si="32"/>
        <v>44.66666666666697</v>
      </c>
      <c r="AD123" s="24">
        <f t="shared" si="32"/>
        <v>49.999999999999844</v>
      </c>
      <c r="AE123" s="24">
        <f t="shared" si="32"/>
        <v>53.333333333332703</v>
      </c>
      <c r="AF123" s="25">
        <f t="shared" si="32"/>
        <v>41.333333333332817</v>
      </c>
      <c r="AG123" s="25">
        <f t="shared" si="32"/>
        <v>46.666666666667425</v>
      </c>
      <c r="AH123" s="25">
        <f t="shared" si="32"/>
        <v>49.999999999999844</v>
      </c>
      <c r="AI123" s="26">
        <f t="shared" si="32"/>
        <v>38.00000000000032</v>
      </c>
      <c r="AJ123" s="26">
        <f t="shared" si="34"/>
        <v>43.333333333332575</v>
      </c>
      <c r="AK123" s="26">
        <f t="shared" si="34"/>
        <v>46.666666666667425</v>
      </c>
    </row>
    <row r="124" spans="4:37" ht="20.100000000000001" customHeight="1">
      <c r="D124" s="27">
        <f t="shared" si="14"/>
        <v>0.33611111111111042</v>
      </c>
      <c r="E124" s="16">
        <f t="shared" si="33"/>
        <v>96.127777777777169</v>
      </c>
      <c r="F124" s="16">
        <f t="shared" si="33"/>
        <v>101.50555555555269</v>
      </c>
      <c r="G124" s="16">
        <f t="shared" si="33"/>
        <v>104.86666666666524</v>
      </c>
      <c r="H124" s="17">
        <f t="shared" si="33"/>
        <v>89.405555555556916</v>
      </c>
      <c r="I124" s="17">
        <f t="shared" si="33"/>
        <v>94.783333333332848</v>
      </c>
      <c r="J124" s="17">
        <f t="shared" si="33"/>
        <v>98.14444444444463</v>
      </c>
      <c r="K124" s="18">
        <f t="shared" si="33"/>
        <v>82.683333333332428</v>
      </c>
      <c r="L124" s="18">
        <f t="shared" si="33"/>
        <v>88.061111111109554</v>
      </c>
      <c r="M124" s="18">
        <f t="shared" si="33"/>
        <v>91.422222222221762</v>
      </c>
      <c r="N124" s="19">
        <f t="shared" si="33"/>
        <v>61.844444444444143</v>
      </c>
      <c r="O124" s="19">
        <f t="shared" si="33"/>
        <v>67.222222222223678</v>
      </c>
      <c r="P124" s="19">
        <f t="shared" si="33"/>
        <v>70.583333333332476</v>
      </c>
      <c r="Q124" s="20">
        <f t="shared" si="33"/>
        <v>58.483333333334457</v>
      </c>
      <c r="R124" s="20">
        <f t="shared" si="33"/>
        <v>63.861111111112614</v>
      </c>
      <c r="S124" s="20">
        <f t="shared" si="33"/>
        <v>67.222222222223678</v>
      </c>
      <c r="T124" s="21">
        <f t="shared" si="33"/>
        <v>55.122222222223741</v>
      </c>
      <c r="U124" s="21">
        <f t="shared" si="32"/>
        <v>60.5</v>
      </c>
      <c r="V124" s="21">
        <f t="shared" si="32"/>
        <v>63.861111111112614</v>
      </c>
      <c r="W124" s="22">
        <f t="shared" si="32"/>
        <v>51.761111111111262</v>
      </c>
      <c r="X124" s="22">
        <f t="shared" si="32"/>
        <v>57.138888888887486</v>
      </c>
      <c r="Y124" s="22">
        <f t="shared" si="32"/>
        <v>60.5</v>
      </c>
      <c r="Z124" s="23">
        <f t="shared" si="32"/>
        <v>48.399999999998926</v>
      </c>
      <c r="AA124" s="23">
        <f t="shared" si="32"/>
        <v>53.777777777777146</v>
      </c>
      <c r="AB124" s="23">
        <f t="shared" si="32"/>
        <v>57.138888888887486</v>
      </c>
      <c r="AC124" s="24">
        <f t="shared" si="32"/>
        <v>45.03888888888919</v>
      </c>
      <c r="AD124" s="24">
        <f t="shared" si="32"/>
        <v>50.416666666666508</v>
      </c>
      <c r="AE124" s="24">
        <f t="shared" si="32"/>
        <v>53.777777777777146</v>
      </c>
      <c r="AF124" s="25">
        <f t="shared" si="32"/>
        <v>41.677777777777258</v>
      </c>
      <c r="AG124" s="25">
        <f t="shared" si="32"/>
        <v>47.05555555555631</v>
      </c>
      <c r="AH124" s="25">
        <f t="shared" si="32"/>
        <v>50.416666666666508</v>
      </c>
      <c r="AI124" s="26">
        <f t="shared" si="32"/>
        <v>38.31666666666699</v>
      </c>
      <c r="AJ124" s="26">
        <f t="shared" si="34"/>
        <v>43.69444444444369</v>
      </c>
      <c r="AK124" s="26">
        <f t="shared" si="34"/>
        <v>47.05555555555631</v>
      </c>
    </row>
    <row r="125" spans="4:37" ht="20.100000000000001" customHeight="1">
      <c r="D125" s="27">
        <f t="shared" si="14"/>
        <v>0.33888888888888818</v>
      </c>
      <c r="E125" s="16">
        <f t="shared" si="33"/>
        <v>96.92222222222162</v>
      </c>
      <c r="F125" s="16">
        <f t="shared" si="33"/>
        <v>102.34444444444158</v>
      </c>
      <c r="G125" s="16">
        <f t="shared" si="33"/>
        <v>105.7333333333319</v>
      </c>
      <c r="H125" s="17">
        <f t="shared" si="33"/>
        <v>90.14444444444581</v>
      </c>
      <c r="I125" s="17">
        <f t="shared" si="33"/>
        <v>95.56666666666618</v>
      </c>
      <c r="J125" s="17">
        <f t="shared" si="33"/>
        <v>98.955555555555748</v>
      </c>
      <c r="K125" s="18">
        <f t="shared" si="33"/>
        <v>83.366666666665765</v>
      </c>
      <c r="L125" s="18">
        <f t="shared" si="33"/>
        <v>88.788888888887328</v>
      </c>
      <c r="M125" s="18">
        <f t="shared" si="33"/>
        <v>92.177777777777322</v>
      </c>
      <c r="N125" s="19">
        <f t="shared" si="33"/>
        <v>62.355555555555256</v>
      </c>
      <c r="O125" s="19">
        <f t="shared" si="33"/>
        <v>67.777777777779235</v>
      </c>
      <c r="P125" s="19">
        <f t="shared" si="33"/>
        <v>71.166666666665805</v>
      </c>
      <c r="Q125" s="20">
        <f t="shared" si="33"/>
        <v>58.966666666667791</v>
      </c>
      <c r="R125" s="20">
        <f t="shared" si="33"/>
        <v>64.388888888890392</v>
      </c>
      <c r="S125" s="20">
        <f t="shared" si="33"/>
        <v>67.777777777779235</v>
      </c>
      <c r="T125" s="21">
        <f t="shared" si="33"/>
        <v>55.577777777779296</v>
      </c>
      <c r="U125" s="21">
        <f t="shared" si="32"/>
        <v>61</v>
      </c>
      <c r="V125" s="21">
        <f t="shared" si="32"/>
        <v>64.388888888890392</v>
      </c>
      <c r="W125" s="22">
        <f t="shared" si="32"/>
        <v>52.188888888889039</v>
      </c>
      <c r="X125" s="22">
        <f t="shared" si="32"/>
        <v>57.611111111109707</v>
      </c>
      <c r="Y125" s="22">
        <f t="shared" si="32"/>
        <v>61</v>
      </c>
      <c r="Z125" s="23">
        <f t="shared" si="32"/>
        <v>48.799999999998924</v>
      </c>
      <c r="AA125" s="23">
        <f t="shared" si="32"/>
        <v>54.222222222221589</v>
      </c>
      <c r="AB125" s="23">
        <f t="shared" si="32"/>
        <v>57.611111111109707</v>
      </c>
      <c r="AC125" s="24">
        <f t="shared" si="32"/>
        <v>45.41111111111141</v>
      </c>
      <c r="AD125" s="24">
        <f t="shared" si="32"/>
        <v>50.833333333333172</v>
      </c>
      <c r="AE125" s="24">
        <f t="shared" si="32"/>
        <v>54.222222222221589</v>
      </c>
      <c r="AF125" s="25">
        <f t="shared" si="32"/>
        <v>42.0222222222217</v>
      </c>
      <c r="AG125" s="25">
        <f t="shared" si="32"/>
        <v>47.444444444445196</v>
      </c>
      <c r="AH125" s="25">
        <f t="shared" si="32"/>
        <v>50.833333333333172</v>
      </c>
      <c r="AI125" s="26">
        <f t="shared" si="32"/>
        <v>38.63333333333366</v>
      </c>
      <c r="AJ125" s="26">
        <f t="shared" si="34"/>
        <v>44.055555555554804</v>
      </c>
      <c r="AK125" s="26">
        <f t="shared" si="34"/>
        <v>47.444444444445196</v>
      </c>
    </row>
    <row r="126" spans="4:37" ht="20.100000000000001" customHeight="1">
      <c r="D126" s="27">
        <f t="shared" si="14"/>
        <v>0.34166666666666595</v>
      </c>
      <c r="E126" s="16">
        <f t="shared" si="33"/>
        <v>97.716666666666072</v>
      </c>
      <c r="F126" s="16">
        <f t="shared" si="33"/>
        <v>103.18333333333047</v>
      </c>
      <c r="G126" s="16">
        <f t="shared" si="33"/>
        <v>106.59999999999856</v>
      </c>
      <c r="H126" s="17">
        <f t="shared" si="33"/>
        <v>90.883333333334704</v>
      </c>
      <c r="I126" s="17">
        <f t="shared" si="33"/>
        <v>96.349999999999511</v>
      </c>
      <c r="J126" s="17">
        <f t="shared" si="33"/>
        <v>99.766666666666865</v>
      </c>
      <c r="K126" s="18">
        <f t="shared" si="33"/>
        <v>84.049999999999102</v>
      </c>
      <c r="L126" s="18">
        <f t="shared" si="33"/>
        <v>89.516666666665103</v>
      </c>
      <c r="M126" s="18">
        <f t="shared" si="33"/>
        <v>92.933333333332882</v>
      </c>
      <c r="N126" s="19">
        <f t="shared" si="33"/>
        <v>62.866666666666369</v>
      </c>
      <c r="O126" s="19">
        <f t="shared" si="33"/>
        <v>68.333333333334792</v>
      </c>
      <c r="P126" s="19">
        <f t="shared" si="33"/>
        <v>71.749999999999133</v>
      </c>
      <c r="Q126" s="20">
        <f t="shared" si="33"/>
        <v>59.450000000001125</v>
      </c>
      <c r="R126" s="20">
        <f t="shared" si="33"/>
        <v>64.916666666668164</v>
      </c>
      <c r="S126" s="20">
        <f t="shared" si="33"/>
        <v>68.333333333334792</v>
      </c>
      <c r="T126" s="21">
        <f t="shared" si="33"/>
        <v>56.033333333334852</v>
      </c>
      <c r="U126" s="21">
        <f t="shared" si="32"/>
        <v>61.5</v>
      </c>
      <c r="V126" s="21">
        <f t="shared" si="32"/>
        <v>64.916666666668164</v>
      </c>
      <c r="W126" s="22">
        <f t="shared" si="32"/>
        <v>52.616666666666816</v>
      </c>
      <c r="X126" s="22">
        <f t="shared" si="32"/>
        <v>58.083333333331929</v>
      </c>
      <c r="Y126" s="22">
        <f t="shared" si="32"/>
        <v>61.5</v>
      </c>
      <c r="Z126" s="23">
        <f t="shared" si="32"/>
        <v>49.199999999998923</v>
      </c>
      <c r="AA126" s="23">
        <f t="shared" si="32"/>
        <v>54.666666666666032</v>
      </c>
      <c r="AB126" s="23">
        <f t="shared" si="32"/>
        <v>58.083333333331929</v>
      </c>
      <c r="AC126" s="24">
        <f t="shared" si="32"/>
        <v>45.78333333333363</v>
      </c>
      <c r="AD126" s="24">
        <f t="shared" si="32"/>
        <v>51.249999999999837</v>
      </c>
      <c r="AE126" s="24">
        <f t="shared" si="32"/>
        <v>54.666666666666032</v>
      </c>
      <c r="AF126" s="25">
        <f t="shared" si="32"/>
        <v>42.366666666666141</v>
      </c>
      <c r="AG126" s="25">
        <f t="shared" si="32"/>
        <v>47.833333333334082</v>
      </c>
      <c r="AH126" s="25">
        <f t="shared" si="32"/>
        <v>51.249999999999837</v>
      </c>
      <c r="AI126" s="26">
        <f t="shared" si="32"/>
        <v>38.95000000000033</v>
      </c>
      <c r="AJ126" s="26">
        <f t="shared" si="34"/>
        <v>44.416666666665918</v>
      </c>
      <c r="AK126" s="26">
        <f t="shared" si="34"/>
        <v>47.833333333334082</v>
      </c>
    </row>
    <row r="127" spans="4:37" ht="20.100000000000001" customHeight="1">
      <c r="D127" s="27">
        <f t="shared" si="14"/>
        <v>0.34444444444444372</v>
      </c>
      <c r="E127" s="16">
        <f t="shared" si="33"/>
        <v>98.511111111110523</v>
      </c>
      <c r="F127" s="16">
        <f t="shared" si="33"/>
        <v>104.02222222221936</v>
      </c>
      <c r="G127" s="16">
        <f t="shared" si="33"/>
        <v>107.46666666666522</v>
      </c>
      <c r="H127" s="17">
        <f t="shared" si="33"/>
        <v>91.622222222223598</v>
      </c>
      <c r="I127" s="17">
        <f t="shared" si="33"/>
        <v>97.133333333332843</v>
      </c>
      <c r="J127" s="17">
        <f t="shared" si="33"/>
        <v>100.57777777777798</v>
      </c>
      <c r="K127" s="18">
        <f t="shared" si="33"/>
        <v>84.733333333332439</v>
      </c>
      <c r="L127" s="18">
        <f t="shared" si="33"/>
        <v>90.244444444442877</v>
      </c>
      <c r="M127" s="18">
        <f t="shared" si="33"/>
        <v>93.688888888888442</v>
      </c>
      <c r="N127" s="19">
        <f t="shared" si="33"/>
        <v>63.377777777777482</v>
      </c>
      <c r="O127" s="19">
        <f t="shared" si="33"/>
        <v>68.888888888890349</v>
      </c>
      <c r="P127" s="19">
        <f t="shared" si="33"/>
        <v>72.333333333332462</v>
      </c>
      <c r="Q127" s="20">
        <f t="shared" si="33"/>
        <v>59.93333333333446</v>
      </c>
      <c r="R127" s="20">
        <f t="shared" si="33"/>
        <v>65.444444444445935</v>
      </c>
      <c r="S127" s="20">
        <f t="shared" si="33"/>
        <v>68.888888888890349</v>
      </c>
      <c r="T127" s="21">
        <f t="shared" si="33"/>
        <v>56.488888888890408</v>
      </c>
      <c r="U127" s="21">
        <f t="shared" si="32"/>
        <v>62</v>
      </c>
      <c r="V127" s="21">
        <f t="shared" si="32"/>
        <v>65.444444444445935</v>
      </c>
      <c r="W127" s="22">
        <f t="shared" si="32"/>
        <v>53.044444444444594</v>
      </c>
      <c r="X127" s="22">
        <f t="shared" si="32"/>
        <v>58.55555555555415</v>
      </c>
      <c r="Y127" s="22">
        <f t="shared" si="32"/>
        <v>62</v>
      </c>
      <c r="Z127" s="23">
        <f t="shared" si="32"/>
        <v>49.599999999998921</v>
      </c>
      <c r="AA127" s="23">
        <f t="shared" si="32"/>
        <v>55.111111111110475</v>
      </c>
      <c r="AB127" s="23">
        <f t="shared" si="32"/>
        <v>58.55555555555415</v>
      </c>
      <c r="AC127" s="24">
        <f t="shared" si="32"/>
        <v>46.15555555555585</v>
      </c>
      <c r="AD127" s="24">
        <f t="shared" si="32"/>
        <v>51.666666666666501</v>
      </c>
      <c r="AE127" s="24">
        <f t="shared" si="32"/>
        <v>55.111111111110475</v>
      </c>
      <c r="AF127" s="25">
        <f t="shared" si="32"/>
        <v>42.711111111110583</v>
      </c>
      <c r="AG127" s="25">
        <f t="shared" si="32"/>
        <v>48.222222222222968</v>
      </c>
      <c r="AH127" s="25">
        <f t="shared" si="32"/>
        <v>51.666666666666501</v>
      </c>
      <c r="AI127" s="26">
        <f t="shared" si="32"/>
        <v>39.266666666667</v>
      </c>
      <c r="AJ127" s="26">
        <f t="shared" si="34"/>
        <v>44.777777777777032</v>
      </c>
      <c r="AK127" s="26">
        <f t="shared" si="34"/>
        <v>48.222222222222968</v>
      </c>
    </row>
    <row r="128" spans="4:37" ht="20.100000000000001" customHeight="1">
      <c r="D128" s="27">
        <f t="shared" si="14"/>
        <v>0.34722222222222149</v>
      </c>
      <c r="E128" s="16">
        <f t="shared" si="33"/>
        <v>99.305555555554974</v>
      </c>
      <c r="F128" s="16">
        <f t="shared" si="33"/>
        <v>104.86111111110824</v>
      </c>
      <c r="G128" s="16">
        <f t="shared" si="33"/>
        <v>108.33333333333188</v>
      </c>
      <c r="H128" s="17">
        <f t="shared" si="33"/>
        <v>92.361111111112493</v>
      </c>
      <c r="I128" s="17">
        <f t="shared" si="33"/>
        <v>97.916666666666174</v>
      </c>
      <c r="J128" s="17">
        <f t="shared" si="33"/>
        <v>101.3888888888891</v>
      </c>
      <c r="K128" s="18">
        <f t="shared" si="33"/>
        <v>85.416666666665776</v>
      </c>
      <c r="L128" s="18">
        <f t="shared" si="33"/>
        <v>90.972222222220651</v>
      </c>
      <c r="M128" s="18">
        <f t="shared" si="33"/>
        <v>94.444444444444002</v>
      </c>
      <c r="N128" s="19">
        <f t="shared" si="33"/>
        <v>63.888888888888594</v>
      </c>
      <c r="O128" s="19">
        <f t="shared" si="33"/>
        <v>69.444444444445907</v>
      </c>
      <c r="P128" s="19">
        <f t="shared" si="33"/>
        <v>72.91666666666579</v>
      </c>
      <c r="Q128" s="20">
        <f t="shared" si="33"/>
        <v>60.416666666667794</v>
      </c>
      <c r="R128" s="20">
        <f t="shared" si="33"/>
        <v>65.972222222223706</v>
      </c>
      <c r="S128" s="20">
        <f t="shared" si="33"/>
        <v>69.444444444445907</v>
      </c>
      <c r="T128" s="21">
        <f>T129-(T$363/360)</f>
        <v>56.944444444445963</v>
      </c>
      <c r="U128" s="21">
        <f t="shared" si="32"/>
        <v>62.5</v>
      </c>
      <c r="V128" s="21">
        <f t="shared" si="32"/>
        <v>65.972222222223706</v>
      </c>
      <c r="W128" s="22">
        <f t="shared" si="32"/>
        <v>53.472222222222371</v>
      </c>
      <c r="X128" s="22">
        <f t="shared" si="32"/>
        <v>59.027777777776372</v>
      </c>
      <c r="Y128" s="22">
        <f t="shared" si="32"/>
        <v>62.5</v>
      </c>
      <c r="Z128" s="23">
        <f t="shared" si="32"/>
        <v>49.99999999999892</v>
      </c>
      <c r="AA128" s="23">
        <f t="shared" si="32"/>
        <v>55.555555555554918</v>
      </c>
      <c r="AB128" s="23">
        <f t="shared" si="32"/>
        <v>59.027777777776372</v>
      </c>
      <c r="AC128" s="24">
        <f t="shared" si="32"/>
        <v>46.52777777777807</v>
      </c>
      <c r="AD128" s="24">
        <f t="shared" si="32"/>
        <v>52.083333333333165</v>
      </c>
      <c r="AE128" s="24">
        <f t="shared" si="32"/>
        <v>55.555555555554918</v>
      </c>
      <c r="AF128" s="25">
        <f t="shared" si="32"/>
        <v>43.055555555555024</v>
      </c>
      <c r="AG128" s="25">
        <f t="shared" si="32"/>
        <v>48.611111111111853</v>
      </c>
      <c r="AH128" s="25">
        <f t="shared" si="32"/>
        <v>52.083333333333165</v>
      </c>
      <c r="AI128" s="26">
        <f t="shared" si="32"/>
        <v>39.58333333333367</v>
      </c>
      <c r="AJ128" s="26">
        <f t="shared" si="34"/>
        <v>45.138888888888147</v>
      </c>
      <c r="AK128" s="26">
        <f t="shared" si="34"/>
        <v>48.611111111111853</v>
      </c>
    </row>
    <row r="129" spans="4:37" ht="20.100000000000001" customHeight="1">
      <c r="D129" s="27">
        <f t="shared" si="14"/>
        <v>0.34999999999999926</v>
      </c>
      <c r="E129" s="16">
        <f t="shared" ref="E129:T144" si="35">E130-(E$363/360)</f>
        <v>100.09999999999943</v>
      </c>
      <c r="F129" s="16">
        <f t="shared" si="35"/>
        <v>105.69999999999713</v>
      </c>
      <c r="G129" s="16">
        <f t="shared" si="35"/>
        <v>109.19999999999854</v>
      </c>
      <c r="H129" s="17">
        <f t="shared" si="35"/>
        <v>93.100000000001387</v>
      </c>
      <c r="I129" s="17">
        <f t="shared" si="35"/>
        <v>98.699999999999505</v>
      </c>
      <c r="J129" s="17">
        <f t="shared" si="35"/>
        <v>102.20000000000022</v>
      </c>
      <c r="K129" s="18">
        <f t="shared" si="35"/>
        <v>86.099999999999113</v>
      </c>
      <c r="L129" s="18">
        <f t="shared" si="35"/>
        <v>91.699999999998425</v>
      </c>
      <c r="M129" s="18">
        <f t="shared" si="35"/>
        <v>95.199999999999562</v>
      </c>
      <c r="N129" s="19">
        <f t="shared" si="35"/>
        <v>64.399999999999707</v>
      </c>
      <c r="O129" s="19">
        <f t="shared" si="35"/>
        <v>70.000000000001464</v>
      </c>
      <c r="P129" s="19">
        <f t="shared" si="35"/>
        <v>73.499999999999119</v>
      </c>
      <c r="Q129" s="20">
        <f t="shared" si="35"/>
        <v>60.900000000001128</v>
      </c>
      <c r="R129" s="20">
        <f t="shared" si="35"/>
        <v>66.500000000001478</v>
      </c>
      <c r="S129" s="20">
        <f t="shared" si="35"/>
        <v>70.000000000001464</v>
      </c>
      <c r="T129" s="21">
        <f t="shared" si="35"/>
        <v>57.400000000001519</v>
      </c>
      <c r="U129" s="21">
        <f t="shared" si="32"/>
        <v>63</v>
      </c>
      <c r="V129" s="21">
        <f t="shared" si="32"/>
        <v>66.500000000001478</v>
      </c>
      <c r="W129" s="22">
        <f t="shared" si="32"/>
        <v>53.900000000000148</v>
      </c>
      <c r="X129" s="22">
        <f t="shared" si="32"/>
        <v>59.499999999998593</v>
      </c>
      <c r="Y129" s="22">
        <f t="shared" si="32"/>
        <v>63</v>
      </c>
      <c r="Z129" s="23">
        <f t="shared" si="32"/>
        <v>50.399999999998919</v>
      </c>
      <c r="AA129" s="23">
        <f t="shared" si="32"/>
        <v>55.999999999999361</v>
      </c>
      <c r="AB129" s="23">
        <f t="shared" si="32"/>
        <v>59.499999999998593</v>
      </c>
      <c r="AC129" s="24">
        <f t="shared" si="32"/>
        <v>46.90000000000029</v>
      </c>
      <c r="AD129" s="24">
        <f t="shared" si="32"/>
        <v>52.499999999999829</v>
      </c>
      <c r="AE129" s="24">
        <f t="shared" si="32"/>
        <v>55.999999999999361</v>
      </c>
      <c r="AF129" s="25">
        <f t="shared" si="32"/>
        <v>43.399999999999466</v>
      </c>
      <c r="AG129" s="25">
        <f t="shared" si="32"/>
        <v>49.000000000000739</v>
      </c>
      <c r="AH129" s="25">
        <f t="shared" si="32"/>
        <v>52.499999999999829</v>
      </c>
      <c r="AI129" s="26">
        <f t="shared" si="32"/>
        <v>39.90000000000034</v>
      </c>
      <c r="AJ129" s="26">
        <f t="shared" si="34"/>
        <v>45.499999999999261</v>
      </c>
      <c r="AK129" s="26">
        <f t="shared" si="34"/>
        <v>49.000000000000739</v>
      </c>
    </row>
    <row r="130" spans="4:37" ht="20.100000000000001" customHeight="1">
      <c r="D130" s="27">
        <f t="shared" si="14"/>
        <v>0.35277777777777702</v>
      </c>
      <c r="E130" s="16">
        <f t="shared" si="35"/>
        <v>100.89444444444388</v>
      </c>
      <c r="F130" s="16">
        <f t="shared" si="35"/>
        <v>106.53888888888602</v>
      </c>
      <c r="G130" s="16">
        <f t="shared" si="35"/>
        <v>110.0666666666652</v>
      </c>
      <c r="H130" s="17">
        <f t="shared" si="35"/>
        <v>93.838888888890281</v>
      </c>
      <c r="I130" s="17">
        <f t="shared" si="35"/>
        <v>99.483333333332837</v>
      </c>
      <c r="J130" s="17">
        <f t="shared" si="35"/>
        <v>103.01111111111133</v>
      </c>
      <c r="K130" s="18">
        <f t="shared" si="35"/>
        <v>86.78333333333245</v>
      </c>
      <c r="L130" s="18">
        <f t="shared" si="35"/>
        <v>92.4277777777762</v>
      </c>
      <c r="M130" s="18">
        <f t="shared" si="35"/>
        <v>95.955555555555122</v>
      </c>
      <c r="N130" s="19">
        <f t="shared" si="35"/>
        <v>64.911111111110813</v>
      </c>
      <c r="O130" s="19">
        <f t="shared" si="35"/>
        <v>70.555555555557021</v>
      </c>
      <c r="P130" s="19">
        <f t="shared" si="35"/>
        <v>74.083333333332448</v>
      </c>
      <c r="Q130" s="20">
        <f t="shared" si="35"/>
        <v>61.383333333334463</v>
      </c>
      <c r="R130" s="20">
        <f t="shared" si="35"/>
        <v>67.027777777779249</v>
      </c>
      <c r="S130" s="20">
        <f t="shared" si="35"/>
        <v>70.555555555557021</v>
      </c>
      <c r="T130" s="21">
        <f t="shared" si="35"/>
        <v>57.855555555557075</v>
      </c>
      <c r="U130" s="21">
        <f t="shared" si="32"/>
        <v>63.5</v>
      </c>
      <c r="V130" s="21">
        <f t="shared" si="32"/>
        <v>67.027777777779249</v>
      </c>
      <c r="W130" s="22">
        <f t="shared" si="32"/>
        <v>54.327777777777925</v>
      </c>
      <c r="X130" s="22">
        <f t="shared" si="32"/>
        <v>59.972222222220815</v>
      </c>
      <c r="Y130" s="22">
        <f t="shared" si="32"/>
        <v>63.5</v>
      </c>
      <c r="Z130" s="23">
        <f t="shared" si="32"/>
        <v>50.799999999998917</v>
      </c>
      <c r="AA130" s="23">
        <f t="shared" si="32"/>
        <v>56.444444444443803</v>
      </c>
      <c r="AB130" s="23">
        <f t="shared" si="32"/>
        <v>59.972222222220815</v>
      </c>
      <c r="AC130" s="24">
        <f t="shared" si="32"/>
        <v>47.27222222222251</v>
      </c>
      <c r="AD130" s="24">
        <f t="shared" ref="AD130:AI130" si="36">AD131-(AD$363/360)</f>
        <v>52.916666666666494</v>
      </c>
      <c r="AE130" s="24">
        <f t="shared" si="36"/>
        <v>56.444444444443803</v>
      </c>
      <c r="AF130" s="25">
        <f t="shared" si="36"/>
        <v>43.744444444443907</v>
      </c>
      <c r="AG130" s="25">
        <f t="shared" si="36"/>
        <v>49.388888888889625</v>
      </c>
      <c r="AH130" s="25">
        <f t="shared" si="36"/>
        <v>52.916666666666494</v>
      </c>
      <c r="AI130" s="26">
        <f t="shared" si="36"/>
        <v>40.21666666666701</v>
      </c>
      <c r="AJ130" s="26">
        <f t="shared" si="34"/>
        <v>45.861111111110375</v>
      </c>
      <c r="AK130" s="26">
        <f t="shared" si="34"/>
        <v>49.388888888889625</v>
      </c>
    </row>
    <row r="131" spans="4:37" ht="20.100000000000001" customHeight="1">
      <c r="D131" s="27">
        <f t="shared" si="14"/>
        <v>0.35555555555555479</v>
      </c>
      <c r="E131" s="16">
        <f t="shared" si="35"/>
        <v>101.68888888888833</v>
      </c>
      <c r="F131" s="16">
        <f t="shared" si="35"/>
        <v>107.37777777777491</v>
      </c>
      <c r="G131" s="16">
        <f t="shared" si="35"/>
        <v>110.93333333333186</v>
      </c>
      <c r="H131" s="17">
        <f t="shared" si="35"/>
        <v>94.577777777779175</v>
      </c>
      <c r="I131" s="17">
        <f t="shared" si="35"/>
        <v>100.26666666666617</v>
      </c>
      <c r="J131" s="17">
        <f t="shared" si="35"/>
        <v>103.82222222222245</v>
      </c>
      <c r="K131" s="18">
        <f t="shared" si="35"/>
        <v>87.466666666665787</v>
      </c>
      <c r="L131" s="18">
        <f t="shared" si="35"/>
        <v>93.155555555553974</v>
      </c>
      <c r="M131" s="18">
        <f t="shared" si="35"/>
        <v>96.711111111110682</v>
      </c>
      <c r="N131" s="19">
        <f t="shared" si="35"/>
        <v>65.422222222221919</v>
      </c>
      <c r="O131" s="19">
        <f t="shared" si="35"/>
        <v>71.111111111112578</v>
      </c>
      <c r="P131" s="19">
        <f t="shared" si="35"/>
        <v>74.666666666665776</v>
      </c>
      <c r="Q131" s="20">
        <f t="shared" si="35"/>
        <v>61.866666666667797</v>
      </c>
      <c r="R131" s="20">
        <f t="shared" si="35"/>
        <v>67.555555555557021</v>
      </c>
      <c r="S131" s="20">
        <f t="shared" si="35"/>
        <v>71.111111111112578</v>
      </c>
      <c r="T131" s="21">
        <f t="shared" si="35"/>
        <v>58.311111111112631</v>
      </c>
      <c r="U131" s="21">
        <f t="shared" ref="U131:AJ146" si="37">U132-(U$363/360)</f>
        <v>64</v>
      </c>
      <c r="V131" s="21">
        <f t="shared" si="37"/>
        <v>67.555555555557021</v>
      </c>
      <c r="W131" s="22">
        <f t="shared" si="37"/>
        <v>54.755555555555702</v>
      </c>
      <c r="X131" s="22">
        <f t="shared" si="37"/>
        <v>60.444444444443036</v>
      </c>
      <c r="Y131" s="22">
        <f t="shared" si="37"/>
        <v>64</v>
      </c>
      <c r="Z131" s="23">
        <f t="shared" si="37"/>
        <v>51.199999999998916</v>
      </c>
      <c r="AA131" s="23">
        <f t="shared" si="37"/>
        <v>56.888888888888246</v>
      </c>
      <c r="AB131" s="23">
        <f t="shared" si="37"/>
        <v>60.444444444443036</v>
      </c>
      <c r="AC131" s="24">
        <f t="shared" si="37"/>
        <v>47.64444444444473</v>
      </c>
      <c r="AD131" s="24">
        <f t="shared" si="37"/>
        <v>53.333333333333158</v>
      </c>
      <c r="AE131" s="24">
        <f t="shared" si="37"/>
        <v>56.888888888888246</v>
      </c>
      <c r="AF131" s="25">
        <f t="shared" si="37"/>
        <v>44.088888888888349</v>
      </c>
      <c r="AG131" s="25">
        <f t="shared" si="37"/>
        <v>49.77777777777851</v>
      </c>
      <c r="AH131" s="25">
        <f t="shared" si="37"/>
        <v>53.333333333333158</v>
      </c>
      <c r="AI131" s="26">
        <f t="shared" si="37"/>
        <v>40.53333333333368</v>
      </c>
      <c r="AJ131" s="26">
        <f t="shared" si="37"/>
        <v>46.22222222222149</v>
      </c>
      <c r="AK131" s="26">
        <f t="shared" si="34"/>
        <v>49.77777777777851</v>
      </c>
    </row>
    <row r="132" spans="4:37" ht="20.100000000000001" customHeight="1">
      <c r="D132" s="27">
        <f t="shared" si="14"/>
        <v>0.35833333333333256</v>
      </c>
      <c r="E132" s="16">
        <f t="shared" si="35"/>
        <v>102.48333333333278</v>
      </c>
      <c r="F132" s="16">
        <f t="shared" si="35"/>
        <v>108.2166666666638</v>
      </c>
      <c r="G132" s="16">
        <f t="shared" si="35"/>
        <v>111.79999999999852</v>
      </c>
      <c r="H132" s="17">
        <f t="shared" si="35"/>
        <v>95.31666666666807</v>
      </c>
      <c r="I132" s="17">
        <f t="shared" si="35"/>
        <v>101.0499999999995</v>
      </c>
      <c r="J132" s="17">
        <f t="shared" si="35"/>
        <v>104.63333333333357</v>
      </c>
      <c r="K132" s="18">
        <f t="shared" si="35"/>
        <v>88.149999999999125</v>
      </c>
      <c r="L132" s="18">
        <f t="shared" si="35"/>
        <v>93.883333333331748</v>
      </c>
      <c r="M132" s="18">
        <f t="shared" si="35"/>
        <v>97.466666666666242</v>
      </c>
      <c r="N132" s="19">
        <f t="shared" si="35"/>
        <v>65.933333333333024</v>
      </c>
      <c r="O132" s="19">
        <f t="shared" si="35"/>
        <v>71.666666666668135</v>
      </c>
      <c r="P132" s="19">
        <f t="shared" si="35"/>
        <v>75.249999999999105</v>
      </c>
      <c r="Q132" s="20">
        <f t="shared" si="35"/>
        <v>62.350000000001131</v>
      </c>
      <c r="R132" s="20">
        <f t="shared" si="35"/>
        <v>68.083333333334792</v>
      </c>
      <c r="S132" s="20">
        <f t="shared" si="35"/>
        <v>71.666666666668135</v>
      </c>
      <c r="T132" s="21">
        <f t="shared" si="35"/>
        <v>58.766666666668186</v>
      </c>
      <c r="U132" s="21">
        <f t="shared" si="37"/>
        <v>64.5</v>
      </c>
      <c r="V132" s="21">
        <f t="shared" si="37"/>
        <v>68.083333333334792</v>
      </c>
      <c r="W132" s="22">
        <f t="shared" si="37"/>
        <v>55.183333333333479</v>
      </c>
      <c r="X132" s="22">
        <f t="shared" si="37"/>
        <v>60.916666666665257</v>
      </c>
      <c r="Y132" s="22">
        <f t="shared" si="37"/>
        <v>64.5</v>
      </c>
      <c r="Z132" s="23">
        <f t="shared" si="37"/>
        <v>51.599999999998914</v>
      </c>
      <c r="AA132" s="23">
        <f t="shared" si="37"/>
        <v>57.333333333332689</v>
      </c>
      <c r="AB132" s="23">
        <f t="shared" si="37"/>
        <v>60.916666666665257</v>
      </c>
      <c r="AC132" s="24">
        <f t="shared" si="37"/>
        <v>48.01666666666695</v>
      </c>
      <c r="AD132" s="24">
        <f t="shared" si="37"/>
        <v>53.749999999999822</v>
      </c>
      <c r="AE132" s="24">
        <f t="shared" si="37"/>
        <v>57.333333333332689</v>
      </c>
      <c r="AF132" s="25">
        <f t="shared" si="37"/>
        <v>44.43333333333279</v>
      </c>
      <c r="AG132" s="25">
        <f t="shared" si="37"/>
        <v>50.166666666667396</v>
      </c>
      <c r="AH132" s="25">
        <f t="shared" si="37"/>
        <v>53.749999999999822</v>
      </c>
      <c r="AI132" s="26">
        <f t="shared" si="37"/>
        <v>40.85000000000035</v>
      </c>
      <c r="AJ132" s="26">
        <f t="shared" si="37"/>
        <v>46.583333333332604</v>
      </c>
      <c r="AK132" s="26">
        <f t="shared" si="34"/>
        <v>50.166666666667396</v>
      </c>
    </row>
    <row r="133" spans="4:37" ht="20.100000000000001" customHeight="1">
      <c r="D133" s="27">
        <f t="shared" ref="D133:D196" si="38">D132+0.2/72</f>
        <v>0.36111111111111033</v>
      </c>
      <c r="E133" s="16">
        <f t="shared" si="35"/>
        <v>103.27777777777723</v>
      </c>
      <c r="F133" s="16">
        <f t="shared" si="35"/>
        <v>109.05555555555269</v>
      </c>
      <c r="G133" s="16">
        <f t="shared" si="35"/>
        <v>112.66666666666518</v>
      </c>
      <c r="H133" s="17">
        <f t="shared" si="35"/>
        <v>96.055555555556964</v>
      </c>
      <c r="I133" s="17">
        <f t="shared" si="35"/>
        <v>101.83333333333283</v>
      </c>
      <c r="J133" s="17">
        <f t="shared" si="35"/>
        <v>105.44444444444468</v>
      </c>
      <c r="K133" s="18">
        <f t="shared" si="35"/>
        <v>88.833333333332462</v>
      </c>
      <c r="L133" s="18">
        <f t="shared" si="35"/>
        <v>94.611111111109523</v>
      </c>
      <c r="M133" s="18">
        <f t="shared" si="35"/>
        <v>98.222222222221802</v>
      </c>
      <c r="N133" s="19">
        <f t="shared" si="35"/>
        <v>66.44444444444413</v>
      </c>
      <c r="O133" s="19">
        <f t="shared" si="35"/>
        <v>72.222222222223692</v>
      </c>
      <c r="P133" s="19">
        <f t="shared" si="35"/>
        <v>75.833333333332433</v>
      </c>
      <c r="Q133" s="20">
        <f t="shared" si="35"/>
        <v>62.833333333334465</v>
      </c>
      <c r="R133" s="20">
        <f t="shared" si="35"/>
        <v>68.611111111112564</v>
      </c>
      <c r="S133" s="20">
        <f t="shared" si="35"/>
        <v>72.222222222223692</v>
      </c>
      <c r="T133" s="21">
        <f t="shared" si="35"/>
        <v>59.222222222223742</v>
      </c>
      <c r="U133" s="21">
        <f t="shared" si="37"/>
        <v>65</v>
      </c>
      <c r="V133" s="21">
        <f t="shared" si="37"/>
        <v>68.611111111112564</v>
      </c>
      <c r="W133" s="22">
        <f t="shared" si="37"/>
        <v>55.611111111111256</v>
      </c>
      <c r="X133" s="22">
        <f t="shared" si="37"/>
        <v>61.388888888887479</v>
      </c>
      <c r="Y133" s="22">
        <f t="shared" si="37"/>
        <v>65</v>
      </c>
      <c r="Z133" s="23">
        <f t="shared" si="37"/>
        <v>51.999999999998913</v>
      </c>
      <c r="AA133" s="23">
        <f t="shared" si="37"/>
        <v>57.777777777777132</v>
      </c>
      <c r="AB133" s="23">
        <f t="shared" si="37"/>
        <v>61.388888888887479</v>
      </c>
      <c r="AC133" s="24">
        <f t="shared" si="37"/>
        <v>48.38888888888917</v>
      </c>
      <c r="AD133" s="24">
        <f t="shared" si="37"/>
        <v>54.166666666666487</v>
      </c>
      <c r="AE133" s="24">
        <f t="shared" si="37"/>
        <v>57.777777777777132</v>
      </c>
      <c r="AF133" s="25">
        <f t="shared" si="37"/>
        <v>44.777777777777231</v>
      </c>
      <c r="AG133" s="25">
        <f t="shared" si="37"/>
        <v>50.555555555556282</v>
      </c>
      <c r="AH133" s="25">
        <f t="shared" si="37"/>
        <v>54.166666666666487</v>
      </c>
      <c r="AI133" s="26">
        <f t="shared" si="37"/>
        <v>41.16666666666702</v>
      </c>
      <c r="AJ133" s="26">
        <f t="shared" si="37"/>
        <v>46.944444444443718</v>
      </c>
      <c r="AK133" s="26">
        <f t="shared" si="34"/>
        <v>50.555555555556282</v>
      </c>
    </row>
    <row r="134" spans="4:37" ht="20.100000000000001" customHeight="1">
      <c r="D134" s="27">
        <f t="shared" si="38"/>
        <v>0.3638888888888881</v>
      </c>
      <c r="E134" s="16">
        <f t="shared" si="35"/>
        <v>104.07222222222168</v>
      </c>
      <c r="F134" s="16">
        <f t="shared" si="35"/>
        <v>109.89444444444158</v>
      </c>
      <c r="G134" s="16">
        <f t="shared" si="35"/>
        <v>113.53333333333184</v>
      </c>
      <c r="H134" s="17">
        <f t="shared" si="35"/>
        <v>96.794444444445858</v>
      </c>
      <c r="I134" s="17">
        <f t="shared" si="35"/>
        <v>102.61666666666616</v>
      </c>
      <c r="J134" s="17">
        <f t="shared" si="35"/>
        <v>106.2555555555558</v>
      </c>
      <c r="K134" s="18">
        <f t="shared" si="35"/>
        <v>89.516666666665799</v>
      </c>
      <c r="L134" s="18">
        <f t="shared" si="35"/>
        <v>95.338888888887297</v>
      </c>
      <c r="M134" s="18">
        <f t="shared" si="35"/>
        <v>98.977777777777362</v>
      </c>
      <c r="N134" s="19">
        <f t="shared" si="35"/>
        <v>66.955555555555236</v>
      </c>
      <c r="O134" s="19">
        <f t="shared" si="35"/>
        <v>72.777777777779249</v>
      </c>
      <c r="P134" s="19">
        <f t="shared" si="35"/>
        <v>76.416666666665762</v>
      </c>
      <c r="Q134" s="20">
        <f t="shared" si="35"/>
        <v>63.3166666666678</v>
      </c>
      <c r="R134" s="20">
        <f t="shared" si="35"/>
        <v>69.138888888890335</v>
      </c>
      <c r="S134" s="20">
        <f t="shared" si="35"/>
        <v>72.777777777779249</v>
      </c>
      <c r="T134" s="21">
        <f t="shared" si="35"/>
        <v>59.677777777779298</v>
      </c>
      <c r="U134" s="21">
        <f t="shared" si="37"/>
        <v>65.5</v>
      </c>
      <c r="V134" s="21">
        <f t="shared" si="37"/>
        <v>69.138888888890335</v>
      </c>
      <c r="W134" s="22">
        <f t="shared" si="37"/>
        <v>56.038888888889034</v>
      </c>
      <c r="X134" s="22">
        <f t="shared" si="37"/>
        <v>61.8611111111097</v>
      </c>
      <c r="Y134" s="22">
        <f t="shared" si="37"/>
        <v>65.5</v>
      </c>
      <c r="Z134" s="23">
        <f t="shared" si="37"/>
        <v>52.399999999998911</v>
      </c>
      <c r="AA134" s="23">
        <f t="shared" si="37"/>
        <v>58.222222222221575</v>
      </c>
      <c r="AB134" s="23">
        <f t="shared" si="37"/>
        <v>61.8611111111097</v>
      </c>
      <c r="AC134" s="24">
        <f t="shared" si="37"/>
        <v>48.76111111111139</v>
      </c>
      <c r="AD134" s="24">
        <f t="shared" si="37"/>
        <v>54.583333333333151</v>
      </c>
      <c r="AE134" s="24">
        <f t="shared" si="37"/>
        <v>58.222222222221575</v>
      </c>
      <c r="AF134" s="25">
        <f t="shared" si="37"/>
        <v>45.122222222221673</v>
      </c>
      <c r="AG134" s="25">
        <f t="shared" si="37"/>
        <v>50.944444444445168</v>
      </c>
      <c r="AH134" s="25">
        <f t="shared" si="37"/>
        <v>54.583333333333151</v>
      </c>
      <c r="AI134" s="26">
        <f t="shared" si="37"/>
        <v>41.48333333333369</v>
      </c>
      <c r="AJ134" s="26">
        <f t="shared" si="37"/>
        <v>47.305555555554832</v>
      </c>
      <c r="AK134" s="26">
        <f t="shared" si="34"/>
        <v>50.944444444445168</v>
      </c>
    </row>
    <row r="135" spans="4:37" ht="20.100000000000001" customHeight="1">
      <c r="D135" s="27">
        <f t="shared" si="38"/>
        <v>0.36666666666666586</v>
      </c>
      <c r="E135" s="16">
        <f t="shared" si="35"/>
        <v>104.86666666666613</v>
      </c>
      <c r="F135" s="16">
        <f t="shared" si="35"/>
        <v>110.73333333333046</v>
      </c>
      <c r="G135" s="16">
        <f t="shared" si="35"/>
        <v>114.3999999999985</v>
      </c>
      <c r="H135" s="17">
        <f t="shared" si="35"/>
        <v>97.533333333334753</v>
      </c>
      <c r="I135" s="17">
        <f t="shared" si="35"/>
        <v>103.39999999999949</v>
      </c>
      <c r="J135" s="17">
        <f t="shared" si="35"/>
        <v>107.06666666666692</v>
      </c>
      <c r="K135" s="18">
        <f t="shared" si="35"/>
        <v>90.199999999999136</v>
      </c>
      <c r="L135" s="18">
        <f t="shared" si="35"/>
        <v>96.066666666665071</v>
      </c>
      <c r="M135" s="18">
        <f t="shared" si="35"/>
        <v>99.733333333332922</v>
      </c>
      <c r="N135" s="19">
        <f t="shared" si="35"/>
        <v>67.466666666666342</v>
      </c>
      <c r="O135" s="19">
        <f t="shared" si="35"/>
        <v>73.333333333334807</v>
      </c>
      <c r="P135" s="19">
        <f t="shared" si="35"/>
        <v>76.999999999999091</v>
      </c>
      <c r="Q135" s="20">
        <f t="shared" si="35"/>
        <v>63.800000000001134</v>
      </c>
      <c r="R135" s="20">
        <f t="shared" si="35"/>
        <v>69.666666666668107</v>
      </c>
      <c r="S135" s="20">
        <f t="shared" si="35"/>
        <v>73.333333333334807</v>
      </c>
      <c r="T135" s="21">
        <f t="shared" si="35"/>
        <v>60.133333333334853</v>
      </c>
      <c r="U135" s="21">
        <f t="shared" si="37"/>
        <v>66</v>
      </c>
      <c r="V135" s="21">
        <f t="shared" si="37"/>
        <v>69.666666666668107</v>
      </c>
      <c r="W135" s="22">
        <f t="shared" si="37"/>
        <v>56.466666666666811</v>
      </c>
      <c r="X135" s="22">
        <f t="shared" si="37"/>
        <v>62.333333333331922</v>
      </c>
      <c r="Y135" s="22">
        <f t="shared" si="37"/>
        <v>66</v>
      </c>
      <c r="Z135" s="23">
        <f t="shared" si="37"/>
        <v>52.79999999999891</v>
      </c>
      <c r="AA135" s="23">
        <f t="shared" si="37"/>
        <v>58.666666666666018</v>
      </c>
      <c r="AB135" s="23">
        <f t="shared" si="37"/>
        <v>62.333333333331922</v>
      </c>
      <c r="AC135" s="24">
        <f t="shared" si="37"/>
        <v>49.13333333333361</v>
      </c>
      <c r="AD135" s="24">
        <f t="shared" si="37"/>
        <v>54.999999999999815</v>
      </c>
      <c r="AE135" s="24">
        <f t="shared" si="37"/>
        <v>58.666666666666018</v>
      </c>
      <c r="AF135" s="25">
        <f t="shared" si="37"/>
        <v>45.466666666666114</v>
      </c>
      <c r="AG135" s="25">
        <f t="shared" si="37"/>
        <v>51.333333333334053</v>
      </c>
      <c r="AH135" s="25">
        <f t="shared" si="37"/>
        <v>54.999999999999815</v>
      </c>
      <c r="AI135" s="26">
        <f t="shared" si="37"/>
        <v>41.80000000000036</v>
      </c>
      <c r="AJ135" s="26">
        <f t="shared" si="37"/>
        <v>47.666666666665947</v>
      </c>
      <c r="AK135" s="26">
        <f t="shared" si="34"/>
        <v>51.333333333334053</v>
      </c>
    </row>
    <row r="136" spans="4:37" ht="20.100000000000001" customHeight="1">
      <c r="D136" s="27">
        <f t="shared" si="38"/>
        <v>0.36944444444444363</v>
      </c>
      <c r="E136" s="16">
        <f t="shared" si="35"/>
        <v>105.66111111111059</v>
      </c>
      <c r="F136" s="16">
        <f t="shared" si="35"/>
        <v>111.57222222221935</v>
      </c>
      <c r="G136" s="16">
        <f t="shared" si="35"/>
        <v>115.26666666666516</v>
      </c>
      <c r="H136" s="17">
        <f t="shared" si="35"/>
        <v>98.272222222223647</v>
      </c>
      <c r="I136" s="17">
        <f t="shared" si="35"/>
        <v>104.18333333333283</v>
      </c>
      <c r="J136" s="17">
        <f t="shared" si="35"/>
        <v>107.87777777777804</v>
      </c>
      <c r="K136" s="18">
        <f t="shared" si="35"/>
        <v>90.883333333332473</v>
      </c>
      <c r="L136" s="18">
        <f t="shared" si="35"/>
        <v>96.794444444442846</v>
      </c>
      <c r="M136" s="18">
        <f t="shared" si="35"/>
        <v>100.48888888888848</v>
      </c>
      <c r="N136" s="19">
        <f t="shared" si="35"/>
        <v>67.977777777777447</v>
      </c>
      <c r="O136" s="19">
        <f t="shared" si="35"/>
        <v>73.888888888890364</v>
      </c>
      <c r="P136" s="19">
        <f t="shared" si="35"/>
        <v>77.583333333332419</v>
      </c>
      <c r="Q136" s="20">
        <f t="shared" si="35"/>
        <v>64.283333333334468</v>
      </c>
      <c r="R136" s="20">
        <f t="shared" si="35"/>
        <v>70.194444444445878</v>
      </c>
      <c r="S136" s="20">
        <f t="shared" si="35"/>
        <v>73.888888888890364</v>
      </c>
      <c r="T136" s="21">
        <f t="shared" si="35"/>
        <v>60.588888888890409</v>
      </c>
      <c r="U136" s="21">
        <f t="shared" si="37"/>
        <v>66.5</v>
      </c>
      <c r="V136" s="21">
        <f t="shared" si="37"/>
        <v>70.194444444445878</v>
      </c>
      <c r="W136" s="22">
        <f t="shared" si="37"/>
        <v>56.894444444444588</v>
      </c>
      <c r="X136" s="22">
        <f t="shared" si="37"/>
        <v>62.805555555554143</v>
      </c>
      <c r="Y136" s="22">
        <f t="shared" si="37"/>
        <v>66.5</v>
      </c>
      <c r="Z136" s="23">
        <f t="shared" si="37"/>
        <v>53.199999999998909</v>
      </c>
      <c r="AA136" s="23">
        <f t="shared" si="37"/>
        <v>59.111111111110461</v>
      </c>
      <c r="AB136" s="23">
        <f t="shared" si="37"/>
        <v>62.805555555554143</v>
      </c>
      <c r="AC136" s="24">
        <f t="shared" si="37"/>
        <v>49.50555555555583</v>
      </c>
      <c r="AD136" s="24">
        <f t="shared" si="37"/>
        <v>55.41666666666648</v>
      </c>
      <c r="AE136" s="24">
        <f t="shared" si="37"/>
        <v>59.111111111110461</v>
      </c>
      <c r="AF136" s="25">
        <f t="shared" si="37"/>
        <v>45.811111111110556</v>
      </c>
      <c r="AG136" s="25">
        <f t="shared" si="37"/>
        <v>51.722222222222939</v>
      </c>
      <c r="AH136" s="25">
        <f t="shared" si="37"/>
        <v>55.41666666666648</v>
      </c>
      <c r="AI136" s="26">
        <f t="shared" si="37"/>
        <v>42.11666666666703</v>
      </c>
      <c r="AJ136" s="26">
        <f t="shared" si="37"/>
        <v>48.027777777777061</v>
      </c>
      <c r="AK136" s="26">
        <f t="shared" si="34"/>
        <v>51.722222222222939</v>
      </c>
    </row>
    <row r="137" spans="4:37" ht="20.100000000000001" customHeight="1">
      <c r="D137" s="27">
        <f t="shared" si="38"/>
        <v>0.3722222222222214</v>
      </c>
      <c r="E137" s="16">
        <f t="shared" si="35"/>
        <v>106.45555555555504</v>
      </c>
      <c r="F137" s="16">
        <f t="shared" si="35"/>
        <v>112.41111111110824</v>
      </c>
      <c r="G137" s="16">
        <f t="shared" si="35"/>
        <v>116.13333333333182</v>
      </c>
      <c r="H137" s="17">
        <f t="shared" si="35"/>
        <v>99.011111111112541</v>
      </c>
      <c r="I137" s="17">
        <f t="shared" si="35"/>
        <v>104.96666666666616</v>
      </c>
      <c r="J137" s="17">
        <f t="shared" si="35"/>
        <v>108.68888888888915</v>
      </c>
      <c r="K137" s="18">
        <f t="shared" si="35"/>
        <v>91.56666666666581</v>
      </c>
      <c r="L137" s="18">
        <f t="shared" si="35"/>
        <v>97.52222222222062</v>
      </c>
      <c r="M137" s="18">
        <f t="shared" si="35"/>
        <v>101.24444444444404</v>
      </c>
      <c r="N137" s="19">
        <f t="shared" si="35"/>
        <v>68.488888888888553</v>
      </c>
      <c r="O137" s="19">
        <f t="shared" si="35"/>
        <v>74.444444444445921</v>
      </c>
      <c r="P137" s="19">
        <f t="shared" si="35"/>
        <v>78.166666666665748</v>
      </c>
      <c r="Q137" s="20">
        <f t="shared" si="35"/>
        <v>64.766666666667803</v>
      </c>
      <c r="R137" s="20">
        <f t="shared" si="35"/>
        <v>70.72222222222365</v>
      </c>
      <c r="S137" s="20">
        <f t="shared" si="35"/>
        <v>74.444444444445921</v>
      </c>
      <c r="T137" s="21">
        <f t="shared" si="35"/>
        <v>61.044444444445965</v>
      </c>
      <c r="U137" s="21">
        <f t="shared" si="37"/>
        <v>67</v>
      </c>
      <c r="V137" s="21">
        <f t="shared" si="37"/>
        <v>70.72222222222365</v>
      </c>
      <c r="W137" s="22">
        <f t="shared" si="37"/>
        <v>57.322222222222365</v>
      </c>
      <c r="X137" s="22">
        <f t="shared" si="37"/>
        <v>63.277777777776365</v>
      </c>
      <c r="Y137" s="22">
        <f t="shared" si="37"/>
        <v>67</v>
      </c>
      <c r="Z137" s="23">
        <f t="shared" si="37"/>
        <v>53.599999999998907</v>
      </c>
      <c r="AA137" s="23">
        <f t="shared" si="37"/>
        <v>59.555555555554903</v>
      </c>
      <c r="AB137" s="23">
        <f t="shared" si="37"/>
        <v>63.277777777776365</v>
      </c>
      <c r="AC137" s="24">
        <f t="shared" si="37"/>
        <v>49.87777777777805</v>
      </c>
      <c r="AD137" s="24">
        <f t="shared" si="37"/>
        <v>55.833333333333144</v>
      </c>
      <c r="AE137" s="24">
        <f t="shared" si="37"/>
        <v>59.555555555554903</v>
      </c>
      <c r="AF137" s="25">
        <f t="shared" si="37"/>
        <v>46.155555555554997</v>
      </c>
      <c r="AG137" s="25">
        <f t="shared" si="37"/>
        <v>52.111111111111825</v>
      </c>
      <c r="AH137" s="25">
        <f t="shared" si="37"/>
        <v>55.833333333333144</v>
      </c>
      <c r="AI137" s="26">
        <f t="shared" si="37"/>
        <v>42.433333333333699</v>
      </c>
      <c r="AJ137" s="26">
        <f t="shared" si="37"/>
        <v>48.388888888888175</v>
      </c>
      <c r="AK137" s="26">
        <f t="shared" si="34"/>
        <v>52.111111111111825</v>
      </c>
    </row>
    <row r="138" spans="4:37" ht="20.100000000000001" customHeight="1">
      <c r="D138" s="27">
        <f t="shared" si="38"/>
        <v>0.37499999999999917</v>
      </c>
      <c r="E138" s="16">
        <f t="shared" si="35"/>
        <v>107.24999999999949</v>
      </c>
      <c r="F138" s="16">
        <f t="shared" si="35"/>
        <v>113.24999999999713</v>
      </c>
      <c r="G138" s="16">
        <f t="shared" si="35"/>
        <v>116.99999999999848</v>
      </c>
      <c r="H138" s="17">
        <f t="shared" si="35"/>
        <v>99.750000000001435</v>
      </c>
      <c r="I138" s="17">
        <f t="shared" si="35"/>
        <v>105.74999999999949</v>
      </c>
      <c r="J138" s="17">
        <f t="shared" si="35"/>
        <v>109.50000000000027</v>
      </c>
      <c r="K138" s="18">
        <f t="shared" si="35"/>
        <v>92.249999999999147</v>
      </c>
      <c r="L138" s="18">
        <f t="shared" si="35"/>
        <v>98.249999999998394</v>
      </c>
      <c r="M138" s="18">
        <f t="shared" si="35"/>
        <v>101.9999999999996</v>
      </c>
      <c r="N138" s="19">
        <f t="shared" si="35"/>
        <v>68.999999999999659</v>
      </c>
      <c r="O138" s="19">
        <f t="shared" si="35"/>
        <v>75.000000000001478</v>
      </c>
      <c r="P138" s="19">
        <f t="shared" si="35"/>
        <v>78.749999999999076</v>
      </c>
      <c r="Q138" s="20">
        <f t="shared" si="35"/>
        <v>65.250000000001137</v>
      </c>
      <c r="R138" s="20">
        <f t="shared" si="35"/>
        <v>71.250000000001421</v>
      </c>
      <c r="S138" s="20">
        <f t="shared" si="35"/>
        <v>75.000000000001478</v>
      </c>
      <c r="T138" s="21">
        <f t="shared" si="35"/>
        <v>61.500000000001521</v>
      </c>
      <c r="U138" s="21">
        <f t="shared" si="37"/>
        <v>67.5</v>
      </c>
      <c r="V138" s="21">
        <f t="shared" si="37"/>
        <v>71.250000000001421</v>
      </c>
      <c r="W138" s="22">
        <f t="shared" si="37"/>
        <v>57.750000000000142</v>
      </c>
      <c r="X138" s="22">
        <f t="shared" si="37"/>
        <v>63.749999999998586</v>
      </c>
      <c r="Y138" s="22">
        <f t="shared" si="37"/>
        <v>67.5</v>
      </c>
      <c r="Z138" s="23">
        <f t="shared" si="37"/>
        <v>53.999999999998906</v>
      </c>
      <c r="AA138" s="23">
        <f t="shared" si="37"/>
        <v>59.999999999999346</v>
      </c>
      <c r="AB138" s="23">
        <f t="shared" si="37"/>
        <v>63.749999999998586</v>
      </c>
      <c r="AC138" s="24">
        <f t="shared" si="37"/>
        <v>50.25000000000027</v>
      </c>
      <c r="AD138" s="24">
        <f t="shared" si="37"/>
        <v>56.249999999999808</v>
      </c>
      <c r="AE138" s="24">
        <f t="shared" si="37"/>
        <v>59.999999999999346</v>
      </c>
      <c r="AF138" s="25">
        <f t="shared" si="37"/>
        <v>46.499999999999439</v>
      </c>
      <c r="AG138" s="25">
        <f t="shared" si="37"/>
        <v>52.500000000000711</v>
      </c>
      <c r="AH138" s="25">
        <f t="shared" si="37"/>
        <v>56.249999999999808</v>
      </c>
      <c r="AI138" s="26">
        <f t="shared" si="37"/>
        <v>42.750000000000369</v>
      </c>
      <c r="AJ138" s="26">
        <f t="shared" si="37"/>
        <v>48.749999999999289</v>
      </c>
      <c r="AK138" s="26">
        <f t="shared" si="34"/>
        <v>52.500000000000711</v>
      </c>
    </row>
    <row r="139" spans="4:37" ht="20.100000000000001" customHeight="1">
      <c r="D139" s="27">
        <f t="shared" si="38"/>
        <v>0.37777777777777694</v>
      </c>
      <c r="E139" s="16">
        <f t="shared" si="35"/>
        <v>108.04444444444394</v>
      </c>
      <c r="F139" s="16">
        <f t="shared" si="35"/>
        <v>114.08888888888602</v>
      </c>
      <c r="G139" s="16">
        <f t="shared" si="35"/>
        <v>117.86666666666514</v>
      </c>
      <c r="H139" s="17">
        <f t="shared" si="35"/>
        <v>100.48888888889033</v>
      </c>
      <c r="I139" s="17">
        <f t="shared" si="35"/>
        <v>106.53333333333282</v>
      </c>
      <c r="J139" s="17">
        <f t="shared" si="35"/>
        <v>110.31111111111139</v>
      </c>
      <c r="K139" s="18">
        <f t="shared" si="35"/>
        <v>92.933333333332484</v>
      </c>
      <c r="L139" s="18">
        <f t="shared" si="35"/>
        <v>98.977777777776168</v>
      </c>
      <c r="M139" s="18">
        <f t="shared" si="35"/>
        <v>102.75555555555516</v>
      </c>
      <c r="N139" s="19">
        <f t="shared" si="35"/>
        <v>69.511111111110765</v>
      </c>
      <c r="O139" s="19">
        <f t="shared" si="35"/>
        <v>75.555555555557035</v>
      </c>
      <c r="P139" s="19">
        <f t="shared" si="35"/>
        <v>79.333333333332405</v>
      </c>
      <c r="Q139" s="20">
        <f t="shared" si="35"/>
        <v>65.733333333334471</v>
      </c>
      <c r="R139" s="20">
        <f t="shared" si="35"/>
        <v>71.777777777779193</v>
      </c>
      <c r="S139" s="20">
        <f t="shared" si="35"/>
        <v>75.555555555557035</v>
      </c>
      <c r="T139" s="21">
        <f t="shared" si="35"/>
        <v>61.955555555557076</v>
      </c>
      <c r="U139" s="21">
        <f t="shared" si="37"/>
        <v>68</v>
      </c>
      <c r="V139" s="21">
        <f t="shared" si="37"/>
        <v>71.777777777779193</v>
      </c>
      <c r="W139" s="22">
        <f t="shared" si="37"/>
        <v>58.177777777777919</v>
      </c>
      <c r="X139" s="22">
        <f t="shared" si="37"/>
        <v>64.222222222220807</v>
      </c>
      <c r="Y139" s="22">
        <f t="shared" si="37"/>
        <v>68</v>
      </c>
      <c r="Z139" s="23">
        <f t="shared" si="37"/>
        <v>54.399999999998904</v>
      </c>
      <c r="AA139" s="23">
        <f t="shared" si="37"/>
        <v>60.444444444443789</v>
      </c>
      <c r="AB139" s="23">
        <f t="shared" si="37"/>
        <v>64.222222222220807</v>
      </c>
      <c r="AC139" s="24">
        <f t="shared" si="37"/>
        <v>50.62222222222249</v>
      </c>
      <c r="AD139" s="24">
        <f t="shared" si="37"/>
        <v>56.666666666666472</v>
      </c>
      <c r="AE139" s="24">
        <f t="shared" si="37"/>
        <v>60.444444444443789</v>
      </c>
      <c r="AF139" s="25">
        <f t="shared" si="37"/>
        <v>46.84444444444388</v>
      </c>
      <c r="AG139" s="25">
        <f t="shared" si="37"/>
        <v>52.888888888889596</v>
      </c>
      <c r="AH139" s="25">
        <f t="shared" si="37"/>
        <v>56.666666666666472</v>
      </c>
      <c r="AI139" s="26">
        <f t="shared" si="37"/>
        <v>43.066666666667039</v>
      </c>
      <c r="AJ139" s="26">
        <f t="shared" si="37"/>
        <v>49.111111111110404</v>
      </c>
      <c r="AK139" s="26">
        <f t="shared" si="34"/>
        <v>52.888888888889596</v>
      </c>
    </row>
    <row r="140" spans="4:37" ht="20.100000000000001" customHeight="1">
      <c r="D140" s="27">
        <f t="shared" si="38"/>
        <v>0.3805555555555547</v>
      </c>
      <c r="E140" s="16">
        <f t="shared" si="35"/>
        <v>108.83888888888839</v>
      </c>
      <c r="F140" s="16">
        <f t="shared" si="35"/>
        <v>114.92777777777491</v>
      </c>
      <c r="G140" s="16">
        <f t="shared" si="35"/>
        <v>118.7333333333318</v>
      </c>
      <c r="H140" s="17">
        <f t="shared" si="35"/>
        <v>101.22777777777922</v>
      </c>
      <c r="I140" s="17">
        <f t="shared" si="35"/>
        <v>107.31666666666615</v>
      </c>
      <c r="J140" s="17">
        <f t="shared" si="35"/>
        <v>111.1222222222225</v>
      </c>
      <c r="K140" s="18">
        <f t="shared" si="35"/>
        <v>93.616666666665822</v>
      </c>
      <c r="L140" s="18">
        <f t="shared" si="35"/>
        <v>99.705555555553943</v>
      </c>
      <c r="M140" s="18">
        <f t="shared" si="35"/>
        <v>103.51111111111072</v>
      </c>
      <c r="N140" s="19">
        <f t="shared" si="35"/>
        <v>70.02222222222187</v>
      </c>
      <c r="O140" s="19">
        <f t="shared" si="35"/>
        <v>76.111111111112592</v>
      </c>
      <c r="P140" s="19">
        <f t="shared" si="35"/>
        <v>79.916666666665733</v>
      </c>
      <c r="Q140" s="20">
        <f t="shared" si="35"/>
        <v>66.216666666667805</v>
      </c>
      <c r="R140" s="20">
        <f t="shared" si="35"/>
        <v>72.305555555556964</v>
      </c>
      <c r="S140" s="20">
        <f t="shared" si="35"/>
        <v>76.111111111112592</v>
      </c>
      <c r="T140" s="21">
        <f t="shared" si="35"/>
        <v>62.411111111112632</v>
      </c>
      <c r="U140" s="21">
        <f t="shared" si="37"/>
        <v>68.5</v>
      </c>
      <c r="V140" s="21">
        <f t="shared" si="37"/>
        <v>72.305555555556964</v>
      </c>
      <c r="W140" s="22">
        <f t="shared" si="37"/>
        <v>58.605555555555696</v>
      </c>
      <c r="X140" s="22">
        <f t="shared" si="37"/>
        <v>64.694444444443036</v>
      </c>
      <c r="Y140" s="22">
        <f t="shared" si="37"/>
        <v>68.5</v>
      </c>
      <c r="Z140" s="23">
        <f t="shared" si="37"/>
        <v>54.799999999998903</v>
      </c>
      <c r="AA140" s="23">
        <f t="shared" si="37"/>
        <v>60.888888888888232</v>
      </c>
      <c r="AB140" s="23">
        <f t="shared" si="37"/>
        <v>64.694444444443036</v>
      </c>
      <c r="AC140" s="24">
        <f t="shared" si="37"/>
        <v>50.99444444444471</v>
      </c>
      <c r="AD140" s="24">
        <f t="shared" si="37"/>
        <v>57.083333333333137</v>
      </c>
      <c r="AE140" s="24">
        <f t="shared" si="37"/>
        <v>60.888888888888232</v>
      </c>
      <c r="AF140" s="25">
        <f t="shared" si="37"/>
        <v>47.188888888888322</v>
      </c>
      <c r="AG140" s="25">
        <f t="shared" si="37"/>
        <v>53.277777777778482</v>
      </c>
      <c r="AH140" s="25">
        <f t="shared" si="37"/>
        <v>57.083333333333137</v>
      </c>
      <c r="AI140" s="26">
        <f t="shared" si="37"/>
        <v>43.383333333333709</v>
      </c>
      <c r="AJ140" s="26">
        <f t="shared" si="37"/>
        <v>49.472222222221518</v>
      </c>
      <c r="AK140" s="26">
        <f t="shared" si="34"/>
        <v>53.277777777778482</v>
      </c>
    </row>
    <row r="141" spans="4:37" ht="20.100000000000001" customHeight="1">
      <c r="D141" s="27">
        <f t="shared" si="38"/>
        <v>0.38333333333333247</v>
      </c>
      <c r="E141" s="16">
        <f t="shared" si="35"/>
        <v>109.63333333333284</v>
      </c>
      <c r="F141" s="16">
        <f t="shared" si="35"/>
        <v>115.7666666666638</v>
      </c>
      <c r="G141" s="16">
        <f t="shared" si="35"/>
        <v>119.59999999999846</v>
      </c>
      <c r="H141" s="17">
        <f t="shared" si="35"/>
        <v>101.96666666666812</v>
      </c>
      <c r="I141" s="17">
        <f t="shared" si="35"/>
        <v>108.09999999999948</v>
      </c>
      <c r="J141" s="17">
        <f t="shared" si="35"/>
        <v>111.93333333333362</v>
      </c>
      <c r="K141" s="18">
        <f t="shared" si="35"/>
        <v>94.299999999999159</v>
      </c>
      <c r="L141" s="18">
        <f t="shared" si="35"/>
        <v>100.43333333333172</v>
      </c>
      <c r="M141" s="18">
        <f t="shared" si="35"/>
        <v>104.26666666666628</v>
      </c>
      <c r="N141" s="19">
        <f t="shared" si="35"/>
        <v>70.533333333332976</v>
      </c>
      <c r="O141" s="19">
        <f t="shared" si="35"/>
        <v>76.666666666668149</v>
      </c>
      <c r="P141" s="19">
        <f t="shared" si="35"/>
        <v>80.499999999999062</v>
      </c>
      <c r="Q141" s="20">
        <f t="shared" si="35"/>
        <v>66.70000000000114</v>
      </c>
      <c r="R141" s="20">
        <f t="shared" si="35"/>
        <v>72.833333333334735</v>
      </c>
      <c r="S141" s="20">
        <f t="shared" si="35"/>
        <v>76.666666666668149</v>
      </c>
      <c r="T141" s="21">
        <f t="shared" si="35"/>
        <v>62.866666666668188</v>
      </c>
      <c r="U141" s="21">
        <f t="shared" si="37"/>
        <v>69</v>
      </c>
      <c r="V141" s="21">
        <f t="shared" si="37"/>
        <v>72.833333333334735</v>
      </c>
      <c r="W141" s="22">
        <f t="shared" si="37"/>
        <v>59.033333333333474</v>
      </c>
      <c r="X141" s="22">
        <f t="shared" si="37"/>
        <v>65.166666666665265</v>
      </c>
      <c r="Y141" s="22">
        <f t="shared" si="37"/>
        <v>69</v>
      </c>
      <c r="Z141" s="23">
        <f t="shared" si="37"/>
        <v>55.199999999998902</v>
      </c>
      <c r="AA141" s="23">
        <f t="shared" si="37"/>
        <v>61.333333333332675</v>
      </c>
      <c r="AB141" s="23">
        <f t="shared" si="37"/>
        <v>65.166666666665265</v>
      </c>
      <c r="AC141" s="24">
        <f t="shared" si="37"/>
        <v>51.36666666666693</v>
      </c>
      <c r="AD141" s="24">
        <f t="shared" si="37"/>
        <v>57.499999999999801</v>
      </c>
      <c r="AE141" s="24">
        <f t="shared" si="37"/>
        <v>61.333333333332675</v>
      </c>
      <c r="AF141" s="25">
        <f t="shared" si="37"/>
        <v>47.533333333332763</v>
      </c>
      <c r="AG141" s="25">
        <f t="shared" si="37"/>
        <v>53.666666666667368</v>
      </c>
      <c r="AH141" s="25">
        <f t="shared" si="37"/>
        <v>57.499999999999801</v>
      </c>
      <c r="AI141" s="26">
        <f t="shared" si="37"/>
        <v>43.700000000000379</v>
      </c>
      <c r="AJ141" s="26">
        <f t="shared" si="37"/>
        <v>49.833333333332632</v>
      </c>
      <c r="AK141" s="26">
        <f t="shared" si="34"/>
        <v>53.666666666667368</v>
      </c>
    </row>
    <row r="142" spans="4:37" ht="20.100000000000001" customHeight="1">
      <c r="D142" s="27">
        <f t="shared" si="38"/>
        <v>0.38611111111111024</v>
      </c>
      <c r="E142" s="16">
        <f t="shared" si="35"/>
        <v>110.42777777777729</v>
      </c>
      <c r="F142" s="16">
        <f t="shared" si="35"/>
        <v>116.60555555555268</v>
      </c>
      <c r="G142" s="16">
        <f t="shared" si="35"/>
        <v>120.46666666666512</v>
      </c>
      <c r="H142" s="17">
        <f t="shared" si="35"/>
        <v>102.70555555555701</v>
      </c>
      <c r="I142" s="17">
        <f t="shared" si="35"/>
        <v>108.88333333333281</v>
      </c>
      <c r="J142" s="17">
        <f t="shared" si="35"/>
        <v>112.74444444444474</v>
      </c>
      <c r="K142" s="18">
        <f t="shared" si="35"/>
        <v>94.983333333332496</v>
      </c>
      <c r="L142" s="18">
        <f t="shared" si="35"/>
        <v>101.16111111110949</v>
      </c>
      <c r="M142" s="18">
        <f t="shared" si="35"/>
        <v>105.02222222222184</v>
      </c>
      <c r="N142" s="19">
        <f t="shared" si="35"/>
        <v>71.044444444444082</v>
      </c>
      <c r="O142" s="19">
        <f t="shared" si="35"/>
        <v>77.222222222223706</v>
      </c>
      <c r="P142" s="19">
        <f t="shared" si="35"/>
        <v>81.083333333332391</v>
      </c>
      <c r="Q142" s="20">
        <f t="shared" si="35"/>
        <v>67.183333333334474</v>
      </c>
      <c r="R142" s="20">
        <f t="shared" si="35"/>
        <v>73.361111111112507</v>
      </c>
      <c r="S142" s="20">
        <f t="shared" si="35"/>
        <v>77.222222222223706</v>
      </c>
      <c r="T142" s="21">
        <f t="shared" si="35"/>
        <v>63.322222222223743</v>
      </c>
      <c r="U142" s="21">
        <f t="shared" si="37"/>
        <v>69.5</v>
      </c>
      <c r="V142" s="21">
        <f t="shared" si="37"/>
        <v>73.361111111112507</v>
      </c>
      <c r="W142" s="22">
        <f t="shared" si="37"/>
        <v>59.461111111111251</v>
      </c>
      <c r="X142" s="22">
        <f t="shared" si="37"/>
        <v>65.638888888887493</v>
      </c>
      <c r="Y142" s="22">
        <f t="shared" si="37"/>
        <v>69.5</v>
      </c>
      <c r="Z142" s="23">
        <f t="shared" si="37"/>
        <v>55.5999999999989</v>
      </c>
      <c r="AA142" s="23">
        <f t="shared" si="37"/>
        <v>61.777777777777118</v>
      </c>
      <c r="AB142" s="23">
        <f t="shared" si="37"/>
        <v>65.638888888887493</v>
      </c>
      <c r="AC142" s="24">
        <f t="shared" si="37"/>
        <v>51.73888888888915</v>
      </c>
      <c r="AD142" s="24">
        <f t="shared" si="37"/>
        <v>57.916666666666465</v>
      </c>
      <c r="AE142" s="24">
        <f t="shared" si="37"/>
        <v>61.777777777777118</v>
      </c>
      <c r="AF142" s="25">
        <f t="shared" si="37"/>
        <v>47.877777777777204</v>
      </c>
      <c r="AG142" s="25">
        <f t="shared" si="37"/>
        <v>54.055555555556253</v>
      </c>
      <c r="AH142" s="25">
        <f t="shared" si="37"/>
        <v>57.916666666666465</v>
      </c>
      <c r="AI142" s="26">
        <f t="shared" si="37"/>
        <v>44.016666666667049</v>
      </c>
      <c r="AJ142" s="26">
        <f t="shared" si="37"/>
        <v>50.194444444443747</v>
      </c>
      <c r="AK142" s="26">
        <f t="shared" si="34"/>
        <v>54.055555555556253</v>
      </c>
    </row>
    <row r="143" spans="4:37" ht="20.100000000000001" customHeight="1">
      <c r="D143" s="27">
        <f t="shared" si="38"/>
        <v>0.38888888888888801</v>
      </c>
      <c r="E143" s="16">
        <f t="shared" si="35"/>
        <v>111.22222222222175</v>
      </c>
      <c r="F143" s="16">
        <f t="shared" si="35"/>
        <v>117.44444444444157</v>
      </c>
      <c r="G143" s="16">
        <f t="shared" si="35"/>
        <v>121.33333333333178</v>
      </c>
      <c r="H143" s="17">
        <f t="shared" si="35"/>
        <v>103.44444444444591</v>
      </c>
      <c r="I143" s="17">
        <f t="shared" si="35"/>
        <v>109.66666666666615</v>
      </c>
      <c r="J143" s="17">
        <f t="shared" si="35"/>
        <v>113.55555555555586</v>
      </c>
      <c r="K143" s="18">
        <f t="shared" si="35"/>
        <v>95.666666666665833</v>
      </c>
      <c r="L143" s="18">
        <f t="shared" si="35"/>
        <v>101.88888888888727</v>
      </c>
      <c r="M143" s="18">
        <f t="shared" si="35"/>
        <v>105.7777777777774</v>
      </c>
      <c r="N143" s="19">
        <f t="shared" si="35"/>
        <v>71.555555555555188</v>
      </c>
      <c r="O143" s="19">
        <f t="shared" si="35"/>
        <v>77.777777777779264</v>
      </c>
      <c r="P143" s="19">
        <f t="shared" si="35"/>
        <v>81.666666666665719</v>
      </c>
      <c r="Q143" s="20">
        <f t="shared" si="35"/>
        <v>67.666666666667808</v>
      </c>
      <c r="R143" s="20">
        <f t="shared" si="35"/>
        <v>73.888888888890278</v>
      </c>
      <c r="S143" s="20">
        <f t="shared" si="35"/>
        <v>77.777777777779264</v>
      </c>
      <c r="T143" s="21">
        <f t="shared" si="35"/>
        <v>63.777777777779299</v>
      </c>
      <c r="U143" s="21">
        <f t="shared" si="37"/>
        <v>70</v>
      </c>
      <c r="V143" s="21">
        <f t="shared" si="37"/>
        <v>73.888888888890278</v>
      </c>
      <c r="W143" s="22">
        <f t="shared" si="37"/>
        <v>59.888888888889028</v>
      </c>
      <c r="X143" s="22">
        <f t="shared" si="37"/>
        <v>66.111111111109722</v>
      </c>
      <c r="Y143" s="22">
        <f t="shared" si="37"/>
        <v>70</v>
      </c>
      <c r="Z143" s="23">
        <f t="shared" si="37"/>
        <v>55.999999999998899</v>
      </c>
      <c r="AA143" s="23">
        <f t="shared" si="37"/>
        <v>62.222222222221561</v>
      </c>
      <c r="AB143" s="23">
        <f t="shared" si="37"/>
        <v>66.111111111109722</v>
      </c>
      <c r="AC143" s="24">
        <f t="shared" si="37"/>
        <v>52.11111111111137</v>
      </c>
      <c r="AD143" s="24">
        <f t="shared" si="37"/>
        <v>58.33333333333313</v>
      </c>
      <c r="AE143" s="24">
        <f t="shared" si="37"/>
        <v>62.222222222221561</v>
      </c>
      <c r="AF143" s="25">
        <f t="shared" si="37"/>
        <v>48.222222222221646</v>
      </c>
      <c r="AG143" s="25">
        <f t="shared" si="37"/>
        <v>54.444444444445139</v>
      </c>
      <c r="AH143" s="25">
        <f t="shared" si="37"/>
        <v>58.33333333333313</v>
      </c>
      <c r="AI143" s="26">
        <f t="shared" si="37"/>
        <v>44.333333333333719</v>
      </c>
      <c r="AJ143" s="26">
        <f t="shared" si="37"/>
        <v>50.555555555554861</v>
      </c>
      <c r="AK143" s="26">
        <f t="shared" si="34"/>
        <v>54.444444444445139</v>
      </c>
    </row>
    <row r="144" spans="4:37" ht="20.100000000000001" customHeight="1">
      <c r="D144" s="27">
        <f t="shared" si="38"/>
        <v>0.39166666666666577</v>
      </c>
      <c r="E144" s="16">
        <f t="shared" si="35"/>
        <v>112.0166666666662</v>
      </c>
      <c r="F144" s="16">
        <f t="shared" si="35"/>
        <v>118.28333333333046</v>
      </c>
      <c r="G144" s="16">
        <f t="shared" si="35"/>
        <v>122.19999999999844</v>
      </c>
      <c r="H144" s="17">
        <f t="shared" si="35"/>
        <v>104.1833333333348</v>
      </c>
      <c r="I144" s="17">
        <f t="shared" si="35"/>
        <v>110.44999999999948</v>
      </c>
      <c r="J144" s="17">
        <f t="shared" si="35"/>
        <v>114.36666666666697</v>
      </c>
      <c r="K144" s="18">
        <f t="shared" si="35"/>
        <v>96.34999999999917</v>
      </c>
      <c r="L144" s="18">
        <f t="shared" si="35"/>
        <v>102.61666666666504</v>
      </c>
      <c r="M144" s="18">
        <f t="shared" si="35"/>
        <v>106.53333333333296</v>
      </c>
      <c r="N144" s="19">
        <f t="shared" si="35"/>
        <v>72.066666666666293</v>
      </c>
      <c r="O144" s="19">
        <f t="shared" si="35"/>
        <v>78.333333333334821</v>
      </c>
      <c r="P144" s="19">
        <f t="shared" si="35"/>
        <v>82.249999999999048</v>
      </c>
      <c r="Q144" s="20">
        <f t="shared" si="35"/>
        <v>68.150000000001143</v>
      </c>
      <c r="R144" s="20">
        <f t="shared" si="35"/>
        <v>74.41666666666805</v>
      </c>
      <c r="S144" s="20">
        <f t="shared" si="35"/>
        <v>78.333333333334821</v>
      </c>
      <c r="T144" s="21">
        <f t="shared" ref="T144:AI162" si="39">T145-(T$363/360)</f>
        <v>64.233333333334855</v>
      </c>
      <c r="U144" s="21">
        <f t="shared" si="37"/>
        <v>70.5</v>
      </c>
      <c r="V144" s="21">
        <f t="shared" si="37"/>
        <v>74.41666666666805</v>
      </c>
      <c r="W144" s="22">
        <f t="shared" si="37"/>
        <v>60.316666666666805</v>
      </c>
      <c r="X144" s="22">
        <f t="shared" si="37"/>
        <v>66.58333333333195</v>
      </c>
      <c r="Y144" s="22">
        <f t="shared" si="37"/>
        <v>70.5</v>
      </c>
      <c r="Z144" s="23">
        <f t="shared" si="37"/>
        <v>56.399999999998897</v>
      </c>
      <c r="AA144" s="23">
        <f t="shared" si="37"/>
        <v>62.666666666666003</v>
      </c>
      <c r="AB144" s="23">
        <f t="shared" si="37"/>
        <v>66.58333333333195</v>
      </c>
      <c r="AC144" s="24">
        <f t="shared" si="37"/>
        <v>52.48333333333359</v>
      </c>
      <c r="AD144" s="24">
        <f t="shared" si="37"/>
        <v>58.749999999999794</v>
      </c>
      <c r="AE144" s="24">
        <f t="shared" si="37"/>
        <v>62.666666666666003</v>
      </c>
      <c r="AF144" s="25">
        <f t="shared" si="37"/>
        <v>48.566666666666087</v>
      </c>
      <c r="AG144" s="25">
        <f t="shared" si="37"/>
        <v>54.833333333334025</v>
      </c>
      <c r="AH144" s="25">
        <f t="shared" si="37"/>
        <v>58.749999999999794</v>
      </c>
      <c r="AI144" s="26">
        <f t="shared" si="37"/>
        <v>44.650000000000389</v>
      </c>
      <c r="AJ144" s="26">
        <f t="shared" si="37"/>
        <v>50.916666666665975</v>
      </c>
      <c r="AK144" s="26">
        <f t="shared" si="34"/>
        <v>54.833333333334025</v>
      </c>
    </row>
    <row r="145" spans="4:37" ht="20.100000000000001" customHeight="1">
      <c r="D145" s="27">
        <f t="shared" si="38"/>
        <v>0.39444444444444354</v>
      </c>
      <c r="E145" s="16">
        <f t="shared" ref="E145:S161" si="40">E146-(E$363/360)</f>
        <v>112.81111111111065</v>
      </c>
      <c r="F145" s="16">
        <f t="shared" si="40"/>
        <v>119.12222222221935</v>
      </c>
      <c r="G145" s="16">
        <f t="shared" si="40"/>
        <v>123.0666666666651</v>
      </c>
      <c r="H145" s="17">
        <f t="shared" si="40"/>
        <v>104.9222222222237</v>
      </c>
      <c r="I145" s="17">
        <f t="shared" si="40"/>
        <v>111.23333333333281</v>
      </c>
      <c r="J145" s="17">
        <f t="shared" si="40"/>
        <v>115.17777777777809</v>
      </c>
      <c r="K145" s="18">
        <f t="shared" si="40"/>
        <v>97.033333333332507</v>
      </c>
      <c r="L145" s="18">
        <f t="shared" si="40"/>
        <v>103.34444444444281</v>
      </c>
      <c r="M145" s="18">
        <f t="shared" si="40"/>
        <v>107.28888888888852</v>
      </c>
      <c r="N145" s="19">
        <f t="shared" si="40"/>
        <v>72.577777777777399</v>
      </c>
      <c r="O145" s="19">
        <f t="shared" si="40"/>
        <v>78.888888888890378</v>
      </c>
      <c r="P145" s="19">
        <f t="shared" si="40"/>
        <v>82.833333333332376</v>
      </c>
      <c r="Q145" s="20">
        <f t="shared" si="40"/>
        <v>68.633333333334477</v>
      </c>
      <c r="R145" s="20">
        <f t="shared" si="40"/>
        <v>74.944444444445821</v>
      </c>
      <c r="S145" s="20">
        <f t="shared" si="40"/>
        <v>78.888888888890378</v>
      </c>
      <c r="T145" s="21">
        <f t="shared" si="39"/>
        <v>64.688888888890403</v>
      </c>
      <c r="U145" s="21">
        <f t="shared" si="37"/>
        <v>71</v>
      </c>
      <c r="V145" s="21">
        <f t="shared" si="37"/>
        <v>74.944444444445821</v>
      </c>
      <c r="W145" s="22">
        <f t="shared" si="37"/>
        <v>60.744444444444582</v>
      </c>
      <c r="X145" s="22">
        <f t="shared" si="37"/>
        <v>67.055555555554179</v>
      </c>
      <c r="Y145" s="22">
        <f t="shared" si="37"/>
        <v>71</v>
      </c>
      <c r="Z145" s="23">
        <f t="shared" si="37"/>
        <v>56.799999999998896</v>
      </c>
      <c r="AA145" s="23">
        <f t="shared" si="37"/>
        <v>63.111111111110446</v>
      </c>
      <c r="AB145" s="23">
        <f t="shared" si="37"/>
        <v>67.055555555554179</v>
      </c>
      <c r="AC145" s="24">
        <f t="shared" si="37"/>
        <v>52.85555555555581</v>
      </c>
      <c r="AD145" s="24">
        <f t="shared" si="37"/>
        <v>59.166666666666458</v>
      </c>
      <c r="AE145" s="24">
        <f t="shared" si="37"/>
        <v>63.111111111110446</v>
      </c>
      <c r="AF145" s="25">
        <f t="shared" si="37"/>
        <v>48.911111111110529</v>
      </c>
      <c r="AG145" s="25">
        <f t="shared" si="37"/>
        <v>55.222222222222911</v>
      </c>
      <c r="AH145" s="25">
        <f t="shared" si="37"/>
        <v>59.166666666666458</v>
      </c>
      <c r="AI145" s="26">
        <f t="shared" si="37"/>
        <v>44.966666666667059</v>
      </c>
      <c r="AJ145" s="26">
        <f t="shared" si="37"/>
        <v>51.277777777777089</v>
      </c>
      <c r="AK145" s="26">
        <f t="shared" si="34"/>
        <v>55.222222222222911</v>
      </c>
    </row>
    <row r="146" spans="4:37" ht="20.100000000000001" customHeight="1">
      <c r="D146" s="27">
        <f t="shared" si="38"/>
        <v>0.39722222222222131</v>
      </c>
      <c r="E146" s="16">
        <f t="shared" si="40"/>
        <v>113.6055555555551</v>
      </c>
      <c r="F146" s="16">
        <f t="shared" si="40"/>
        <v>119.96111111110824</v>
      </c>
      <c r="G146" s="16">
        <f t="shared" si="40"/>
        <v>123.93333333333176</v>
      </c>
      <c r="H146" s="17">
        <f t="shared" si="40"/>
        <v>105.66111111111259</v>
      </c>
      <c r="I146" s="17">
        <f t="shared" si="40"/>
        <v>112.01666666666614</v>
      </c>
      <c r="J146" s="17">
        <f t="shared" si="40"/>
        <v>115.98888888888921</v>
      </c>
      <c r="K146" s="18">
        <f t="shared" si="40"/>
        <v>97.716666666665844</v>
      </c>
      <c r="L146" s="18">
        <f t="shared" si="40"/>
        <v>104.07222222222059</v>
      </c>
      <c r="M146" s="18">
        <f t="shared" si="40"/>
        <v>108.04444444444408</v>
      </c>
      <c r="N146" s="19">
        <f t="shared" si="40"/>
        <v>73.088888888888505</v>
      </c>
      <c r="O146" s="19">
        <f t="shared" si="40"/>
        <v>79.444444444445935</v>
      </c>
      <c r="P146" s="19">
        <f t="shared" si="40"/>
        <v>83.416666666665705</v>
      </c>
      <c r="Q146" s="20">
        <f t="shared" si="40"/>
        <v>69.116666666667811</v>
      </c>
      <c r="R146" s="20">
        <f t="shared" si="40"/>
        <v>75.472222222223593</v>
      </c>
      <c r="S146" s="20">
        <f t="shared" si="40"/>
        <v>79.444444444445935</v>
      </c>
      <c r="T146" s="21">
        <f t="shared" si="39"/>
        <v>65.144444444445952</v>
      </c>
      <c r="U146" s="21">
        <f t="shared" si="37"/>
        <v>71.5</v>
      </c>
      <c r="V146" s="21">
        <f t="shared" si="37"/>
        <v>75.472222222223593</v>
      </c>
      <c r="W146" s="22">
        <f t="shared" si="37"/>
        <v>61.172222222222359</v>
      </c>
      <c r="X146" s="22">
        <f t="shared" si="37"/>
        <v>67.527777777776407</v>
      </c>
      <c r="Y146" s="22">
        <f t="shared" si="37"/>
        <v>71.5</v>
      </c>
      <c r="Z146" s="23">
        <f t="shared" si="37"/>
        <v>57.199999999998894</v>
      </c>
      <c r="AA146" s="23">
        <f t="shared" si="37"/>
        <v>63.555555555554889</v>
      </c>
      <c r="AB146" s="23">
        <f t="shared" si="37"/>
        <v>67.527777777776407</v>
      </c>
      <c r="AC146" s="24">
        <f t="shared" si="37"/>
        <v>53.22777777777803</v>
      </c>
      <c r="AD146" s="24">
        <f t="shared" si="37"/>
        <v>59.583333333333123</v>
      </c>
      <c r="AE146" s="24">
        <f t="shared" si="37"/>
        <v>63.555555555554889</v>
      </c>
      <c r="AF146" s="25">
        <f t="shared" si="37"/>
        <v>49.25555555555497</v>
      </c>
      <c r="AG146" s="25">
        <f t="shared" si="37"/>
        <v>55.611111111111796</v>
      </c>
      <c r="AH146" s="25">
        <f t="shared" si="37"/>
        <v>59.583333333333123</v>
      </c>
      <c r="AI146" s="26">
        <f t="shared" si="37"/>
        <v>45.283333333333729</v>
      </c>
      <c r="AJ146" s="26">
        <f t="shared" ref="AJ146:AK161" si="41">AJ147-(AJ$363/360)</f>
        <v>51.638888888888204</v>
      </c>
      <c r="AK146" s="26">
        <f t="shared" si="41"/>
        <v>55.611111111111796</v>
      </c>
    </row>
    <row r="147" spans="4:37" ht="20.100000000000001" customHeight="1">
      <c r="D147" s="27">
        <f t="shared" si="38"/>
        <v>0.39999999999999908</v>
      </c>
      <c r="E147" s="16">
        <f t="shared" si="40"/>
        <v>114.39999999999955</v>
      </c>
      <c r="F147" s="16">
        <f t="shared" si="40"/>
        <v>120.79999999999713</v>
      </c>
      <c r="G147" s="16">
        <f t="shared" si="40"/>
        <v>124.79999999999842</v>
      </c>
      <c r="H147" s="17">
        <f t="shared" si="40"/>
        <v>106.40000000000148</v>
      </c>
      <c r="I147" s="17">
        <f t="shared" si="40"/>
        <v>112.79999999999947</v>
      </c>
      <c r="J147" s="17">
        <f t="shared" si="40"/>
        <v>116.80000000000032</v>
      </c>
      <c r="K147" s="18">
        <f t="shared" si="40"/>
        <v>98.399999999999181</v>
      </c>
      <c r="L147" s="18">
        <f t="shared" si="40"/>
        <v>104.79999999999836</v>
      </c>
      <c r="M147" s="18">
        <f t="shared" si="40"/>
        <v>108.79999999999964</v>
      </c>
      <c r="N147" s="19">
        <f t="shared" si="40"/>
        <v>73.599999999999611</v>
      </c>
      <c r="O147" s="19">
        <f t="shared" si="40"/>
        <v>80.000000000001492</v>
      </c>
      <c r="P147" s="19">
        <f t="shared" si="40"/>
        <v>83.999999999999034</v>
      </c>
      <c r="Q147" s="20">
        <f t="shared" si="40"/>
        <v>69.600000000001145</v>
      </c>
      <c r="R147" s="20">
        <f t="shared" si="40"/>
        <v>76.000000000001364</v>
      </c>
      <c r="S147" s="20">
        <f t="shared" si="40"/>
        <v>80.000000000001492</v>
      </c>
      <c r="T147" s="21">
        <f t="shared" si="39"/>
        <v>65.600000000001501</v>
      </c>
      <c r="U147" s="21">
        <f t="shared" si="39"/>
        <v>72</v>
      </c>
      <c r="V147" s="21">
        <f t="shared" si="39"/>
        <v>76.000000000001364</v>
      </c>
      <c r="W147" s="22">
        <f t="shared" si="39"/>
        <v>61.600000000000136</v>
      </c>
      <c r="X147" s="22">
        <f t="shared" si="39"/>
        <v>67.999999999998636</v>
      </c>
      <c r="Y147" s="22">
        <f t="shared" si="39"/>
        <v>72</v>
      </c>
      <c r="Z147" s="23">
        <f t="shared" si="39"/>
        <v>57.599999999998893</v>
      </c>
      <c r="AA147" s="23">
        <f t="shared" si="39"/>
        <v>63.999999999999332</v>
      </c>
      <c r="AB147" s="23">
        <f t="shared" si="39"/>
        <v>67.999999999998636</v>
      </c>
      <c r="AC147" s="24">
        <f t="shared" si="39"/>
        <v>53.60000000000025</v>
      </c>
      <c r="AD147" s="24">
        <f t="shared" si="39"/>
        <v>59.999999999999787</v>
      </c>
      <c r="AE147" s="24">
        <f t="shared" si="39"/>
        <v>63.999999999999332</v>
      </c>
      <c r="AF147" s="25">
        <f t="shared" si="39"/>
        <v>49.599999999999412</v>
      </c>
      <c r="AG147" s="25">
        <f t="shared" si="39"/>
        <v>56.000000000000682</v>
      </c>
      <c r="AH147" s="25">
        <f t="shared" si="39"/>
        <v>59.999999999999787</v>
      </c>
      <c r="AI147" s="26">
        <f t="shared" si="39"/>
        <v>45.600000000000399</v>
      </c>
      <c r="AJ147" s="26">
        <f t="shared" si="41"/>
        <v>51.999999999999318</v>
      </c>
      <c r="AK147" s="26">
        <f t="shared" si="41"/>
        <v>56.000000000000682</v>
      </c>
    </row>
    <row r="148" spans="4:37" ht="20.100000000000001" customHeight="1">
      <c r="D148" s="27">
        <f t="shared" si="38"/>
        <v>0.40277777777777685</v>
      </c>
      <c r="E148" s="16">
        <f t="shared" si="40"/>
        <v>115.194444444444</v>
      </c>
      <c r="F148" s="16">
        <f t="shared" si="40"/>
        <v>121.63888888888602</v>
      </c>
      <c r="G148" s="16">
        <f t="shared" si="40"/>
        <v>125.66666666666508</v>
      </c>
      <c r="H148" s="17">
        <f t="shared" si="40"/>
        <v>107.13888888889038</v>
      </c>
      <c r="I148" s="17">
        <f t="shared" si="40"/>
        <v>113.5833333333328</v>
      </c>
      <c r="J148" s="17">
        <f t="shared" si="40"/>
        <v>117.61111111111144</v>
      </c>
      <c r="K148" s="18">
        <f t="shared" si="40"/>
        <v>99.083333333332519</v>
      </c>
      <c r="L148" s="18">
        <f t="shared" si="40"/>
        <v>105.52777777777614</v>
      </c>
      <c r="M148" s="18">
        <f t="shared" si="40"/>
        <v>109.5555555555552</v>
      </c>
      <c r="N148" s="19">
        <f t="shared" si="40"/>
        <v>74.111111111110716</v>
      </c>
      <c r="O148" s="19">
        <f t="shared" si="40"/>
        <v>80.555555555557049</v>
      </c>
      <c r="P148" s="19">
        <f t="shared" si="40"/>
        <v>84.583333333332362</v>
      </c>
      <c r="Q148" s="20">
        <f t="shared" si="40"/>
        <v>70.08333333333448</v>
      </c>
      <c r="R148" s="20">
        <f t="shared" si="40"/>
        <v>76.527777777779136</v>
      </c>
      <c r="S148" s="20">
        <f t="shared" si="40"/>
        <v>80.555555555557049</v>
      </c>
      <c r="T148" s="21">
        <f t="shared" si="39"/>
        <v>66.055555555557049</v>
      </c>
      <c r="U148" s="21">
        <f t="shared" si="39"/>
        <v>72.5</v>
      </c>
      <c r="V148" s="21">
        <f t="shared" si="39"/>
        <v>76.527777777779136</v>
      </c>
      <c r="W148" s="22">
        <f t="shared" si="39"/>
        <v>62.027777777777914</v>
      </c>
      <c r="X148" s="22">
        <f t="shared" si="39"/>
        <v>68.472222222220864</v>
      </c>
      <c r="Y148" s="22">
        <f t="shared" si="39"/>
        <v>72.5</v>
      </c>
      <c r="Z148" s="23">
        <f t="shared" si="39"/>
        <v>57.999999999998892</v>
      </c>
      <c r="AA148" s="23">
        <f t="shared" si="39"/>
        <v>64.444444444443775</v>
      </c>
      <c r="AB148" s="23">
        <f t="shared" si="39"/>
        <v>68.472222222220864</v>
      </c>
      <c r="AC148" s="24">
        <f t="shared" si="39"/>
        <v>53.97222222222247</v>
      </c>
      <c r="AD148" s="24">
        <f t="shared" si="39"/>
        <v>60.416666666666451</v>
      </c>
      <c r="AE148" s="24">
        <f t="shared" si="39"/>
        <v>64.444444444443775</v>
      </c>
      <c r="AF148" s="25">
        <f t="shared" si="39"/>
        <v>49.944444444443853</v>
      </c>
      <c r="AG148" s="25">
        <f t="shared" si="39"/>
        <v>56.388888888889568</v>
      </c>
      <c r="AH148" s="25">
        <f t="shared" si="39"/>
        <v>60.416666666666451</v>
      </c>
      <c r="AI148" s="26">
        <f t="shared" si="39"/>
        <v>45.916666666667069</v>
      </c>
      <c r="AJ148" s="26">
        <f t="shared" si="41"/>
        <v>52.361111111110432</v>
      </c>
      <c r="AK148" s="26">
        <f t="shared" si="41"/>
        <v>56.388888888889568</v>
      </c>
    </row>
    <row r="149" spans="4:37" ht="20.100000000000001" customHeight="1">
      <c r="D149" s="27">
        <f t="shared" si="38"/>
        <v>0.40555555555555461</v>
      </c>
      <c r="E149" s="16">
        <f t="shared" si="40"/>
        <v>115.98888888888845</v>
      </c>
      <c r="F149" s="16">
        <f t="shared" si="40"/>
        <v>122.4777777777749</v>
      </c>
      <c r="G149" s="16">
        <f t="shared" si="40"/>
        <v>126.53333333333174</v>
      </c>
      <c r="H149" s="17">
        <f t="shared" si="40"/>
        <v>107.87777777777927</v>
      </c>
      <c r="I149" s="17">
        <f t="shared" si="40"/>
        <v>114.36666666666613</v>
      </c>
      <c r="J149" s="17">
        <f t="shared" si="40"/>
        <v>118.42222222222256</v>
      </c>
      <c r="K149" s="18">
        <f t="shared" si="40"/>
        <v>99.766666666665856</v>
      </c>
      <c r="L149" s="18">
        <f t="shared" si="40"/>
        <v>106.25555555555391</v>
      </c>
      <c r="M149" s="18">
        <f t="shared" si="40"/>
        <v>110.31111111111076</v>
      </c>
      <c r="N149" s="19">
        <f t="shared" si="40"/>
        <v>74.622222222221822</v>
      </c>
      <c r="O149" s="19">
        <f t="shared" si="40"/>
        <v>81.111111111112606</v>
      </c>
      <c r="P149" s="19">
        <f t="shared" si="40"/>
        <v>85.166666666665691</v>
      </c>
      <c r="Q149" s="20">
        <f t="shared" si="40"/>
        <v>70.566666666667814</v>
      </c>
      <c r="R149" s="20">
        <f t="shared" si="40"/>
        <v>77.055555555556907</v>
      </c>
      <c r="S149" s="20">
        <f t="shared" si="40"/>
        <v>81.111111111112606</v>
      </c>
      <c r="T149" s="21">
        <f t="shared" si="39"/>
        <v>66.511111111112598</v>
      </c>
      <c r="U149" s="21">
        <f t="shared" si="39"/>
        <v>73</v>
      </c>
      <c r="V149" s="21">
        <f t="shared" si="39"/>
        <v>77.055555555556907</v>
      </c>
      <c r="W149" s="22">
        <f t="shared" si="39"/>
        <v>62.455555555555691</v>
      </c>
      <c r="X149" s="22">
        <f t="shared" si="39"/>
        <v>68.944444444443093</v>
      </c>
      <c r="Y149" s="22">
        <f t="shared" si="39"/>
        <v>73</v>
      </c>
      <c r="Z149" s="23">
        <f t="shared" si="39"/>
        <v>58.39999999999889</v>
      </c>
      <c r="AA149" s="23">
        <f t="shared" si="39"/>
        <v>64.888888888888218</v>
      </c>
      <c r="AB149" s="23">
        <f t="shared" si="39"/>
        <v>68.944444444443093</v>
      </c>
      <c r="AC149" s="24">
        <f t="shared" si="39"/>
        <v>54.34444444444469</v>
      </c>
      <c r="AD149" s="24">
        <f t="shared" si="39"/>
        <v>60.833333333333115</v>
      </c>
      <c r="AE149" s="24">
        <f t="shared" si="39"/>
        <v>64.888888888888218</v>
      </c>
      <c r="AF149" s="25">
        <f t="shared" si="39"/>
        <v>50.288888888888295</v>
      </c>
      <c r="AG149" s="25">
        <f t="shared" si="39"/>
        <v>56.777777777778454</v>
      </c>
      <c r="AH149" s="25">
        <f t="shared" si="39"/>
        <v>60.833333333333115</v>
      </c>
      <c r="AI149" s="26">
        <f t="shared" si="39"/>
        <v>46.233333333333739</v>
      </c>
      <c r="AJ149" s="26">
        <f t="shared" si="41"/>
        <v>52.722222222221546</v>
      </c>
      <c r="AK149" s="26">
        <f t="shared" si="41"/>
        <v>56.777777777778454</v>
      </c>
    </row>
    <row r="150" spans="4:37" ht="20.100000000000001" customHeight="1">
      <c r="D150" s="27">
        <f t="shared" si="38"/>
        <v>0.40833333333333238</v>
      </c>
      <c r="E150" s="16">
        <f t="shared" si="40"/>
        <v>116.78333333333291</v>
      </c>
      <c r="F150" s="16">
        <f t="shared" si="40"/>
        <v>123.31666666666379</v>
      </c>
      <c r="G150" s="16">
        <f t="shared" si="40"/>
        <v>127.3999999999984</v>
      </c>
      <c r="H150" s="17">
        <f t="shared" si="40"/>
        <v>108.61666666666817</v>
      </c>
      <c r="I150" s="17">
        <f t="shared" si="40"/>
        <v>115.14999999999947</v>
      </c>
      <c r="J150" s="17">
        <f t="shared" si="40"/>
        <v>119.23333333333368</v>
      </c>
      <c r="K150" s="18">
        <f t="shared" si="40"/>
        <v>100.44999999999919</v>
      </c>
      <c r="L150" s="18">
        <f t="shared" si="40"/>
        <v>106.98333333333169</v>
      </c>
      <c r="M150" s="18">
        <f t="shared" si="40"/>
        <v>111.06666666666632</v>
      </c>
      <c r="N150" s="19">
        <f t="shared" si="40"/>
        <v>75.133333333332928</v>
      </c>
      <c r="O150" s="19">
        <f t="shared" si="40"/>
        <v>81.666666666668164</v>
      </c>
      <c r="P150" s="19">
        <f t="shared" si="40"/>
        <v>85.749999999999019</v>
      </c>
      <c r="Q150" s="20">
        <f t="shared" si="40"/>
        <v>71.050000000001148</v>
      </c>
      <c r="R150" s="20">
        <f t="shared" si="40"/>
        <v>77.583333333334679</v>
      </c>
      <c r="S150" s="20">
        <f t="shared" si="40"/>
        <v>81.666666666668164</v>
      </c>
      <c r="T150" s="21">
        <f t="shared" si="39"/>
        <v>66.966666666668146</v>
      </c>
      <c r="U150" s="21">
        <f t="shared" si="39"/>
        <v>73.5</v>
      </c>
      <c r="V150" s="21">
        <f t="shared" si="39"/>
        <v>77.583333333334679</v>
      </c>
      <c r="W150" s="22">
        <f t="shared" si="39"/>
        <v>62.883333333333468</v>
      </c>
      <c r="X150" s="22">
        <f t="shared" si="39"/>
        <v>69.416666666665321</v>
      </c>
      <c r="Y150" s="22">
        <f t="shared" si="39"/>
        <v>73.5</v>
      </c>
      <c r="Z150" s="23">
        <f t="shared" si="39"/>
        <v>58.799999999998889</v>
      </c>
      <c r="AA150" s="23">
        <f t="shared" si="39"/>
        <v>65.333333333332661</v>
      </c>
      <c r="AB150" s="23">
        <f t="shared" si="39"/>
        <v>69.416666666665321</v>
      </c>
      <c r="AC150" s="24">
        <f t="shared" si="39"/>
        <v>54.71666666666691</v>
      </c>
      <c r="AD150" s="24">
        <f t="shared" si="39"/>
        <v>61.24999999999978</v>
      </c>
      <c r="AE150" s="24">
        <f t="shared" si="39"/>
        <v>65.333333333332661</v>
      </c>
      <c r="AF150" s="25">
        <f t="shared" si="39"/>
        <v>50.633333333332736</v>
      </c>
      <c r="AG150" s="25">
        <f t="shared" si="39"/>
        <v>57.166666666667339</v>
      </c>
      <c r="AH150" s="25">
        <f t="shared" si="39"/>
        <v>61.24999999999978</v>
      </c>
      <c r="AI150" s="26">
        <f t="shared" si="39"/>
        <v>46.550000000000409</v>
      </c>
      <c r="AJ150" s="26">
        <f t="shared" si="41"/>
        <v>53.083333333332661</v>
      </c>
      <c r="AK150" s="26">
        <f t="shared" si="41"/>
        <v>57.166666666667339</v>
      </c>
    </row>
    <row r="151" spans="4:37" ht="20.100000000000001" customHeight="1">
      <c r="D151" s="27">
        <f t="shared" si="38"/>
        <v>0.41111111111111015</v>
      </c>
      <c r="E151" s="16">
        <f t="shared" si="40"/>
        <v>117.57777777777736</v>
      </c>
      <c r="F151" s="16">
        <f t="shared" si="40"/>
        <v>124.15555555555268</v>
      </c>
      <c r="G151" s="16">
        <f t="shared" si="40"/>
        <v>128.26666666666506</v>
      </c>
      <c r="H151" s="17">
        <f t="shared" si="40"/>
        <v>109.35555555555706</v>
      </c>
      <c r="I151" s="17">
        <f t="shared" si="40"/>
        <v>115.9333333333328</v>
      </c>
      <c r="J151" s="17">
        <f t="shared" si="40"/>
        <v>120.04444444444479</v>
      </c>
      <c r="K151" s="18">
        <f t="shared" si="40"/>
        <v>101.13333333333253</v>
      </c>
      <c r="L151" s="18">
        <f t="shared" si="40"/>
        <v>107.71111111110946</v>
      </c>
      <c r="M151" s="18">
        <f t="shared" si="40"/>
        <v>111.82222222222188</v>
      </c>
      <c r="N151" s="19">
        <f t="shared" si="40"/>
        <v>75.644444444444034</v>
      </c>
      <c r="O151" s="19">
        <f t="shared" si="40"/>
        <v>82.222222222223721</v>
      </c>
      <c r="P151" s="19">
        <f t="shared" si="40"/>
        <v>86.333333333332348</v>
      </c>
      <c r="Q151" s="20">
        <f t="shared" si="40"/>
        <v>71.533333333334483</v>
      </c>
      <c r="R151" s="20">
        <f t="shared" si="40"/>
        <v>78.11111111111245</v>
      </c>
      <c r="S151" s="20">
        <f t="shared" si="40"/>
        <v>82.222222222223721</v>
      </c>
      <c r="T151" s="21">
        <f t="shared" si="39"/>
        <v>67.422222222223695</v>
      </c>
      <c r="U151" s="21">
        <f t="shared" si="39"/>
        <v>74</v>
      </c>
      <c r="V151" s="21">
        <f t="shared" si="39"/>
        <v>78.11111111111245</v>
      </c>
      <c r="W151" s="22">
        <f t="shared" si="39"/>
        <v>63.311111111111245</v>
      </c>
      <c r="X151" s="22">
        <f t="shared" si="39"/>
        <v>69.88888888888755</v>
      </c>
      <c r="Y151" s="22">
        <f t="shared" si="39"/>
        <v>74</v>
      </c>
      <c r="Z151" s="23">
        <f t="shared" si="39"/>
        <v>59.199999999998887</v>
      </c>
      <c r="AA151" s="23">
        <f t="shared" si="39"/>
        <v>65.777777777777104</v>
      </c>
      <c r="AB151" s="23">
        <f t="shared" si="39"/>
        <v>69.88888888888755</v>
      </c>
      <c r="AC151" s="24">
        <f t="shared" si="39"/>
        <v>55.08888888888913</v>
      </c>
      <c r="AD151" s="24">
        <f t="shared" si="39"/>
        <v>61.666666666666444</v>
      </c>
      <c r="AE151" s="24">
        <f t="shared" si="39"/>
        <v>65.777777777777104</v>
      </c>
      <c r="AF151" s="25">
        <f t="shared" si="39"/>
        <v>50.977777777777177</v>
      </c>
      <c r="AG151" s="25">
        <f t="shared" si="39"/>
        <v>57.555555555556225</v>
      </c>
      <c r="AH151" s="25">
        <f t="shared" si="39"/>
        <v>61.666666666666444</v>
      </c>
      <c r="AI151" s="26">
        <f t="shared" si="39"/>
        <v>46.866666666667079</v>
      </c>
      <c r="AJ151" s="26">
        <f t="shared" si="41"/>
        <v>53.444444444443775</v>
      </c>
      <c r="AK151" s="26">
        <f t="shared" si="41"/>
        <v>57.555555555556225</v>
      </c>
    </row>
    <row r="152" spans="4:37" ht="20.100000000000001" customHeight="1">
      <c r="D152" s="27">
        <f t="shared" si="38"/>
        <v>0.41388888888888792</v>
      </c>
      <c r="E152" s="16">
        <f t="shared" si="40"/>
        <v>118.37222222222181</v>
      </c>
      <c r="F152" s="16">
        <f t="shared" si="40"/>
        <v>124.99444444444157</v>
      </c>
      <c r="G152" s="16">
        <f t="shared" si="40"/>
        <v>129.13333333333173</v>
      </c>
      <c r="H152" s="17">
        <f t="shared" si="40"/>
        <v>110.09444444444595</v>
      </c>
      <c r="I152" s="17">
        <f t="shared" si="40"/>
        <v>116.71666666666613</v>
      </c>
      <c r="J152" s="17">
        <f t="shared" si="40"/>
        <v>120.85555555555591</v>
      </c>
      <c r="K152" s="18">
        <f t="shared" si="40"/>
        <v>101.81666666666587</v>
      </c>
      <c r="L152" s="18">
        <f t="shared" si="40"/>
        <v>108.43888888888723</v>
      </c>
      <c r="M152" s="18">
        <f t="shared" si="40"/>
        <v>112.57777777777744</v>
      </c>
      <c r="N152" s="19">
        <f t="shared" si="40"/>
        <v>76.155555555555139</v>
      </c>
      <c r="O152" s="19">
        <f t="shared" si="40"/>
        <v>82.777777777779278</v>
      </c>
      <c r="P152" s="19">
        <f t="shared" si="40"/>
        <v>86.916666666665677</v>
      </c>
      <c r="Q152" s="20">
        <f t="shared" si="40"/>
        <v>72.016666666667817</v>
      </c>
      <c r="R152" s="20">
        <f t="shared" si="40"/>
        <v>78.638888888890222</v>
      </c>
      <c r="S152" s="20">
        <f t="shared" si="40"/>
        <v>82.777777777779278</v>
      </c>
      <c r="T152" s="21">
        <f t="shared" si="39"/>
        <v>67.877777777779244</v>
      </c>
      <c r="U152" s="21">
        <f t="shared" si="39"/>
        <v>74.5</v>
      </c>
      <c r="V152" s="21">
        <f t="shared" si="39"/>
        <v>78.638888888890222</v>
      </c>
      <c r="W152" s="22">
        <f t="shared" si="39"/>
        <v>63.738888888889022</v>
      </c>
      <c r="X152" s="22">
        <f t="shared" si="39"/>
        <v>70.361111111109778</v>
      </c>
      <c r="Y152" s="22">
        <f t="shared" si="39"/>
        <v>74.5</v>
      </c>
      <c r="Z152" s="23">
        <f t="shared" si="39"/>
        <v>59.599999999998886</v>
      </c>
      <c r="AA152" s="23">
        <f t="shared" si="39"/>
        <v>66.222222222221546</v>
      </c>
      <c r="AB152" s="23">
        <f t="shared" si="39"/>
        <v>70.361111111109778</v>
      </c>
      <c r="AC152" s="24">
        <f t="shared" si="39"/>
        <v>55.46111111111135</v>
      </c>
      <c r="AD152" s="24">
        <f t="shared" si="39"/>
        <v>62.083333333333108</v>
      </c>
      <c r="AE152" s="24">
        <f t="shared" si="39"/>
        <v>66.222222222221546</v>
      </c>
      <c r="AF152" s="25">
        <f t="shared" si="39"/>
        <v>51.322222222221619</v>
      </c>
      <c r="AG152" s="25">
        <f t="shared" si="39"/>
        <v>57.944444444445111</v>
      </c>
      <c r="AH152" s="25">
        <f t="shared" si="39"/>
        <v>62.083333333333108</v>
      </c>
      <c r="AI152" s="26">
        <f t="shared" si="39"/>
        <v>47.183333333333749</v>
      </c>
      <c r="AJ152" s="26">
        <f t="shared" si="41"/>
        <v>53.805555555554889</v>
      </c>
      <c r="AK152" s="26">
        <f t="shared" si="41"/>
        <v>57.944444444445111</v>
      </c>
    </row>
    <row r="153" spans="4:37" ht="20.100000000000001" customHeight="1">
      <c r="D153" s="27">
        <f t="shared" si="38"/>
        <v>0.41666666666666569</v>
      </c>
      <c r="E153" s="16">
        <f t="shared" si="40"/>
        <v>119.16666666666626</v>
      </c>
      <c r="F153" s="16">
        <f t="shared" si="40"/>
        <v>125.83333333333046</v>
      </c>
      <c r="G153" s="16">
        <f t="shared" si="40"/>
        <v>129.99999999999841</v>
      </c>
      <c r="H153" s="17">
        <f t="shared" si="40"/>
        <v>110.83333333333485</v>
      </c>
      <c r="I153" s="17">
        <f t="shared" si="40"/>
        <v>117.49999999999946</v>
      </c>
      <c r="J153" s="17">
        <f t="shared" si="40"/>
        <v>121.66666666666703</v>
      </c>
      <c r="K153" s="18">
        <f t="shared" si="40"/>
        <v>102.4999999999992</v>
      </c>
      <c r="L153" s="18">
        <f t="shared" si="40"/>
        <v>109.16666666666501</v>
      </c>
      <c r="M153" s="18">
        <f t="shared" si="40"/>
        <v>113.333333333333</v>
      </c>
      <c r="N153" s="19">
        <f t="shared" si="40"/>
        <v>76.666666666666245</v>
      </c>
      <c r="O153" s="19">
        <f t="shared" si="40"/>
        <v>83.333333333334835</v>
      </c>
      <c r="P153" s="19">
        <f t="shared" si="40"/>
        <v>87.499999999999005</v>
      </c>
      <c r="Q153" s="20">
        <f t="shared" si="40"/>
        <v>72.500000000001151</v>
      </c>
      <c r="R153" s="20">
        <f t="shared" si="40"/>
        <v>79.166666666667993</v>
      </c>
      <c r="S153" s="20">
        <f t="shared" si="40"/>
        <v>83.333333333334835</v>
      </c>
      <c r="T153" s="21">
        <f t="shared" si="39"/>
        <v>68.333333333334792</v>
      </c>
      <c r="U153" s="21">
        <f t="shared" si="39"/>
        <v>75</v>
      </c>
      <c r="V153" s="21">
        <f t="shared" si="39"/>
        <v>79.166666666667993</v>
      </c>
      <c r="W153" s="22">
        <f t="shared" si="39"/>
        <v>64.166666666666799</v>
      </c>
      <c r="X153" s="22">
        <f t="shared" si="39"/>
        <v>70.833333333332007</v>
      </c>
      <c r="Y153" s="22">
        <f t="shared" si="39"/>
        <v>75</v>
      </c>
      <c r="Z153" s="23">
        <f t="shared" si="39"/>
        <v>59.999999999998884</v>
      </c>
      <c r="AA153" s="23">
        <f t="shared" si="39"/>
        <v>66.666666666665989</v>
      </c>
      <c r="AB153" s="23">
        <f t="shared" si="39"/>
        <v>70.833333333332007</v>
      </c>
      <c r="AC153" s="24">
        <f t="shared" si="39"/>
        <v>55.83333333333357</v>
      </c>
      <c r="AD153" s="24">
        <f t="shared" si="39"/>
        <v>62.499999999999773</v>
      </c>
      <c r="AE153" s="24">
        <f t="shared" si="39"/>
        <v>66.666666666665989</v>
      </c>
      <c r="AF153" s="25">
        <f t="shared" si="39"/>
        <v>51.66666666666606</v>
      </c>
      <c r="AG153" s="25">
        <f t="shared" si="39"/>
        <v>58.333333333333997</v>
      </c>
      <c r="AH153" s="25">
        <f t="shared" si="39"/>
        <v>62.499999999999773</v>
      </c>
      <c r="AI153" s="26">
        <f t="shared" si="39"/>
        <v>47.500000000000419</v>
      </c>
      <c r="AJ153" s="26">
        <f t="shared" si="41"/>
        <v>54.166666666666003</v>
      </c>
      <c r="AK153" s="26">
        <f t="shared" si="41"/>
        <v>58.333333333333997</v>
      </c>
    </row>
    <row r="154" spans="4:37" ht="20.100000000000001" customHeight="1">
      <c r="D154" s="27">
        <f t="shared" si="38"/>
        <v>0.41944444444444345</v>
      </c>
      <c r="E154" s="16">
        <f t="shared" si="40"/>
        <v>119.96111111111071</v>
      </c>
      <c r="F154" s="16">
        <f t="shared" si="40"/>
        <v>126.67222222221935</v>
      </c>
      <c r="G154" s="16">
        <f t="shared" si="40"/>
        <v>130.86666666666508</v>
      </c>
      <c r="H154" s="17">
        <f t="shared" si="40"/>
        <v>111.57222222222374</v>
      </c>
      <c r="I154" s="17">
        <f t="shared" si="40"/>
        <v>118.28333333333279</v>
      </c>
      <c r="J154" s="17">
        <f t="shared" si="40"/>
        <v>122.47777777777814</v>
      </c>
      <c r="K154" s="18">
        <f t="shared" si="40"/>
        <v>103.18333333333254</v>
      </c>
      <c r="L154" s="18">
        <f t="shared" si="40"/>
        <v>109.89444444444278</v>
      </c>
      <c r="M154" s="18">
        <f t="shared" si="40"/>
        <v>114.08888888888856</v>
      </c>
      <c r="N154" s="19">
        <f t="shared" si="40"/>
        <v>77.177777777777351</v>
      </c>
      <c r="O154" s="19">
        <f t="shared" si="40"/>
        <v>83.888888888890392</v>
      </c>
      <c r="P154" s="19">
        <f t="shared" si="40"/>
        <v>88.083333333332334</v>
      </c>
      <c r="Q154" s="20">
        <f t="shared" si="40"/>
        <v>72.983333333334485</v>
      </c>
      <c r="R154" s="20">
        <f t="shared" si="40"/>
        <v>79.694444444445764</v>
      </c>
      <c r="S154" s="20">
        <f t="shared" si="40"/>
        <v>83.888888888890392</v>
      </c>
      <c r="T154" s="21">
        <f t="shared" si="39"/>
        <v>68.788888888890341</v>
      </c>
      <c r="U154" s="21">
        <f t="shared" si="39"/>
        <v>75.5</v>
      </c>
      <c r="V154" s="21">
        <f t="shared" si="39"/>
        <v>79.694444444445764</v>
      </c>
      <c r="W154" s="22">
        <f t="shared" si="39"/>
        <v>64.594444444444576</v>
      </c>
      <c r="X154" s="22">
        <f t="shared" si="39"/>
        <v>71.305555555554236</v>
      </c>
      <c r="Y154" s="22">
        <f t="shared" si="39"/>
        <v>75.5</v>
      </c>
      <c r="Z154" s="23">
        <f t="shared" si="39"/>
        <v>60.399999999998883</v>
      </c>
      <c r="AA154" s="23">
        <f t="shared" si="39"/>
        <v>67.111111111110432</v>
      </c>
      <c r="AB154" s="23">
        <f t="shared" si="39"/>
        <v>71.305555555554236</v>
      </c>
      <c r="AC154" s="24">
        <f t="shared" si="39"/>
        <v>56.20555555555579</v>
      </c>
      <c r="AD154" s="24">
        <f t="shared" si="39"/>
        <v>62.916666666666437</v>
      </c>
      <c r="AE154" s="24">
        <f t="shared" si="39"/>
        <v>67.111111111110432</v>
      </c>
      <c r="AF154" s="25">
        <f t="shared" si="39"/>
        <v>52.011111111110502</v>
      </c>
      <c r="AG154" s="25">
        <f t="shared" si="39"/>
        <v>58.722222222222882</v>
      </c>
      <c r="AH154" s="25">
        <f t="shared" si="39"/>
        <v>62.916666666666437</v>
      </c>
      <c r="AI154" s="26">
        <f t="shared" si="39"/>
        <v>47.816666666667089</v>
      </c>
      <c r="AJ154" s="26">
        <f t="shared" si="41"/>
        <v>54.527777777777118</v>
      </c>
      <c r="AK154" s="26">
        <f t="shared" si="41"/>
        <v>58.722222222222882</v>
      </c>
    </row>
    <row r="155" spans="4:37" ht="20.100000000000001" customHeight="1">
      <c r="D155" s="27">
        <f t="shared" si="38"/>
        <v>0.42222222222222122</v>
      </c>
      <c r="E155" s="16">
        <f t="shared" si="40"/>
        <v>120.75555555555516</v>
      </c>
      <c r="F155" s="16">
        <f t="shared" si="40"/>
        <v>127.51111111110824</v>
      </c>
      <c r="G155" s="16">
        <f t="shared" si="40"/>
        <v>131.73333333333176</v>
      </c>
      <c r="H155" s="17">
        <f t="shared" si="40"/>
        <v>112.31111111111264</v>
      </c>
      <c r="I155" s="17">
        <f t="shared" si="40"/>
        <v>119.06666666666612</v>
      </c>
      <c r="J155" s="17">
        <f t="shared" si="40"/>
        <v>123.28888888888926</v>
      </c>
      <c r="K155" s="18">
        <f t="shared" si="40"/>
        <v>103.86666666666588</v>
      </c>
      <c r="L155" s="18">
        <f t="shared" si="40"/>
        <v>110.62222222222056</v>
      </c>
      <c r="M155" s="18">
        <f t="shared" si="40"/>
        <v>114.84444444444412</v>
      </c>
      <c r="N155" s="19">
        <f t="shared" si="40"/>
        <v>77.688888888888457</v>
      </c>
      <c r="O155" s="19">
        <f t="shared" si="40"/>
        <v>84.444444444445949</v>
      </c>
      <c r="P155" s="19">
        <f t="shared" si="40"/>
        <v>88.666666666665662</v>
      </c>
      <c r="Q155" s="20">
        <f t="shared" si="40"/>
        <v>73.46666666666782</v>
      </c>
      <c r="R155" s="20">
        <f t="shared" si="40"/>
        <v>80.222222222223536</v>
      </c>
      <c r="S155" s="20">
        <f t="shared" si="40"/>
        <v>84.444444444445949</v>
      </c>
      <c r="T155" s="21">
        <f t="shared" si="39"/>
        <v>69.24444444444589</v>
      </c>
      <c r="U155" s="21">
        <f t="shared" si="39"/>
        <v>76</v>
      </c>
      <c r="V155" s="21">
        <f t="shared" si="39"/>
        <v>80.222222222223536</v>
      </c>
      <c r="W155" s="22">
        <f t="shared" si="39"/>
        <v>65.022222222222354</v>
      </c>
      <c r="X155" s="22">
        <f t="shared" si="39"/>
        <v>71.777777777776464</v>
      </c>
      <c r="Y155" s="22">
        <f t="shared" si="39"/>
        <v>76</v>
      </c>
      <c r="Z155" s="23">
        <f t="shared" si="39"/>
        <v>60.799999999998882</v>
      </c>
      <c r="AA155" s="23">
        <f t="shared" si="39"/>
        <v>67.555555555554875</v>
      </c>
      <c r="AB155" s="23">
        <f t="shared" si="39"/>
        <v>71.777777777776464</v>
      </c>
      <c r="AC155" s="24">
        <f t="shared" si="39"/>
        <v>56.57777777777801</v>
      </c>
      <c r="AD155" s="24">
        <f t="shared" si="39"/>
        <v>63.333333333333101</v>
      </c>
      <c r="AE155" s="24">
        <f t="shared" si="39"/>
        <v>67.555555555554875</v>
      </c>
      <c r="AF155" s="25">
        <f t="shared" si="39"/>
        <v>52.355555555554943</v>
      </c>
      <c r="AG155" s="25">
        <f t="shared" si="39"/>
        <v>59.111111111111768</v>
      </c>
      <c r="AH155" s="25">
        <f t="shared" si="39"/>
        <v>63.333333333333101</v>
      </c>
      <c r="AI155" s="26">
        <f t="shared" si="39"/>
        <v>48.133333333333759</v>
      </c>
      <c r="AJ155" s="26">
        <f t="shared" si="41"/>
        <v>54.888888888888232</v>
      </c>
      <c r="AK155" s="26">
        <f t="shared" si="41"/>
        <v>59.111111111111768</v>
      </c>
    </row>
    <row r="156" spans="4:37" ht="20.100000000000001" customHeight="1">
      <c r="D156" s="27">
        <f t="shared" si="38"/>
        <v>0.42499999999999899</v>
      </c>
      <c r="E156" s="16">
        <f t="shared" si="40"/>
        <v>121.54999999999961</v>
      </c>
      <c r="F156" s="16">
        <f t="shared" si="40"/>
        <v>128.34999999999712</v>
      </c>
      <c r="G156" s="16">
        <f t="shared" si="40"/>
        <v>132.59999999999843</v>
      </c>
      <c r="H156" s="17">
        <f t="shared" si="40"/>
        <v>113.05000000000153</v>
      </c>
      <c r="I156" s="17">
        <f t="shared" si="40"/>
        <v>119.84999999999945</v>
      </c>
      <c r="J156" s="17">
        <f t="shared" si="40"/>
        <v>124.10000000000038</v>
      </c>
      <c r="K156" s="18">
        <f t="shared" si="40"/>
        <v>104.54999999999922</v>
      </c>
      <c r="L156" s="18">
        <f t="shared" si="40"/>
        <v>111.34999999999833</v>
      </c>
      <c r="M156" s="18">
        <f t="shared" si="40"/>
        <v>115.59999999999968</v>
      </c>
      <c r="N156" s="19">
        <f t="shared" si="40"/>
        <v>78.199999999999562</v>
      </c>
      <c r="O156" s="19">
        <f t="shared" si="40"/>
        <v>85.000000000001506</v>
      </c>
      <c r="P156" s="19">
        <f t="shared" si="40"/>
        <v>89.249999999998991</v>
      </c>
      <c r="Q156" s="20">
        <f t="shared" si="40"/>
        <v>73.950000000001154</v>
      </c>
      <c r="R156" s="20">
        <f t="shared" si="40"/>
        <v>80.750000000001307</v>
      </c>
      <c r="S156" s="20">
        <f t="shared" si="40"/>
        <v>85.000000000001506</v>
      </c>
      <c r="T156" s="21">
        <f t="shared" si="39"/>
        <v>69.700000000001438</v>
      </c>
      <c r="U156" s="21">
        <f t="shared" si="39"/>
        <v>76.5</v>
      </c>
      <c r="V156" s="21">
        <f t="shared" si="39"/>
        <v>80.750000000001307</v>
      </c>
      <c r="W156" s="22">
        <f t="shared" si="39"/>
        <v>65.450000000000131</v>
      </c>
      <c r="X156" s="22">
        <f t="shared" si="39"/>
        <v>72.249999999998693</v>
      </c>
      <c r="Y156" s="22">
        <f t="shared" si="39"/>
        <v>76.5</v>
      </c>
      <c r="Z156" s="23">
        <f t="shared" si="39"/>
        <v>61.19999999999888</v>
      </c>
      <c r="AA156" s="23">
        <f t="shared" si="39"/>
        <v>67.999999999999318</v>
      </c>
      <c r="AB156" s="23">
        <f t="shared" si="39"/>
        <v>72.249999999998693</v>
      </c>
      <c r="AC156" s="24">
        <f t="shared" si="39"/>
        <v>56.95000000000023</v>
      </c>
      <c r="AD156" s="24">
        <f t="shared" si="39"/>
        <v>63.749999999999766</v>
      </c>
      <c r="AE156" s="24">
        <f t="shared" si="39"/>
        <v>67.999999999999318</v>
      </c>
      <c r="AF156" s="25">
        <f t="shared" si="39"/>
        <v>52.699999999999385</v>
      </c>
      <c r="AG156" s="25">
        <f t="shared" si="39"/>
        <v>59.500000000000654</v>
      </c>
      <c r="AH156" s="25">
        <f t="shared" si="39"/>
        <v>63.749999999999766</v>
      </c>
      <c r="AI156" s="26">
        <f t="shared" si="39"/>
        <v>48.450000000000429</v>
      </c>
      <c r="AJ156" s="26">
        <f t="shared" si="41"/>
        <v>55.249999999999346</v>
      </c>
      <c r="AK156" s="26">
        <f t="shared" si="41"/>
        <v>59.500000000000654</v>
      </c>
    </row>
    <row r="157" spans="4:37" ht="20.100000000000001" customHeight="1">
      <c r="D157" s="27">
        <f t="shared" si="38"/>
        <v>0.42777777777777676</v>
      </c>
      <c r="E157" s="16">
        <f t="shared" si="40"/>
        <v>122.34444444444406</v>
      </c>
      <c r="F157" s="16">
        <f t="shared" si="40"/>
        <v>129.18888888888603</v>
      </c>
      <c r="G157" s="16">
        <f t="shared" si="40"/>
        <v>133.46666666666511</v>
      </c>
      <c r="H157" s="17">
        <f t="shared" si="40"/>
        <v>113.78888888889043</v>
      </c>
      <c r="I157" s="17">
        <f t="shared" si="40"/>
        <v>120.63333333333279</v>
      </c>
      <c r="J157" s="17">
        <f t="shared" si="40"/>
        <v>124.9111111111115</v>
      </c>
      <c r="K157" s="18">
        <f t="shared" si="40"/>
        <v>105.23333333333255</v>
      </c>
      <c r="L157" s="18">
        <f t="shared" si="40"/>
        <v>112.07777777777611</v>
      </c>
      <c r="M157" s="18">
        <f t="shared" si="40"/>
        <v>116.35555555555524</v>
      </c>
      <c r="N157" s="19">
        <f t="shared" si="40"/>
        <v>78.711111111110668</v>
      </c>
      <c r="O157" s="19">
        <f t="shared" si="40"/>
        <v>85.555555555557063</v>
      </c>
      <c r="P157" s="19">
        <f t="shared" si="40"/>
        <v>89.83333333333232</v>
      </c>
      <c r="Q157" s="20">
        <f t="shared" si="40"/>
        <v>74.433333333334488</v>
      </c>
      <c r="R157" s="20">
        <f t="shared" si="40"/>
        <v>81.277777777779079</v>
      </c>
      <c r="S157" s="20">
        <f t="shared" si="40"/>
        <v>85.555555555557063</v>
      </c>
      <c r="T157" s="21">
        <f t="shared" si="39"/>
        <v>70.155555555556987</v>
      </c>
      <c r="U157" s="21">
        <f t="shared" si="39"/>
        <v>77</v>
      </c>
      <c r="V157" s="21">
        <f t="shared" si="39"/>
        <v>81.277777777779079</v>
      </c>
      <c r="W157" s="22">
        <f t="shared" si="39"/>
        <v>65.877777777777908</v>
      </c>
      <c r="X157" s="22">
        <f t="shared" si="39"/>
        <v>72.722222222220921</v>
      </c>
      <c r="Y157" s="22">
        <f t="shared" si="39"/>
        <v>77</v>
      </c>
      <c r="Z157" s="23">
        <f t="shared" si="39"/>
        <v>61.599999999998879</v>
      </c>
      <c r="AA157" s="23">
        <f t="shared" si="39"/>
        <v>68.444444444443761</v>
      </c>
      <c r="AB157" s="23">
        <f t="shared" si="39"/>
        <v>72.722222222220921</v>
      </c>
      <c r="AC157" s="24">
        <f t="shared" si="39"/>
        <v>57.32222222222245</v>
      </c>
      <c r="AD157" s="24">
        <f t="shared" si="39"/>
        <v>64.16666666666643</v>
      </c>
      <c r="AE157" s="24">
        <f t="shared" si="39"/>
        <v>68.444444444443761</v>
      </c>
      <c r="AF157" s="25">
        <f t="shared" si="39"/>
        <v>53.044444444443826</v>
      </c>
      <c r="AG157" s="25">
        <f t="shared" si="39"/>
        <v>59.888888888889539</v>
      </c>
      <c r="AH157" s="25">
        <f t="shared" si="39"/>
        <v>64.16666666666643</v>
      </c>
      <c r="AI157" s="26">
        <f t="shared" si="39"/>
        <v>48.766666666667099</v>
      </c>
      <c r="AJ157" s="26">
        <f t="shared" si="41"/>
        <v>55.611111111110461</v>
      </c>
      <c r="AK157" s="26">
        <f t="shared" si="41"/>
        <v>59.888888888889539</v>
      </c>
    </row>
    <row r="158" spans="4:37" ht="20.100000000000001" customHeight="1">
      <c r="D158" s="27">
        <f t="shared" si="38"/>
        <v>0.43055555555555453</v>
      </c>
      <c r="E158" s="16">
        <f t="shared" si="40"/>
        <v>123.13888888888852</v>
      </c>
      <c r="F158" s="16">
        <f t="shared" si="40"/>
        <v>130.02777777777493</v>
      </c>
      <c r="G158" s="16">
        <f t="shared" si="40"/>
        <v>134.33333333333178</v>
      </c>
      <c r="H158" s="17">
        <f t="shared" si="40"/>
        <v>114.52777777777932</v>
      </c>
      <c r="I158" s="17">
        <f t="shared" si="40"/>
        <v>121.41666666666612</v>
      </c>
      <c r="J158" s="17">
        <f t="shared" si="40"/>
        <v>125.72222222222261</v>
      </c>
      <c r="K158" s="18">
        <f t="shared" si="40"/>
        <v>105.91666666666589</v>
      </c>
      <c r="L158" s="18">
        <f t="shared" si="40"/>
        <v>112.80555555555388</v>
      </c>
      <c r="M158" s="18">
        <f t="shared" si="40"/>
        <v>117.1111111111108</v>
      </c>
      <c r="N158" s="19">
        <f t="shared" si="40"/>
        <v>79.222222222221774</v>
      </c>
      <c r="O158" s="19">
        <f t="shared" si="40"/>
        <v>86.111111111112621</v>
      </c>
      <c r="P158" s="19">
        <f t="shared" si="40"/>
        <v>90.416666666665648</v>
      </c>
      <c r="Q158" s="20">
        <f t="shared" si="40"/>
        <v>74.916666666667822</v>
      </c>
      <c r="R158" s="20">
        <f t="shared" si="40"/>
        <v>81.80555555555685</v>
      </c>
      <c r="S158" s="20">
        <f t="shared" si="40"/>
        <v>86.111111111112621</v>
      </c>
      <c r="T158" s="21">
        <f t="shared" si="39"/>
        <v>70.611111111112535</v>
      </c>
      <c r="U158" s="21">
        <f t="shared" si="39"/>
        <v>77.5</v>
      </c>
      <c r="V158" s="21">
        <f t="shared" si="39"/>
        <v>81.80555555555685</v>
      </c>
      <c r="W158" s="22">
        <f t="shared" si="39"/>
        <v>66.305555555555685</v>
      </c>
      <c r="X158" s="22">
        <f t="shared" si="39"/>
        <v>73.19444444444315</v>
      </c>
      <c r="Y158" s="22">
        <f t="shared" si="39"/>
        <v>77.5</v>
      </c>
      <c r="Z158" s="23">
        <f t="shared" si="39"/>
        <v>61.999999999998877</v>
      </c>
      <c r="AA158" s="23">
        <f t="shared" si="39"/>
        <v>68.888888888888204</v>
      </c>
      <c r="AB158" s="23">
        <f t="shared" si="39"/>
        <v>73.19444444444315</v>
      </c>
      <c r="AC158" s="24">
        <f t="shared" si="39"/>
        <v>57.69444444444467</v>
      </c>
      <c r="AD158" s="24">
        <f t="shared" si="39"/>
        <v>64.583333333333101</v>
      </c>
      <c r="AE158" s="24">
        <f t="shared" si="39"/>
        <v>68.888888888888204</v>
      </c>
      <c r="AF158" s="25">
        <f t="shared" si="39"/>
        <v>53.388888888888268</v>
      </c>
      <c r="AG158" s="25">
        <f t="shared" si="39"/>
        <v>60.277777777778425</v>
      </c>
      <c r="AH158" s="25">
        <f t="shared" si="39"/>
        <v>64.583333333333101</v>
      </c>
      <c r="AI158" s="26">
        <f t="shared" si="39"/>
        <v>49.083333333333769</v>
      </c>
      <c r="AJ158" s="26">
        <f t="shared" si="41"/>
        <v>55.972222222221575</v>
      </c>
      <c r="AK158" s="26">
        <f t="shared" si="41"/>
        <v>60.277777777778425</v>
      </c>
    </row>
    <row r="159" spans="4:37" ht="20.100000000000001" customHeight="1">
      <c r="D159" s="27">
        <f t="shared" si="38"/>
        <v>0.43333333333333229</v>
      </c>
      <c r="E159" s="16">
        <f t="shared" si="40"/>
        <v>123.93333333333297</v>
      </c>
      <c r="F159" s="16">
        <f t="shared" si="40"/>
        <v>130.86666666666383</v>
      </c>
      <c r="G159" s="16">
        <f t="shared" si="40"/>
        <v>135.19999999999845</v>
      </c>
      <c r="H159" s="17">
        <f t="shared" si="40"/>
        <v>115.26666666666821</v>
      </c>
      <c r="I159" s="17">
        <f t="shared" si="40"/>
        <v>122.19999999999945</v>
      </c>
      <c r="J159" s="17">
        <f t="shared" si="40"/>
        <v>126.53333333333373</v>
      </c>
      <c r="K159" s="18">
        <f t="shared" si="40"/>
        <v>106.59999999999923</v>
      </c>
      <c r="L159" s="18">
        <f t="shared" si="40"/>
        <v>113.53333333333165</v>
      </c>
      <c r="M159" s="18">
        <f t="shared" si="40"/>
        <v>117.86666666666636</v>
      </c>
      <c r="N159" s="19">
        <f t="shared" si="40"/>
        <v>79.73333333333288</v>
      </c>
      <c r="O159" s="19">
        <f t="shared" si="40"/>
        <v>86.666666666668178</v>
      </c>
      <c r="P159" s="19">
        <f t="shared" si="40"/>
        <v>90.999999999998977</v>
      </c>
      <c r="Q159" s="20">
        <f t="shared" si="40"/>
        <v>75.400000000001157</v>
      </c>
      <c r="R159" s="20">
        <f t="shared" si="40"/>
        <v>82.333333333334622</v>
      </c>
      <c r="S159" s="20">
        <f t="shared" si="40"/>
        <v>86.666666666668178</v>
      </c>
      <c r="T159" s="21">
        <f t="shared" si="39"/>
        <v>71.066666666668084</v>
      </c>
      <c r="U159" s="21">
        <f t="shared" si="39"/>
        <v>78</v>
      </c>
      <c r="V159" s="21">
        <f t="shared" si="39"/>
        <v>82.333333333334622</v>
      </c>
      <c r="W159" s="22">
        <f t="shared" si="39"/>
        <v>66.733333333333462</v>
      </c>
      <c r="X159" s="22">
        <f t="shared" si="39"/>
        <v>73.666666666665378</v>
      </c>
      <c r="Y159" s="22">
        <f t="shared" si="39"/>
        <v>78</v>
      </c>
      <c r="Z159" s="23">
        <f t="shared" si="39"/>
        <v>62.399999999998876</v>
      </c>
      <c r="AA159" s="23">
        <f t="shared" si="39"/>
        <v>69.333333333332646</v>
      </c>
      <c r="AB159" s="23">
        <f t="shared" si="39"/>
        <v>73.666666666665378</v>
      </c>
      <c r="AC159" s="24">
        <f t="shared" si="39"/>
        <v>58.06666666666689</v>
      </c>
      <c r="AD159" s="24">
        <f t="shared" si="39"/>
        <v>64.999999999999773</v>
      </c>
      <c r="AE159" s="24">
        <f t="shared" si="39"/>
        <v>69.333333333332646</v>
      </c>
      <c r="AF159" s="25">
        <f t="shared" si="39"/>
        <v>53.733333333332709</v>
      </c>
      <c r="AG159" s="25">
        <f t="shared" si="39"/>
        <v>60.666666666667311</v>
      </c>
      <c r="AH159" s="25">
        <f t="shared" si="39"/>
        <v>64.999999999999773</v>
      </c>
      <c r="AI159" s="26">
        <f t="shared" si="39"/>
        <v>49.400000000000439</v>
      </c>
      <c r="AJ159" s="26">
        <f t="shared" si="41"/>
        <v>56.333333333332689</v>
      </c>
      <c r="AK159" s="26">
        <f t="shared" si="41"/>
        <v>60.666666666667311</v>
      </c>
    </row>
    <row r="160" spans="4:37" ht="20.100000000000001" customHeight="1">
      <c r="D160" s="27">
        <f t="shared" si="38"/>
        <v>0.43611111111111006</v>
      </c>
      <c r="E160" s="16">
        <f t="shared" si="40"/>
        <v>124.72777777777742</v>
      </c>
      <c r="F160" s="16">
        <f t="shared" si="40"/>
        <v>131.70555555555273</v>
      </c>
      <c r="G160" s="16">
        <f t="shared" si="40"/>
        <v>136.06666666666513</v>
      </c>
      <c r="H160" s="17">
        <f t="shared" si="40"/>
        <v>116.00555555555711</v>
      </c>
      <c r="I160" s="17">
        <f t="shared" si="40"/>
        <v>122.98333333333278</v>
      </c>
      <c r="J160" s="17">
        <f t="shared" si="40"/>
        <v>127.34444444444485</v>
      </c>
      <c r="K160" s="18">
        <f t="shared" si="40"/>
        <v>107.28333333333256</v>
      </c>
      <c r="L160" s="18">
        <f t="shared" si="40"/>
        <v>114.26111111110943</v>
      </c>
      <c r="M160" s="18">
        <f t="shared" si="40"/>
        <v>118.62222222222192</v>
      </c>
      <c r="N160" s="19">
        <f t="shared" si="40"/>
        <v>80.244444444443985</v>
      </c>
      <c r="O160" s="19">
        <f t="shared" si="40"/>
        <v>87.222222222223735</v>
      </c>
      <c r="P160" s="19">
        <f t="shared" si="40"/>
        <v>91.583333333332305</v>
      </c>
      <c r="Q160" s="20">
        <f t="shared" si="40"/>
        <v>75.883333333334491</v>
      </c>
      <c r="R160" s="20">
        <f t="shared" si="40"/>
        <v>82.861111111112393</v>
      </c>
      <c r="S160" s="20">
        <f t="shared" si="40"/>
        <v>87.222222222223735</v>
      </c>
      <c r="T160" s="21">
        <f t="shared" si="39"/>
        <v>71.522222222223633</v>
      </c>
      <c r="U160" s="21">
        <f t="shared" si="39"/>
        <v>78.5</v>
      </c>
      <c r="V160" s="21">
        <f t="shared" si="39"/>
        <v>82.861111111112393</v>
      </c>
      <c r="W160" s="22">
        <f t="shared" si="39"/>
        <v>67.161111111111239</v>
      </c>
      <c r="X160" s="22">
        <f t="shared" si="39"/>
        <v>74.138888888887607</v>
      </c>
      <c r="Y160" s="22">
        <f t="shared" si="39"/>
        <v>78.5</v>
      </c>
      <c r="Z160" s="23">
        <f t="shared" si="39"/>
        <v>62.799999999998875</v>
      </c>
      <c r="AA160" s="23">
        <f t="shared" si="39"/>
        <v>69.777777777777089</v>
      </c>
      <c r="AB160" s="23">
        <f t="shared" si="39"/>
        <v>74.138888888887607</v>
      </c>
      <c r="AC160" s="24">
        <f t="shared" si="39"/>
        <v>58.43888888888911</v>
      </c>
      <c r="AD160" s="24">
        <f t="shared" si="39"/>
        <v>65.416666666666444</v>
      </c>
      <c r="AE160" s="24">
        <f t="shared" si="39"/>
        <v>69.777777777777089</v>
      </c>
      <c r="AF160" s="25">
        <f t="shared" si="39"/>
        <v>54.07777777777715</v>
      </c>
      <c r="AG160" s="25">
        <f t="shared" si="39"/>
        <v>61.055555555556197</v>
      </c>
      <c r="AH160" s="25">
        <f t="shared" si="39"/>
        <v>65.416666666666444</v>
      </c>
      <c r="AI160" s="26">
        <f t="shared" si="39"/>
        <v>49.716666666667109</v>
      </c>
      <c r="AJ160" s="26">
        <f t="shared" si="41"/>
        <v>56.694444444443803</v>
      </c>
      <c r="AK160" s="26">
        <f t="shared" si="41"/>
        <v>61.055555555556197</v>
      </c>
    </row>
    <row r="161" spans="4:37" ht="20.100000000000001" customHeight="1">
      <c r="D161" s="27">
        <f t="shared" si="38"/>
        <v>0.43888888888888783</v>
      </c>
      <c r="E161" s="16">
        <f t="shared" si="40"/>
        <v>125.52222222222187</v>
      </c>
      <c r="F161" s="16">
        <f t="shared" si="40"/>
        <v>132.54444444444164</v>
      </c>
      <c r="G161" s="16">
        <f t="shared" si="40"/>
        <v>136.9333333333318</v>
      </c>
      <c r="H161" s="17">
        <f t="shared" si="40"/>
        <v>116.744444444446</v>
      </c>
      <c r="I161" s="17">
        <f t="shared" si="40"/>
        <v>123.76666666666611</v>
      </c>
      <c r="J161" s="17">
        <f t="shared" si="40"/>
        <v>128.15555555555596</v>
      </c>
      <c r="K161" s="18">
        <f t="shared" si="40"/>
        <v>107.9666666666659</v>
      </c>
      <c r="L161" s="18">
        <f t="shared" si="40"/>
        <v>114.9888888888872</v>
      </c>
      <c r="M161" s="18">
        <f t="shared" si="40"/>
        <v>119.37777777777748</v>
      </c>
      <c r="N161" s="19">
        <f t="shared" si="40"/>
        <v>80.755555555555091</v>
      </c>
      <c r="O161" s="19">
        <f t="shared" si="40"/>
        <v>87.777777777779292</v>
      </c>
      <c r="P161" s="19">
        <f t="shared" si="40"/>
        <v>92.166666666665634</v>
      </c>
      <c r="Q161" s="20">
        <f t="shared" si="40"/>
        <v>76.366666666667825</v>
      </c>
      <c r="R161" s="20">
        <f t="shared" si="40"/>
        <v>83.388888888890165</v>
      </c>
      <c r="S161" s="20">
        <f t="shared" si="40"/>
        <v>87.777777777779292</v>
      </c>
      <c r="T161" s="21">
        <f t="shared" si="39"/>
        <v>71.977777777779181</v>
      </c>
      <c r="U161" s="21">
        <f t="shared" si="39"/>
        <v>79</v>
      </c>
      <c r="V161" s="21">
        <f t="shared" si="39"/>
        <v>83.388888888890165</v>
      </c>
      <c r="W161" s="22">
        <f t="shared" si="39"/>
        <v>67.588888888889016</v>
      </c>
      <c r="X161" s="22">
        <f t="shared" si="39"/>
        <v>74.611111111109835</v>
      </c>
      <c r="Y161" s="22">
        <f t="shared" si="39"/>
        <v>79</v>
      </c>
      <c r="Z161" s="23">
        <f t="shared" si="39"/>
        <v>63.199999999998873</v>
      </c>
      <c r="AA161" s="23">
        <f t="shared" si="39"/>
        <v>70.222222222221532</v>
      </c>
      <c r="AB161" s="23">
        <f t="shared" si="39"/>
        <v>74.611111111109835</v>
      </c>
      <c r="AC161" s="24">
        <f t="shared" si="39"/>
        <v>58.81111111111133</v>
      </c>
      <c r="AD161" s="24">
        <f t="shared" si="39"/>
        <v>65.833333333333115</v>
      </c>
      <c r="AE161" s="24">
        <f t="shared" si="39"/>
        <v>70.222222222221532</v>
      </c>
      <c r="AF161" s="25">
        <f t="shared" si="39"/>
        <v>54.422222222221592</v>
      </c>
      <c r="AG161" s="25">
        <f t="shared" si="39"/>
        <v>61.444444444445082</v>
      </c>
      <c r="AH161" s="25">
        <f t="shared" si="39"/>
        <v>65.833333333333115</v>
      </c>
      <c r="AI161" s="26">
        <f t="shared" si="39"/>
        <v>50.033333333333779</v>
      </c>
      <c r="AJ161" s="26">
        <f t="shared" si="41"/>
        <v>57.055555555554918</v>
      </c>
      <c r="AK161" s="26">
        <f t="shared" si="41"/>
        <v>61.444444444445082</v>
      </c>
    </row>
    <row r="162" spans="4:37" ht="20.100000000000001" customHeight="1">
      <c r="D162" s="27">
        <f t="shared" si="38"/>
        <v>0.4416666666666656</v>
      </c>
      <c r="E162" s="16">
        <f t="shared" ref="E162:T177" si="42">E163-(E$363/360)</f>
        <v>126.31666666666632</v>
      </c>
      <c r="F162" s="16">
        <f t="shared" si="42"/>
        <v>133.38333333333054</v>
      </c>
      <c r="G162" s="16">
        <f t="shared" si="42"/>
        <v>137.79999999999848</v>
      </c>
      <c r="H162" s="17">
        <f t="shared" si="42"/>
        <v>117.4833333333349</v>
      </c>
      <c r="I162" s="17">
        <f t="shared" si="42"/>
        <v>124.54999999999944</v>
      </c>
      <c r="J162" s="17">
        <f t="shared" si="42"/>
        <v>128.96666666666707</v>
      </c>
      <c r="K162" s="18">
        <f t="shared" si="42"/>
        <v>108.64999999999924</v>
      </c>
      <c r="L162" s="18">
        <f t="shared" si="42"/>
        <v>115.71666666666498</v>
      </c>
      <c r="M162" s="18">
        <f t="shared" si="42"/>
        <v>120.13333333333304</v>
      </c>
      <c r="N162" s="19">
        <f t="shared" si="42"/>
        <v>81.266666666666197</v>
      </c>
      <c r="O162" s="19">
        <f t="shared" si="42"/>
        <v>88.333333333334849</v>
      </c>
      <c r="P162" s="19">
        <f t="shared" si="42"/>
        <v>92.749999999998963</v>
      </c>
      <c r="Q162" s="20">
        <f t="shared" si="42"/>
        <v>76.85000000000116</v>
      </c>
      <c r="R162" s="20">
        <f t="shared" si="42"/>
        <v>83.916666666667936</v>
      </c>
      <c r="S162" s="20">
        <f t="shared" si="42"/>
        <v>88.333333333334849</v>
      </c>
      <c r="T162" s="21">
        <f t="shared" si="42"/>
        <v>72.43333333333473</v>
      </c>
      <c r="U162" s="21">
        <f t="shared" si="39"/>
        <v>79.5</v>
      </c>
      <c r="V162" s="21">
        <f t="shared" si="39"/>
        <v>83.916666666667936</v>
      </c>
      <c r="W162" s="22">
        <f t="shared" si="39"/>
        <v>68.016666666666794</v>
      </c>
      <c r="X162" s="22">
        <f t="shared" si="39"/>
        <v>75.083333333332064</v>
      </c>
      <c r="Y162" s="22">
        <f t="shared" si="39"/>
        <v>79.5</v>
      </c>
      <c r="Z162" s="23">
        <f t="shared" si="39"/>
        <v>63.599999999998872</v>
      </c>
      <c r="AA162" s="23">
        <f t="shared" si="39"/>
        <v>70.666666666665975</v>
      </c>
      <c r="AB162" s="23">
        <f t="shared" si="39"/>
        <v>75.083333333332064</v>
      </c>
      <c r="AC162" s="24">
        <f t="shared" si="39"/>
        <v>59.18333333333355</v>
      </c>
      <c r="AD162" s="24">
        <f t="shared" si="39"/>
        <v>66.249999999999787</v>
      </c>
      <c r="AE162" s="24">
        <f t="shared" si="39"/>
        <v>70.666666666665975</v>
      </c>
      <c r="AF162" s="25">
        <f t="shared" si="39"/>
        <v>54.766666666666033</v>
      </c>
      <c r="AG162" s="25">
        <f t="shared" ref="AF162:AK198" si="43">AG163-(AG$363/360)</f>
        <v>61.833333333333968</v>
      </c>
      <c r="AH162" s="25">
        <f t="shared" si="43"/>
        <v>66.249999999999787</v>
      </c>
      <c r="AI162" s="26">
        <f t="shared" si="43"/>
        <v>50.350000000000449</v>
      </c>
      <c r="AJ162" s="26">
        <f t="shared" si="43"/>
        <v>57.416666666666032</v>
      </c>
      <c r="AK162" s="26">
        <f t="shared" si="43"/>
        <v>61.833333333333968</v>
      </c>
    </row>
    <row r="163" spans="4:37" ht="20.100000000000001" customHeight="1">
      <c r="D163" s="27">
        <f t="shared" si="38"/>
        <v>0.44444444444444337</v>
      </c>
      <c r="E163" s="16">
        <f t="shared" si="42"/>
        <v>127.11111111111077</v>
      </c>
      <c r="F163" s="16">
        <f t="shared" si="42"/>
        <v>134.22222222221944</v>
      </c>
      <c r="G163" s="16">
        <f t="shared" si="42"/>
        <v>138.66666666666515</v>
      </c>
      <c r="H163" s="17">
        <f t="shared" si="42"/>
        <v>118.22222222222379</v>
      </c>
      <c r="I163" s="17">
        <f t="shared" si="42"/>
        <v>125.33333333333277</v>
      </c>
      <c r="J163" s="17">
        <f t="shared" si="42"/>
        <v>129.77777777777817</v>
      </c>
      <c r="K163" s="18">
        <f t="shared" si="42"/>
        <v>109.33333333333258</v>
      </c>
      <c r="L163" s="18">
        <f t="shared" si="42"/>
        <v>116.44444444444275</v>
      </c>
      <c r="M163" s="18">
        <f t="shared" si="42"/>
        <v>120.8888888888886</v>
      </c>
      <c r="N163" s="19">
        <f t="shared" si="42"/>
        <v>81.777777777777303</v>
      </c>
      <c r="O163" s="19">
        <f t="shared" si="42"/>
        <v>88.888888888890406</v>
      </c>
      <c r="P163" s="19">
        <f t="shared" si="42"/>
        <v>93.333333333332291</v>
      </c>
      <c r="Q163" s="20">
        <f t="shared" si="42"/>
        <v>77.333333333334494</v>
      </c>
      <c r="R163" s="20">
        <f t="shared" si="42"/>
        <v>84.444444444445708</v>
      </c>
      <c r="S163" s="20">
        <f t="shared" si="42"/>
        <v>88.888888888890406</v>
      </c>
      <c r="T163" s="21">
        <f t="shared" si="42"/>
        <v>72.888888888890278</v>
      </c>
      <c r="U163" s="21">
        <f t="shared" ref="U163:AJ180" si="44">U164-(U$363/360)</f>
        <v>80</v>
      </c>
      <c r="V163" s="21">
        <f t="shared" si="44"/>
        <v>84.444444444445708</v>
      </c>
      <c r="W163" s="22">
        <f t="shared" si="44"/>
        <v>68.444444444444571</v>
      </c>
      <c r="X163" s="22">
        <f t="shared" si="44"/>
        <v>75.555555555554292</v>
      </c>
      <c r="Y163" s="22">
        <f t="shared" si="44"/>
        <v>80</v>
      </c>
      <c r="Z163" s="23">
        <f t="shared" si="44"/>
        <v>63.99999999999887</v>
      </c>
      <c r="AA163" s="23">
        <f t="shared" si="44"/>
        <v>71.111111111110418</v>
      </c>
      <c r="AB163" s="23">
        <f t="shared" si="44"/>
        <v>75.555555555554292</v>
      </c>
      <c r="AC163" s="24">
        <f t="shared" si="44"/>
        <v>59.55555555555577</v>
      </c>
      <c r="AD163" s="24">
        <f t="shared" si="44"/>
        <v>66.666666666666458</v>
      </c>
      <c r="AE163" s="24">
        <f t="shared" si="44"/>
        <v>71.111111111110418</v>
      </c>
      <c r="AF163" s="25">
        <f t="shared" si="44"/>
        <v>55.111111111110475</v>
      </c>
      <c r="AG163" s="25">
        <f t="shared" si="44"/>
        <v>62.222222222222854</v>
      </c>
      <c r="AH163" s="25">
        <f t="shared" si="44"/>
        <v>66.666666666666458</v>
      </c>
      <c r="AI163" s="26">
        <f t="shared" si="44"/>
        <v>50.666666666667119</v>
      </c>
      <c r="AJ163" s="26">
        <f t="shared" si="44"/>
        <v>57.777777777777146</v>
      </c>
      <c r="AK163" s="26">
        <f t="shared" si="43"/>
        <v>62.222222222222854</v>
      </c>
    </row>
    <row r="164" spans="4:37" ht="20.100000000000001" customHeight="1">
      <c r="D164" s="27">
        <f t="shared" si="38"/>
        <v>0.44722222222222113</v>
      </c>
      <c r="E164" s="16">
        <f t="shared" si="42"/>
        <v>127.90555555555522</v>
      </c>
      <c r="F164" s="16">
        <f t="shared" si="42"/>
        <v>135.06111111110835</v>
      </c>
      <c r="G164" s="16">
        <f t="shared" si="42"/>
        <v>139.53333333333183</v>
      </c>
      <c r="H164" s="17">
        <f t="shared" si="42"/>
        <v>118.96111111111269</v>
      </c>
      <c r="I164" s="17">
        <f t="shared" si="42"/>
        <v>126.11666666666611</v>
      </c>
      <c r="J164" s="17">
        <f t="shared" si="42"/>
        <v>130.58888888888927</v>
      </c>
      <c r="K164" s="18">
        <f t="shared" si="42"/>
        <v>110.01666666666591</v>
      </c>
      <c r="L164" s="18">
        <f t="shared" si="42"/>
        <v>117.17222222222053</v>
      </c>
      <c r="M164" s="18">
        <f t="shared" si="42"/>
        <v>121.64444444444416</v>
      </c>
      <c r="N164" s="19">
        <f t="shared" si="42"/>
        <v>82.288888888888408</v>
      </c>
      <c r="O164" s="19">
        <f t="shared" si="42"/>
        <v>89.444444444445963</v>
      </c>
      <c r="P164" s="19">
        <f t="shared" si="42"/>
        <v>93.91666666666562</v>
      </c>
      <c r="Q164" s="20">
        <f t="shared" si="42"/>
        <v>77.816666666667828</v>
      </c>
      <c r="R164" s="20">
        <f t="shared" si="42"/>
        <v>84.972222222223479</v>
      </c>
      <c r="S164" s="20">
        <f t="shared" si="42"/>
        <v>89.444444444445963</v>
      </c>
      <c r="T164" s="21">
        <f t="shared" si="42"/>
        <v>73.344444444445827</v>
      </c>
      <c r="U164" s="21">
        <f t="shared" si="44"/>
        <v>80.5</v>
      </c>
      <c r="V164" s="21">
        <f t="shared" si="44"/>
        <v>84.972222222223479</v>
      </c>
      <c r="W164" s="22">
        <f t="shared" si="44"/>
        <v>68.872222222222348</v>
      </c>
      <c r="X164" s="22">
        <f t="shared" si="44"/>
        <v>76.027777777776521</v>
      </c>
      <c r="Y164" s="22">
        <f t="shared" si="44"/>
        <v>80.5</v>
      </c>
      <c r="Z164" s="23">
        <f t="shared" si="44"/>
        <v>64.399999999998869</v>
      </c>
      <c r="AA164" s="23">
        <f t="shared" si="44"/>
        <v>71.555555555554861</v>
      </c>
      <c r="AB164" s="23">
        <f t="shared" si="44"/>
        <v>76.027777777776521</v>
      </c>
      <c r="AC164" s="24">
        <f t="shared" si="44"/>
        <v>59.92777777777799</v>
      </c>
      <c r="AD164" s="24">
        <f t="shared" si="44"/>
        <v>67.08333333333313</v>
      </c>
      <c r="AE164" s="24">
        <f t="shared" si="44"/>
        <v>71.555555555554861</v>
      </c>
      <c r="AF164" s="25">
        <f t="shared" si="44"/>
        <v>55.455555555554916</v>
      </c>
      <c r="AG164" s="25">
        <f t="shared" si="44"/>
        <v>62.61111111111174</v>
      </c>
      <c r="AH164" s="25">
        <f t="shared" si="44"/>
        <v>67.08333333333313</v>
      </c>
      <c r="AI164" s="26">
        <f t="shared" si="44"/>
        <v>50.983333333333789</v>
      </c>
      <c r="AJ164" s="26">
        <f t="shared" si="44"/>
        <v>58.13888888888826</v>
      </c>
      <c r="AK164" s="26">
        <f t="shared" si="43"/>
        <v>62.61111111111174</v>
      </c>
    </row>
    <row r="165" spans="4:37" ht="20.100000000000001" customHeight="1">
      <c r="D165" s="27">
        <f t="shared" si="38"/>
        <v>0.4499999999999989</v>
      </c>
      <c r="E165" s="16">
        <f t="shared" si="42"/>
        <v>128.69999999999968</v>
      </c>
      <c r="F165" s="16">
        <f t="shared" si="42"/>
        <v>135.89999999999725</v>
      </c>
      <c r="G165" s="16">
        <f t="shared" si="42"/>
        <v>140.3999999999985</v>
      </c>
      <c r="H165" s="17">
        <f t="shared" si="42"/>
        <v>119.70000000000158</v>
      </c>
      <c r="I165" s="17">
        <f t="shared" si="42"/>
        <v>126.89999999999944</v>
      </c>
      <c r="J165" s="17">
        <f t="shared" si="42"/>
        <v>131.40000000000038</v>
      </c>
      <c r="K165" s="18">
        <f t="shared" si="42"/>
        <v>110.69999999999925</v>
      </c>
      <c r="L165" s="18">
        <f t="shared" si="42"/>
        <v>117.8999999999983</v>
      </c>
      <c r="M165" s="18">
        <f t="shared" si="42"/>
        <v>122.39999999999972</v>
      </c>
      <c r="N165" s="19">
        <f t="shared" si="42"/>
        <v>82.799999999999514</v>
      </c>
      <c r="O165" s="19">
        <f t="shared" si="42"/>
        <v>90.000000000001521</v>
      </c>
      <c r="P165" s="19">
        <f t="shared" si="42"/>
        <v>94.499999999998948</v>
      </c>
      <c r="Q165" s="20">
        <f t="shared" si="42"/>
        <v>78.300000000001162</v>
      </c>
      <c r="R165" s="20">
        <f t="shared" si="42"/>
        <v>85.500000000001251</v>
      </c>
      <c r="S165" s="20">
        <f t="shared" si="42"/>
        <v>90.000000000001521</v>
      </c>
      <c r="T165" s="21">
        <f t="shared" si="42"/>
        <v>73.800000000001376</v>
      </c>
      <c r="U165" s="21">
        <f t="shared" si="44"/>
        <v>81</v>
      </c>
      <c r="V165" s="21">
        <f t="shared" si="44"/>
        <v>85.500000000001251</v>
      </c>
      <c r="W165" s="22">
        <f t="shared" si="44"/>
        <v>69.300000000000125</v>
      </c>
      <c r="X165" s="22">
        <f t="shared" si="44"/>
        <v>76.499999999998749</v>
      </c>
      <c r="Y165" s="22">
        <f t="shared" si="44"/>
        <v>81</v>
      </c>
      <c r="Z165" s="23">
        <f t="shared" si="44"/>
        <v>64.799999999998875</v>
      </c>
      <c r="AA165" s="23">
        <f t="shared" si="44"/>
        <v>71.999999999999304</v>
      </c>
      <c r="AB165" s="23">
        <f t="shared" si="44"/>
        <v>76.499999999998749</v>
      </c>
      <c r="AC165" s="24">
        <f t="shared" si="44"/>
        <v>60.30000000000021</v>
      </c>
      <c r="AD165" s="24">
        <f t="shared" si="44"/>
        <v>67.499999999999801</v>
      </c>
      <c r="AE165" s="24">
        <f t="shared" si="44"/>
        <v>71.999999999999304</v>
      </c>
      <c r="AF165" s="25">
        <f t="shared" si="44"/>
        <v>55.799999999999358</v>
      </c>
      <c r="AG165" s="25">
        <f t="shared" si="44"/>
        <v>63.000000000000625</v>
      </c>
      <c r="AH165" s="25">
        <f t="shared" si="44"/>
        <v>67.499999999999801</v>
      </c>
      <c r="AI165" s="26">
        <f t="shared" si="44"/>
        <v>51.300000000000459</v>
      </c>
      <c r="AJ165" s="26">
        <f t="shared" si="44"/>
        <v>58.499999999999375</v>
      </c>
      <c r="AK165" s="26">
        <f t="shared" si="43"/>
        <v>63.000000000000625</v>
      </c>
    </row>
    <row r="166" spans="4:37" ht="20.100000000000001" customHeight="1">
      <c r="D166" s="27">
        <f t="shared" si="38"/>
        <v>0.45277777777777667</v>
      </c>
      <c r="E166" s="16">
        <f t="shared" si="42"/>
        <v>129.49444444444413</v>
      </c>
      <c r="F166" s="16">
        <f t="shared" si="42"/>
        <v>136.73888888888615</v>
      </c>
      <c r="G166" s="16">
        <f t="shared" si="42"/>
        <v>141.26666666666517</v>
      </c>
      <c r="H166" s="17">
        <f t="shared" si="42"/>
        <v>120.43888888889047</v>
      </c>
      <c r="I166" s="17">
        <f t="shared" si="42"/>
        <v>127.68333333333277</v>
      </c>
      <c r="J166" s="17">
        <f t="shared" si="42"/>
        <v>132.21111111111148</v>
      </c>
      <c r="K166" s="18">
        <f t="shared" si="42"/>
        <v>111.38333333333259</v>
      </c>
      <c r="L166" s="18">
        <f t="shared" si="42"/>
        <v>118.62777777777607</v>
      </c>
      <c r="M166" s="18">
        <f t="shared" si="42"/>
        <v>123.15555555555528</v>
      </c>
      <c r="N166" s="19">
        <f t="shared" si="42"/>
        <v>83.31111111111062</v>
      </c>
      <c r="O166" s="19">
        <f t="shared" si="42"/>
        <v>90.555555555557078</v>
      </c>
      <c r="P166" s="19">
        <f t="shared" si="42"/>
        <v>95.083333333332277</v>
      </c>
      <c r="Q166" s="20">
        <f t="shared" si="42"/>
        <v>78.783333333334497</v>
      </c>
      <c r="R166" s="20">
        <f t="shared" si="42"/>
        <v>86.027777777779022</v>
      </c>
      <c r="S166" s="20">
        <f t="shared" si="42"/>
        <v>90.555555555557078</v>
      </c>
      <c r="T166" s="21">
        <f t="shared" si="42"/>
        <v>74.255555555556924</v>
      </c>
      <c r="U166" s="21">
        <f t="shared" si="44"/>
        <v>81.5</v>
      </c>
      <c r="V166" s="21">
        <f t="shared" si="44"/>
        <v>86.027777777779022</v>
      </c>
      <c r="W166" s="22">
        <f t="shared" si="44"/>
        <v>69.727777777777902</v>
      </c>
      <c r="X166" s="22">
        <f t="shared" si="44"/>
        <v>76.972222222220978</v>
      </c>
      <c r="Y166" s="22">
        <f t="shared" si="44"/>
        <v>81.5</v>
      </c>
      <c r="Z166" s="23">
        <f t="shared" si="44"/>
        <v>65.19999999999888</v>
      </c>
      <c r="AA166" s="23">
        <f t="shared" si="44"/>
        <v>72.444444444443747</v>
      </c>
      <c r="AB166" s="23">
        <f t="shared" si="44"/>
        <v>76.972222222220978</v>
      </c>
      <c r="AC166" s="24">
        <f t="shared" si="44"/>
        <v>60.67222222222243</v>
      </c>
      <c r="AD166" s="24">
        <f t="shared" si="44"/>
        <v>67.916666666666472</v>
      </c>
      <c r="AE166" s="24">
        <f t="shared" si="44"/>
        <v>72.444444444443747</v>
      </c>
      <c r="AF166" s="25">
        <f t="shared" si="44"/>
        <v>56.144444444443799</v>
      </c>
      <c r="AG166" s="25">
        <f t="shared" si="44"/>
        <v>63.388888888889511</v>
      </c>
      <c r="AH166" s="25">
        <f t="shared" si="44"/>
        <v>67.916666666666472</v>
      </c>
      <c r="AI166" s="26">
        <f t="shared" si="44"/>
        <v>51.616666666667129</v>
      </c>
      <c r="AJ166" s="26">
        <f t="shared" si="44"/>
        <v>58.861111111110489</v>
      </c>
      <c r="AK166" s="26">
        <f t="shared" si="43"/>
        <v>63.388888888889511</v>
      </c>
    </row>
    <row r="167" spans="4:37" ht="20.100000000000001" customHeight="1">
      <c r="D167" s="27">
        <f t="shared" si="38"/>
        <v>0.45555555555555444</v>
      </c>
      <c r="E167" s="16">
        <f t="shared" si="42"/>
        <v>130.28888888888858</v>
      </c>
      <c r="F167" s="16">
        <f t="shared" si="42"/>
        <v>137.57777777777505</v>
      </c>
      <c r="G167" s="16">
        <f t="shared" si="42"/>
        <v>142.13333333333185</v>
      </c>
      <c r="H167" s="17">
        <f t="shared" si="42"/>
        <v>121.17777777777937</v>
      </c>
      <c r="I167" s="17">
        <f t="shared" si="42"/>
        <v>128.4666666666661</v>
      </c>
      <c r="J167" s="17">
        <f t="shared" si="42"/>
        <v>133.02222222222258</v>
      </c>
      <c r="K167" s="18">
        <f t="shared" si="42"/>
        <v>112.06666666666592</v>
      </c>
      <c r="L167" s="18">
        <f t="shared" si="42"/>
        <v>119.35555555555385</v>
      </c>
      <c r="M167" s="18">
        <f t="shared" si="42"/>
        <v>123.91111111111084</v>
      </c>
      <c r="N167" s="19">
        <f t="shared" si="42"/>
        <v>83.822222222221725</v>
      </c>
      <c r="O167" s="19">
        <f t="shared" si="42"/>
        <v>91.111111111112635</v>
      </c>
      <c r="P167" s="19">
        <f t="shared" si="42"/>
        <v>95.666666666665606</v>
      </c>
      <c r="Q167" s="20">
        <f t="shared" si="42"/>
        <v>79.266666666667831</v>
      </c>
      <c r="R167" s="20">
        <f t="shared" si="42"/>
        <v>86.555555555556793</v>
      </c>
      <c r="S167" s="20">
        <f t="shared" si="42"/>
        <v>91.111111111112635</v>
      </c>
      <c r="T167" s="21">
        <f t="shared" si="42"/>
        <v>74.711111111112473</v>
      </c>
      <c r="U167" s="21">
        <f t="shared" si="44"/>
        <v>82</v>
      </c>
      <c r="V167" s="21">
        <f t="shared" si="44"/>
        <v>86.555555555556793</v>
      </c>
      <c r="W167" s="22">
        <f t="shared" si="44"/>
        <v>70.155555555555679</v>
      </c>
      <c r="X167" s="22">
        <f t="shared" si="44"/>
        <v>77.444444444443207</v>
      </c>
      <c r="Y167" s="22">
        <f t="shared" si="44"/>
        <v>82</v>
      </c>
      <c r="Z167" s="23">
        <f t="shared" si="44"/>
        <v>65.599999999998886</v>
      </c>
      <c r="AA167" s="23">
        <f t="shared" si="44"/>
        <v>72.888888888888189</v>
      </c>
      <c r="AB167" s="23">
        <f t="shared" si="44"/>
        <v>77.444444444443207</v>
      </c>
      <c r="AC167" s="24">
        <f t="shared" si="44"/>
        <v>61.04444444444465</v>
      </c>
      <c r="AD167" s="24">
        <f t="shared" si="44"/>
        <v>68.333333333333144</v>
      </c>
      <c r="AE167" s="24">
        <f t="shared" si="44"/>
        <v>72.888888888888189</v>
      </c>
      <c r="AF167" s="25">
        <f t="shared" si="44"/>
        <v>56.488888888888241</v>
      </c>
      <c r="AG167" s="25">
        <f t="shared" si="44"/>
        <v>63.777777777778397</v>
      </c>
      <c r="AH167" s="25">
        <f t="shared" si="44"/>
        <v>68.333333333333144</v>
      </c>
      <c r="AI167" s="26">
        <f t="shared" si="44"/>
        <v>51.933333333333799</v>
      </c>
      <c r="AJ167" s="26">
        <f t="shared" si="44"/>
        <v>59.222222222221603</v>
      </c>
      <c r="AK167" s="26">
        <f t="shared" si="43"/>
        <v>63.777777777778397</v>
      </c>
    </row>
    <row r="168" spans="4:37" ht="20.100000000000001" customHeight="1">
      <c r="D168" s="27">
        <f t="shared" si="38"/>
        <v>0.4583333333333322</v>
      </c>
      <c r="E168" s="16">
        <f t="shared" si="42"/>
        <v>131.08333333333303</v>
      </c>
      <c r="F168" s="16">
        <f t="shared" si="42"/>
        <v>138.41666666666396</v>
      </c>
      <c r="G168" s="16">
        <f t="shared" si="42"/>
        <v>142.99999999999852</v>
      </c>
      <c r="H168" s="17">
        <f t="shared" si="42"/>
        <v>121.91666666666826</v>
      </c>
      <c r="I168" s="17">
        <f t="shared" si="42"/>
        <v>129.24999999999943</v>
      </c>
      <c r="J168" s="17">
        <f t="shared" si="42"/>
        <v>133.83333333333368</v>
      </c>
      <c r="K168" s="18">
        <f t="shared" si="42"/>
        <v>112.74999999999926</v>
      </c>
      <c r="L168" s="18">
        <f t="shared" si="42"/>
        <v>120.08333333333162</v>
      </c>
      <c r="M168" s="18">
        <f t="shared" si="42"/>
        <v>124.6666666666664</v>
      </c>
      <c r="N168" s="19">
        <f t="shared" si="42"/>
        <v>84.333333333332831</v>
      </c>
      <c r="O168" s="19">
        <f t="shared" si="42"/>
        <v>91.666666666668192</v>
      </c>
      <c r="P168" s="19">
        <f t="shared" si="42"/>
        <v>96.249999999998934</v>
      </c>
      <c r="Q168" s="20">
        <f t="shared" si="42"/>
        <v>79.750000000001165</v>
      </c>
      <c r="R168" s="20">
        <f t="shared" si="42"/>
        <v>87.083333333334565</v>
      </c>
      <c r="S168" s="20">
        <f t="shared" si="42"/>
        <v>91.666666666668192</v>
      </c>
      <c r="T168" s="21">
        <f t="shared" si="42"/>
        <v>75.166666666668021</v>
      </c>
      <c r="U168" s="21">
        <f t="shared" si="44"/>
        <v>82.5</v>
      </c>
      <c r="V168" s="21">
        <f t="shared" si="44"/>
        <v>87.083333333334565</v>
      </c>
      <c r="W168" s="22">
        <f t="shared" si="44"/>
        <v>70.583333333333456</v>
      </c>
      <c r="X168" s="22">
        <f t="shared" si="44"/>
        <v>77.916666666665435</v>
      </c>
      <c r="Y168" s="22">
        <f t="shared" si="44"/>
        <v>82.5</v>
      </c>
      <c r="Z168" s="23">
        <f>Z169-(Z$363/360)</f>
        <v>65.999999999998892</v>
      </c>
      <c r="AA168" s="23">
        <f t="shared" si="44"/>
        <v>73.333333333332632</v>
      </c>
      <c r="AB168" s="23">
        <f t="shared" si="44"/>
        <v>77.916666666665435</v>
      </c>
      <c r="AC168" s="24">
        <f t="shared" si="44"/>
        <v>61.41666666666687</v>
      </c>
      <c r="AD168" s="24">
        <f t="shared" si="44"/>
        <v>68.749999999999815</v>
      </c>
      <c r="AE168" s="24">
        <f t="shared" si="44"/>
        <v>73.333333333332632</v>
      </c>
      <c r="AF168" s="25">
        <f t="shared" si="44"/>
        <v>56.833333333332682</v>
      </c>
      <c r="AG168" s="25">
        <f t="shared" si="44"/>
        <v>64.166666666667282</v>
      </c>
      <c r="AH168" s="25">
        <f t="shared" si="44"/>
        <v>68.749999999999815</v>
      </c>
      <c r="AI168" s="26">
        <f t="shared" si="44"/>
        <v>52.250000000000469</v>
      </c>
      <c r="AJ168" s="26">
        <f t="shared" si="44"/>
        <v>59.583333333332718</v>
      </c>
      <c r="AK168" s="26">
        <f t="shared" si="43"/>
        <v>64.166666666667282</v>
      </c>
    </row>
    <row r="169" spans="4:37" ht="20.100000000000001" customHeight="1">
      <c r="D169" s="27">
        <f t="shared" si="38"/>
        <v>0.46111111111110997</v>
      </c>
      <c r="E169" s="16">
        <f t="shared" si="42"/>
        <v>131.87777777777748</v>
      </c>
      <c r="F169" s="16">
        <f t="shared" si="42"/>
        <v>139.25555555555286</v>
      </c>
      <c r="G169" s="16">
        <f t="shared" si="42"/>
        <v>143.8666666666652</v>
      </c>
      <c r="H169" s="17">
        <f t="shared" si="42"/>
        <v>122.65555555555716</v>
      </c>
      <c r="I169" s="17">
        <f t="shared" si="42"/>
        <v>130.03333333333276</v>
      </c>
      <c r="J169" s="17">
        <f t="shared" si="42"/>
        <v>134.64444444444479</v>
      </c>
      <c r="K169" s="18">
        <f t="shared" si="42"/>
        <v>113.4333333333326</v>
      </c>
      <c r="L169" s="18">
        <f t="shared" si="42"/>
        <v>120.8111111111094</v>
      </c>
      <c r="M169" s="18">
        <f t="shared" si="42"/>
        <v>125.42222222222196</v>
      </c>
      <c r="N169" s="19">
        <f t="shared" si="42"/>
        <v>84.844444444443937</v>
      </c>
      <c r="O169" s="19">
        <f t="shared" si="42"/>
        <v>92.222222222223749</v>
      </c>
      <c r="P169" s="19">
        <f t="shared" si="42"/>
        <v>96.833333333332263</v>
      </c>
      <c r="Q169" s="20">
        <f t="shared" si="42"/>
        <v>80.2333333333345</v>
      </c>
      <c r="R169" s="20">
        <f t="shared" si="42"/>
        <v>87.611111111112336</v>
      </c>
      <c r="S169" s="20">
        <f t="shared" si="42"/>
        <v>92.222222222223749</v>
      </c>
      <c r="T169" s="21">
        <f t="shared" si="42"/>
        <v>75.62222222222357</v>
      </c>
      <c r="U169" s="21">
        <f t="shared" si="44"/>
        <v>83</v>
      </c>
      <c r="V169" s="21">
        <f t="shared" si="44"/>
        <v>87.611111111112336</v>
      </c>
      <c r="W169" s="22">
        <f t="shared" si="44"/>
        <v>71.011111111111234</v>
      </c>
      <c r="X169" s="22">
        <f t="shared" si="44"/>
        <v>78.388888888887664</v>
      </c>
      <c r="Y169" s="22">
        <f t="shared" si="44"/>
        <v>83</v>
      </c>
      <c r="Z169" s="23">
        <f t="shared" si="44"/>
        <v>66.399999999998897</v>
      </c>
      <c r="AA169" s="23">
        <f t="shared" si="44"/>
        <v>73.777777777777075</v>
      </c>
      <c r="AB169" s="23">
        <f t="shared" si="44"/>
        <v>78.388888888887664</v>
      </c>
      <c r="AC169" s="24">
        <f t="shared" si="44"/>
        <v>61.78888888888909</v>
      </c>
      <c r="AD169" s="24">
        <f t="shared" si="44"/>
        <v>69.166666666666487</v>
      </c>
      <c r="AE169" s="24">
        <f t="shared" si="44"/>
        <v>73.777777777777075</v>
      </c>
      <c r="AF169" s="25">
        <f t="shared" si="44"/>
        <v>57.177777777777123</v>
      </c>
      <c r="AG169" s="25">
        <f t="shared" si="44"/>
        <v>64.555555555556168</v>
      </c>
      <c r="AH169" s="25">
        <f t="shared" si="44"/>
        <v>69.166666666666487</v>
      </c>
      <c r="AI169" s="26">
        <f t="shared" si="44"/>
        <v>52.566666666667139</v>
      </c>
      <c r="AJ169" s="26">
        <f t="shared" si="44"/>
        <v>59.944444444443832</v>
      </c>
      <c r="AK169" s="26">
        <f t="shared" si="43"/>
        <v>64.555555555556168</v>
      </c>
    </row>
    <row r="170" spans="4:37" ht="20.100000000000001" customHeight="1">
      <c r="D170" s="27">
        <f t="shared" si="38"/>
        <v>0.46388888888888774</v>
      </c>
      <c r="E170" s="16">
        <f t="shared" si="42"/>
        <v>132.67222222222193</v>
      </c>
      <c r="F170" s="16">
        <f t="shared" si="42"/>
        <v>140.09444444444176</v>
      </c>
      <c r="G170" s="16">
        <f t="shared" si="42"/>
        <v>144.73333333333187</v>
      </c>
      <c r="H170" s="17">
        <f t="shared" si="42"/>
        <v>123.39444444444605</v>
      </c>
      <c r="I170" s="17">
        <f t="shared" si="42"/>
        <v>130.81666666666609</v>
      </c>
      <c r="J170" s="17">
        <f t="shared" si="42"/>
        <v>135.45555555555589</v>
      </c>
      <c r="K170" s="18">
        <f t="shared" si="42"/>
        <v>114.11666666666594</v>
      </c>
      <c r="L170" s="18">
        <f t="shared" si="42"/>
        <v>121.53888888888717</v>
      </c>
      <c r="M170" s="18">
        <f t="shared" si="42"/>
        <v>126.17777777777752</v>
      </c>
      <c r="N170" s="19">
        <f t="shared" si="42"/>
        <v>85.355555555555043</v>
      </c>
      <c r="O170" s="19">
        <f t="shared" si="42"/>
        <v>92.777777777779306</v>
      </c>
      <c r="P170" s="19">
        <f t="shared" si="42"/>
        <v>97.416666666665591</v>
      </c>
      <c r="Q170" s="20">
        <f t="shared" si="42"/>
        <v>80.716666666667834</v>
      </c>
      <c r="R170" s="20">
        <f t="shared" si="42"/>
        <v>88.138888888890108</v>
      </c>
      <c r="S170" s="20">
        <f t="shared" si="42"/>
        <v>92.777777777779306</v>
      </c>
      <c r="T170" s="21">
        <f t="shared" si="42"/>
        <v>76.077777777779119</v>
      </c>
      <c r="U170" s="21">
        <f t="shared" si="44"/>
        <v>83.5</v>
      </c>
      <c r="V170" s="21">
        <f t="shared" si="44"/>
        <v>88.138888888890108</v>
      </c>
      <c r="W170" s="22">
        <f t="shared" si="44"/>
        <v>71.438888888889011</v>
      </c>
      <c r="X170" s="22">
        <f t="shared" si="44"/>
        <v>78.861111111109892</v>
      </c>
      <c r="Y170" s="22">
        <f t="shared" si="44"/>
        <v>83.5</v>
      </c>
      <c r="Z170" s="23">
        <f t="shared" si="44"/>
        <v>66.799999999998903</v>
      </c>
      <c r="AA170" s="23">
        <f t="shared" si="44"/>
        <v>74.222222222221518</v>
      </c>
      <c r="AB170" s="23">
        <f t="shared" si="44"/>
        <v>78.861111111109892</v>
      </c>
      <c r="AC170" s="24">
        <f t="shared" si="44"/>
        <v>62.16111111111131</v>
      </c>
      <c r="AD170" s="24">
        <f t="shared" si="44"/>
        <v>69.583333333333158</v>
      </c>
      <c r="AE170" s="24">
        <f t="shared" si="44"/>
        <v>74.222222222221518</v>
      </c>
      <c r="AF170" s="25">
        <f t="shared" si="44"/>
        <v>57.522222222221565</v>
      </c>
      <c r="AG170" s="25">
        <f t="shared" si="44"/>
        <v>64.944444444445054</v>
      </c>
      <c r="AH170" s="25">
        <f t="shared" si="44"/>
        <v>69.583333333333158</v>
      </c>
      <c r="AI170" s="26">
        <f t="shared" si="44"/>
        <v>52.883333333333809</v>
      </c>
      <c r="AJ170" s="26">
        <f t="shared" si="44"/>
        <v>60.305555555554946</v>
      </c>
      <c r="AK170" s="26">
        <f t="shared" si="43"/>
        <v>64.944444444445054</v>
      </c>
    </row>
    <row r="171" spans="4:37" ht="20.100000000000001" customHeight="1">
      <c r="D171" s="27">
        <f t="shared" si="38"/>
        <v>0.46666666666666551</v>
      </c>
      <c r="E171" s="16">
        <f t="shared" si="42"/>
        <v>133.46666666666638</v>
      </c>
      <c r="F171" s="16">
        <f t="shared" si="42"/>
        <v>140.93333333333067</v>
      </c>
      <c r="G171" s="16">
        <f t="shared" si="42"/>
        <v>145.59999999999854</v>
      </c>
      <c r="H171" s="17">
        <f t="shared" si="42"/>
        <v>124.13333333333495</v>
      </c>
      <c r="I171" s="17">
        <f t="shared" si="42"/>
        <v>131.59999999999943</v>
      </c>
      <c r="J171" s="17">
        <f t="shared" si="42"/>
        <v>136.26666666666699</v>
      </c>
      <c r="K171" s="18">
        <f t="shared" si="42"/>
        <v>114.79999999999927</v>
      </c>
      <c r="L171" s="18">
        <f t="shared" si="42"/>
        <v>122.26666666666495</v>
      </c>
      <c r="M171" s="18">
        <f t="shared" si="42"/>
        <v>126.93333333333308</v>
      </c>
      <c r="N171" s="19">
        <f t="shared" si="42"/>
        <v>85.866666666666148</v>
      </c>
      <c r="O171" s="19">
        <f t="shared" si="42"/>
        <v>93.333333333334863</v>
      </c>
      <c r="P171" s="19">
        <f t="shared" si="42"/>
        <v>97.99999999999892</v>
      </c>
      <c r="Q171" s="20">
        <f t="shared" si="42"/>
        <v>81.200000000001168</v>
      </c>
      <c r="R171" s="20">
        <f t="shared" si="42"/>
        <v>88.666666666667879</v>
      </c>
      <c r="S171" s="20">
        <f t="shared" si="42"/>
        <v>93.333333333334863</v>
      </c>
      <c r="T171" s="21">
        <f t="shared" si="42"/>
        <v>76.533333333334667</v>
      </c>
      <c r="U171" s="21">
        <f t="shared" si="44"/>
        <v>84</v>
      </c>
      <c r="V171" s="21">
        <f t="shared" si="44"/>
        <v>88.666666666667879</v>
      </c>
      <c r="W171" s="22">
        <f t="shared" si="44"/>
        <v>71.866666666666788</v>
      </c>
      <c r="X171" s="22">
        <f t="shared" si="44"/>
        <v>79.333333333332121</v>
      </c>
      <c r="Y171" s="22">
        <f t="shared" si="44"/>
        <v>84</v>
      </c>
      <c r="Z171" s="23">
        <f t="shared" si="44"/>
        <v>67.199999999998909</v>
      </c>
      <c r="AA171" s="23">
        <f t="shared" si="44"/>
        <v>74.666666666665961</v>
      </c>
      <c r="AB171" s="23">
        <f t="shared" si="44"/>
        <v>79.333333333332121</v>
      </c>
      <c r="AC171" s="24">
        <f t="shared" si="44"/>
        <v>62.53333333333353</v>
      </c>
      <c r="AD171" s="24">
        <f t="shared" si="44"/>
        <v>69.999999999999829</v>
      </c>
      <c r="AE171" s="24">
        <f t="shared" si="44"/>
        <v>74.666666666665961</v>
      </c>
      <c r="AF171" s="25">
        <f t="shared" si="44"/>
        <v>57.866666666666006</v>
      </c>
      <c r="AG171" s="25">
        <f t="shared" si="44"/>
        <v>65.33333333333394</v>
      </c>
      <c r="AH171" s="25">
        <f t="shared" si="44"/>
        <v>69.999999999999829</v>
      </c>
      <c r="AI171" s="26">
        <f t="shared" si="44"/>
        <v>53.200000000000479</v>
      </c>
      <c r="AJ171" s="26">
        <f t="shared" si="44"/>
        <v>60.66666666666606</v>
      </c>
      <c r="AK171" s="26">
        <f t="shared" si="43"/>
        <v>65.33333333333394</v>
      </c>
    </row>
    <row r="172" spans="4:37" ht="20.100000000000001" customHeight="1">
      <c r="D172" s="27">
        <f t="shared" si="38"/>
        <v>0.46944444444444328</v>
      </c>
      <c r="E172" s="16">
        <f t="shared" si="42"/>
        <v>134.26111111111084</v>
      </c>
      <c r="F172" s="16">
        <f t="shared" si="42"/>
        <v>141.77222222221957</v>
      </c>
      <c r="G172" s="16">
        <f t="shared" si="42"/>
        <v>146.46666666666522</v>
      </c>
      <c r="H172" s="17">
        <f t="shared" si="42"/>
        <v>124.87222222222384</v>
      </c>
      <c r="I172" s="17">
        <f t="shared" si="42"/>
        <v>132.38333333333276</v>
      </c>
      <c r="J172" s="17">
        <f t="shared" si="42"/>
        <v>137.0777777777781</v>
      </c>
      <c r="K172" s="18">
        <f t="shared" si="42"/>
        <v>115.48333333333261</v>
      </c>
      <c r="L172" s="18">
        <f t="shared" si="42"/>
        <v>122.99444444444272</v>
      </c>
      <c r="M172" s="18">
        <f t="shared" si="42"/>
        <v>127.68888888888864</v>
      </c>
      <c r="N172" s="19">
        <f t="shared" si="42"/>
        <v>86.377777777777254</v>
      </c>
      <c r="O172" s="19">
        <f t="shared" si="42"/>
        <v>93.888888888890421</v>
      </c>
      <c r="P172" s="19">
        <f t="shared" si="42"/>
        <v>98.583333333332249</v>
      </c>
      <c r="Q172" s="20">
        <f t="shared" si="42"/>
        <v>81.683333333334502</v>
      </c>
      <c r="R172" s="20">
        <f t="shared" si="42"/>
        <v>89.194444444445651</v>
      </c>
      <c r="S172" s="20">
        <f t="shared" si="42"/>
        <v>93.888888888890421</v>
      </c>
      <c r="T172" s="21">
        <f t="shared" si="42"/>
        <v>76.988888888890216</v>
      </c>
      <c r="U172" s="21">
        <f t="shared" si="44"/>
        <v>84.5</v>
      </c>
      <c r="V172" s="21">
        <f t="shared" si="44"/>
        <v>89.194444444445651</v>
      </c>
      <c r="W172" s="22">
        <f t="shared" si="44"/>
        <v>72.294444444444565</v>
      </c>
      <c r="X172" s="22">
        <f t="shared" si="44"/>
        <v>79.805555555554349</v>
      </c>
      <c r="Y172" s="22">
        <f t="shared" si="44"/>
        <v>84.5</v>
      </c>
      <c r="Z172" s="23">
        <f t="shared" si="44"/>
        <v>67.599999999998914</v>
      </c>
      <c r="AA172" s="23">
        <f t="shared" si="44"/>
        <v>75.111111111110404</v>
      </c>
      <c r="AB172" s="23">
        <f t="shared" si="44"/>
        <v>79.805555555554349</v>
      </c>
      <c r="AC172" s="24">
        <f t="shared" si="44"/>
        <v>62.90555555555575</v>
      </c>
      <c r="AD172" s="24">
        <f t="shared" si="44"/>
        <v>70.416666666666501</v>
      </c>
      <c r="AE172" s="24">
        <f t="shared" si="44"/>
        <v>75.111111111110404</v>
      </c>
      <c r="AF172" s="25">
        <f t="shared" si="44"/>
        <v>58.211111111110448</v>
      </c>
      <c r="AG172" s="25">
        <f t="shared" si="44"/>
        <v>65.722222222222825</v>
      </c>
      <c r="AH172" s="25">
        <f t="shared" si="44"/>
        <v>70.416666666666501</v>
      </c>
      <c r="AI172" s="26">
        <f t="shared" si="44"/>
        <v>53.516666666667149</v>
      </c>
      <c r="AJ172" s="26">
        <f t="shared" si="44"/>
        <v>61.027777777777175</v>
      </c>
      <c r="AK172" s="26">
        <f t="shared" si="43"/>
        <v>65.722222222222825</v>
      </c>
    </row>
    <row r="173" spans="4:37" ht="20.100000000000001" customHeight="1">
      <c r="D173" s="27">
        <f t="shared" si="38"/>
        <v>0.47222222222222104</v>
      </c>
      <c r="E173" s="16">
        <f t="shared" si="42"/>
        <v>135.05555555555529</v>
      </c>
      <c r="F173" s="16">
        <f t="shared" si="42"/>
        <v>142.61111111110847</v>
      </c>
      <c r="G173" s="16">
        <f t="shared" si="42"/>
        <v>147.33333333333189</v>
      </c>
      <c r="H173" s="17">
        <f t="shared" si="42"/>
        <v>125.61111111111273</v>
      </c>
      <c r="I173" s="17">
        <f t="shared" si="42"/>
        <v>133.16666666666609</v>
      </c>
      <c r="J173" s="17">
        <f t="shared" si="42"/>
        <v>137.8888888888892</v>
      </c>
      <c r="K173" s="18">
        <f t="shared" si="42"/>
        <v>116.16666666666595</v>
      </c>
      <c r="L173" s="18">
        <f t="shared" si="42"/>
        <v>123.72222222222049</v>
      </c>
      <c r="M173" s="18">
        <f t="shared" si="42"/>
        <v>128.4444444444442</v>
      </c>
      <c r="N173" s="19">
        <f t="shared" si="42"/>
        <v>86.88888888888836</v>
      </c>
      <c r="O173" s="19">
        <f t="shared" si="42"/>
        <v>94.444444444445978</v>
      </c>
      <c r="P173" s="19">
        <f t="shared" si="42"/>
        <v>99.166666666665577</v>
      </c>
      <c r="Q173" s="20">
        <f t="shared" si="42"/>
        <v>82.166666666667837</v>
      </c>
      <c r="R173" s="20">
        <f t="shared" si="42"/>
        <v>89.722222222223422</v>
      </c>
      <c r="S173" s="20">
        <f t="shared" si="42"/>
        <v>94.444444444445978</v>
      </c>
      <c r="T173" s="21">
        <f t="shared" si="42"/>
        <v>77.444444444445764</v>
      </c>
      <c r="U173" s="21">
        <f t="shared" si="44"/>
        <v>85</v>
      </c>
      <c r="V173" s="21">
        <f t="shared" si="44"/>
        <v>89.722222222223422</v>
      </c>
      <c r="W173" s="22">
        <f t="shared" si="44"/>
        <v>72.722222222222342</v>
      </c>
      <c r="X173" s="22">
        <f t="shared" si="44"/>
        <v>80.277777777776578</v>
      </c>
      <c r="Y173" s="22">
        <f t="shared" si="44"/>
        <v>85</v>
      </c>
      <c r="Z173" s="23">
        <f t="shared" si="44"/>
        <v>67.99999999999892</v>
      </c>
      <c r="AA173" s="23">
        <f t="shared" si="44"/>
        <v>75.555555555554847</v>
      </c>
      <c r="AB173" s="23">
        <f t="shared" si="44"/>
        <v>80.277777777776578</v>
      </c>
      <c r="AC173" s="24">
        <f t="shared" si="44"/>
        <v>63.27777777777797</v>
      </c>
      <c r="AD173" s="24">
        <f t="shared" si="44"/>
        <v>70.833333333333172</v>
      </c>
      <c r="AE173" s="24">
        <f t="shared" si="44"/>
        <v>75.555555555554847</v>
      </c>
      <c r="AF173" s="25">
        <f t="shared" si="44"/>
        <v>58.555555555554889</v>
      </c>
      <c r="AG173" s="25">
        <f t="shared" si="44"/>
        <v>66.111111111111711</v>
      </c>
      <c r="AH173" s="25">
        <f t="shared" si="44"/>
        <v>70.833333333333172</v>
      </c>
      <c r="AI173" s="26">
        <f t="shared" si="44"/>
        <v>53.833333333333819</v>
      </c>
      <c r="AJ173" s="26">
        <f t="shared" si="44"/>
        <v>61.388888888888289</v>
      </c>
      <c r="AK173" s="26">
        <f t="shared" si="43"/>
        <v>66.111111111111711</v>
      </c>
    </row>
    <row r="174" spans="4:37" ht="20.100000000000001" customHeight="1">
      <c r="D174" s="27">
        <f t="shared" si="38"/>
        <v>0.47499999999999881</v>
      </c>
      <c r="E174" s="16">
        <f t="shared" si="42"/>
        <v>135.84999999999974</v>
      </c>
      <c r="F174" s="16">
        <f t="shared" si="42"/>
        <v>143.44999999999737</v>
      </c>
      <c r="G174" s="16">
        <f t="shared" si="42"/>
        <v>148.19999999999857</v>
      </c>
      <c r="H174" s="17">
        <f t="shared" si="42"/>
        <v>126.35000000000163</v>
      </c>
      <c r="I174" s="17">
        <f t="shared" si="42"/>
        <v>133.94999999999942</v>
      </c>
      <c r="J174" s="17">
        <f t="shared" si="42"/>
        <v>138.7000000000003</v>
      </c>
      <c r="K174" s="18">
        <f t="shared" si="42"/>
        <v>116.84999999999928</v>
      </c>
      <c r="L174" s="18">
        <f t="shared" si="42"/>
        <v>124.44999999999827</v>
      </c>
      <c r="M174" s="18">
        <f t="shared" si="42"/>
        <v>129.19999999999976</v>
      </c>
      <c r="N174" s="19">
        <f t="shared" si="42"/>
        <v>87.399999999999466</v>
      </c>
      <c r="O174" s="19">
        <f t="shared" si="42"/>
        <v>95.000000000001535</v>
      </c>
      <c r="P174" s="19">
        <f t="shared" si="42"/>
        <v>99.749999999998906</v>
      </c>
      <c r="Q174" s="20">
        <f t="shared" si="42"/>
        <v>82.650000000001171</v>
      </c>
      <c r="R174" s="20">
        <f t="shared" si="42"/>
        <v>90.250000000001194</v>
      </c>
      <c r="S174" s="20">
        <f t="shared" si="42"/>
        <v>95.000000000001535</v>
      </c>
      <c r="T174" s="21">
        <f t="shared" si="42"/>
        <v>77.900000000001313</v>
      </c>
      <c r="U174" s="21">
        <f t="shared" si="44"/>
        <v>85.5</v>
      </c>
      <c r="V174" s="21">
        <f t="shared" si="44"/>
        <v>90.250000000001194</v>
      </c>
      <c r="W174" s="22">
        <f t="shared" si="44"/>
        <v>73.150000000000119</v>
      </c>
      <c r="X174" s="22">
        <f t="shared" si="44"/>
        <v>80.749999999998806</v>
      </c>
      <c r="Y174" s="22">
        <f t="shared" si="44"/>
        <v>85.5</v>
      </c>
      <c r="Z174" s="23">
        <f t="shared" si="44"/>
        <v>68.399999999998926</v>
      </c>
      <c r="AA174" s="23">
        <f t="shared" si="44"/>
        <v>75.999999999999289</v>
      </c>
      <c r="AB174" s="23">
        <f t="shared" si="44"/>
        <v>80.749999999998806</v>
      </c>
      <c r="AC174" s="24">
        <f t="shared" si="44"/>
        <v>63.65000000000019</v>
      </c>
      <c r="AD174" s="24">
        <f t="shared" si="44"/>
        <v>71.249999999999844</v>
      </c>
      <c r="AE174" s="24">
        <f t="shared" si="44"/>
        <v>75.999999999999289</v>
      </c>
      <c r="AF174" s="25">
        <f t="shared" si="44"/>
        <v>58.899999999999331</v>
      </c>
      <c r="AG174" s="25">
        <f t="shared" si="44"/>
        <v>66.500000000000597</v>
      </c>
      <c r="AH174" s="25">
        <f t="shared" si="44"/>
        <v>71.249999999999844</v>
      </c>
      <c r="AI174" s="26">
        <f t="shared" si="44"/>
        <v>54.150000000000489</v>
      </c>
      <c r="AJ174" s="26">
        <f t="shared" si="44"/>
        <v>61.749999999999403</v>
      </c>
      <c r="AK174" s="26">
        <f t="shared" si="43"/>
        <v>66.500000000000597</v>
      </c>
    </row>
    <row r="175" spans="4:37" ht="20.100000000000001" customHeight="1">
      <c r="D175" s="27">
        <f t="shared" si="38"/>
        <v>0.47777777777777658</v>
      </c>
      <c r="E175" s="16">
        <f t="shared" si="42"/>
        <v>136.64444444444419</v>
      </c>
      <c r="F175" s="16">
        <f t="shared" si="42"/>
        <v>144.28888888888628</v>
      </c>
      <c r="G175" s="16">
        <f t="shared" si="42"/>
        <v>149.06666666666524</v>
      </c>
      <c r="H175" s="17">
        <f t="shared" si="42"/>
        <v>127.08888888889052</v>
      </c>
      <c r="I175" s="17">
        <f t="shared" si="42"/>
        <v>134.73333333333275</v>
      </c>
      <c r="J175" s="17">
        <f t="shared" si="42"/>
        <v>139.5111111111114</v>
      </c>
      <c r="K175" s="18">
        <f t="shared" si="42"/>
        <v>117.53333333333262</v>
      </c>
      <c r="L175" s="18">
        <f t="shared" si="42"/>
        <v>125.17777777777604</v>
      </c>
      <c r="M175" s="18">
        <f t="shared" si="42"/>
        <v>129.95555555555532</v>
      </c>
      <c r="N175" s="19">
        <f t="shared" si="42"/>
        <v>87.911111111110571</v>
      </c>
      <c r="O175" s="19">
        <f t="shared" si="42"/>
        <v>95.555555555557092</v>
      </c>
      <c r="P175" s="19">
        <f t="shared" si="42"/>
        <v>100.33333333333223</v>
      </c>
      <c r="Q175" s="20">
        <f t="shared" si="42"/>
        <v>83.133333333334505</v>
      </c>
      <c r="R175" s="20">
        <f t="shared" si="42"/>
        <v>90.777777777778965</v>
      </c>
      <c r="S175" s="20">
        <f t="shared" si="42"/>
        <v>95.555555555557092</v>
      </c>
      <c r="T175" s="21">
        <f t="shared" si="42"/>
        <v>78.355555555556862</v>
      </c>
      <c r="U175" s="21">
        <f t="shared" si="44"/>
        <v>86</v>
      </c>
      <c r="V175" s="21">
        <f t="shared" si="44"/>
        <v>90.777777777778965</v>
      </c>
      <c r="W175" s="22">
        <f t="shared" si="44"/>
        <v>73.577777777777897</v>
      </c>
      <c r="X175" s="22">
        <f t="shared" si="44"/>
        <v>81.222222222221035</v>
      </c>
      <c r="Y175" s="22">
        <f t="shared" si="44"/>
        <v>86</v>
      </c>
      <c r="Z175" s="23">
        <f t="shared" si="44"/>
        <v>68.799999999998931</v>
      </c>
      <c r="AA175" s="23">
        <f t="shared" si="44"/>
        <v>76.444444444443732</v>
      </c>
      <c r="AB175" s="23">
        <f t="shared" si="44"/>
        <v>81.222222222221035</v>
      </c>
      <c r="AC175" s="24">
        <f t="shared" si="44"/>
        <v>64.02222222222241</v>
      </c>
      <c r="AD175" s="24">
        <f t="shared" si="44"/>
        <v>71.666666666666515</v>
      </c>
      <c r="AE175" s="24">
        <f t="shared" si="44"/>
        <v>76.444444444443732</v>
      </c>
      <c r="AF175" s="25">
        <f t="shared" si="43"/>
        <v>59.244444444443772</v>
      </c>
      <c r="AG175" s="25">
        <f t="shared" si="43"/>
        <v>66.888888888889483</v>
      </c>
      <c r="AH175" s="25">
        <f t="shared" si="43"/>
        <v>71.666666666666515</v>
      </c>
      <c r="AI175" s="26">
        <f t="shared" si="43"/>
        <v>54.466666666667159</v>
      </c>
      <c r="AJ175" s="26">
        <f t="shared" si="43"/>
        <v>62.111111111110517</v>
      </c>
      <c r="AK175" s="26">
        <f t="shared" si="43"/>
        <v>66.888888888889483</v>
      </c>
    </row>
    <row r="176" spans="4:37" ht="20.100000000000001" customHeight="1">
      <c r="D176" s="27">
        <f t="shared" si="38"/>
        <v>0.48055555555555435</v>
      </c>
      <c r="E176" s="16">
        <f t="shared" si="42"/>
        <v>137.43888888888864</v>
      </c>
      <c r="F176" s="16">
        <f t="shared" si="42"/>
        <v>145.12777777777518</v>
      </c>
      <c r="G176" s="16">
        <f t="shared" si="42"/>
        <v>149.93333333333192</v>
      </c>
      <c r="H176" s="17">
        <f t="shared" si="42"/>
        <v>127.82777777777942</v>
      </c>
      <c r="I176" s="17">
        <f t="shared" si="42"/>
        <v>135.51666666666608</v>
      </c>
      <c r="J176" s="17">
        <f t="shared" si="42"/>
        <v>140.32222222222251</v>
      </c>
      <c r="K176" s="18">
        <f t="shared" si="42"/>
        <v>118.21666666666596</v>
      </c>
      <c r="L176" s="18">
        <f t="shared" si="42"/>
        <v>125.90555555555382</v>
      </c>
      <c r="M176" s="18">
        <f t="shared" si="42"/>
        <v>130.71111111111088</v>
      </c>
      <c r="N176" s="19">
        <f t="shared" si="42"/>
        <v>88.422222222221677</v>
      </c>
      <c r="O176" s="19">
        <f t="shared" si="42"/>
        <v>96.111111111112649</v>
      </c>
      <c r="P176" s="19">
        <f t="shared" si="42"/>
        <v>100.91666666666556</v>
      </c>
      <c r="Q176" s="20">
        <f t="shared" si="42"/>
        <v>83.61666666666784</v>
      </c>
      <c r="R176" s="20">
        <f t="shared" si="42"/>
        <v>91.305555555556737</v>
      </c>
      <c r="S176" s="20">
        <f t="shared" si="42"/>
        <v>96.111111111112649</v>
      </c>
      <c r="T176" s="21">
        <f t="shared" si="42"/>
        <v>78.81111111111241</v>
      </c>
      <c r="U176" s="21">
        <f t="shared" si="44"/>
        <v>86.5</v>
      </c>
      <c r="V176" s="21">
        <f t="shared" si="44"/>
        <v>91.305555555556737</v>
      </c>
      <c r="W176" s="22">
        <f t="shared" si="44"/>
        <v>74.005555555555674</v>
      </c>
      <c r="X176" s="22">
        <f t="shared" si="44"/>
        <v>81.694444444443263</v>
      </c>
      <c r="Y176" s="22">
        <f t="shared" si="44"/>
        <v>86.5</v>
      </c>
      <c r="Z176" s="23">
        <f t="shared" si="44"/>
        <v>69.199999999998937</v>
      </c>
      <c r="AA176" s="23">
        <f t="shared" si="44"/>
        <v>76.888888888888175</v>
      </c>
      <c r="AB176" s="23">
        <f t="shared" si="44"/>
        <v>81.694444444443263</v>
      </c>
      <c r="AC176" s="24">
        <f t="shared" si="44"/>
        <v>64.39444444444463</v>
      </c>
      <c r="AD176" s="24">
        <f t="shared" si="44"/>
        <v>72.083333333333186</v>
      </c>
      <c r="AE176" s="24">
        <f t="shared" si="44"/>
        <v>76.888888888888175</v>
      </c>
      <c r="AF176" s="25">
        <f t="shared" si="43"/>
        <v>59.588888888888214</v>
      </c>
      <c r="AG176" s="25">
        <f t="shared" si="43"/>
        <v>67.277777777778368</v>
      </c>
      <c r="AH176" s="25">
        <f t="shared" si="43"/>
        <v>72.083333333333186</v>
      </c>
      <c r="AI176" s="26">
        <f t="shared" si="43"/>
        <v>54.783333333333829</v>
      </c>
      <c r="AJ176" s="26">
        <f t="shared" si="43"/>
        <v>62.472222222221632</v>
      </c>
      <c r="AK176" s="26">
        <f t="shared" si="43"/>
        <v>67.277777777778368</v>
      </c>
    </row>
    <row r="177" spans="4:37" ht="20.100000000000001" customHeight="1">
      <c r="D177" s="27">
        <f t="shared" si="38"/>
        <v>0.48333333333333212</v>
      </c>
      <c r="E177" s="16">
        <f t="shared" si="42"/>
        <v>138.23333333333309</v>
      </c>
      <c r="F177" s="16">
        <f t="shared" si="42"/>
        <v>145.96666666666408</v>
      </c>
      <c r="G177" s="16">
        <f t="shared" si="42"/>
        <v>150.79999999999859</v>
      </c>
      <c r="H177" s="17">
        <f t="shared" si="42"/>
        <v>128.56666666666831</v>
      </c>
      <c r="I177" s="17">
        <f t="shared" si="42"/>
        <v>136.29999999999941</v>
      </c>
      <c r="J177" s="17">
        <f t="shared" si="42"/>
        <v>141.13333333333361</v>
      </c>
      <c r="K177" s="18">
        <f t="shared" si="42"/>
        <v>118.8999999999993</v>
      </c>
      <c r="L177" s="18">
        <f t="shared" si="42"/>
        <v>126.63333333333159</v>
      </c>
      <c r="M177" s="18">
        <f t="shared" si="42"/>
        <v>131.46666666666644</v>
      </c>
      <c r="N177" s="19">
        <f t="shared" si="42"/>
        <v>88.933333333332783</v>
      </c>
      <c r="O177" s="19">
        <f t="shared" si="42"/>
        <v>96.666666666668206</v>
      </c>
      <c r="P177" s="19">
        <f t="shared" si="42"/>
        <v>101.49999999999889</v>
      </c>
      <c r="Q177" s="20">
        <f t="shared" si="42"/>
        <v>84.100000000001174</v>
      </c>
      <c r="R177" s="20">
        <f t="shared" si="42"/>
        <v>91.833333333334508</v>
      </c>
      <c r="S177" s="20">
        <f t="shared" si="42"/>
        <v>96.666666666668206</v>
      </c>
      <c r="T177" s="21">
        <f>T178-(T$363/360)</f>
        <v>79.266666666667959</v>
      </c>
      <c r="U177" s="21">
        <f t="shared" si="44"/>
        <v>87</v>
      </c>
      <c r="V177" s="21">
        <f t="shared" si="44"/>
        <v>91.833333333334508</v>
      </c>
      <c r="W177" s="22">
        <f t="shared" si="44"/>
        <v>74.433333333333451</v>
      </c>
      <c r="X177" s="22">
        <f t="shared" si="44"/>
        <v>82.166666666665492</v>
      </c>
      <c r="Y177" s="22">
        <f t="shared" si="44"/>
        <v>87</v>
      </c>
      <c r="Z177" s="23">
        <f t="shared" si="44"/>
        <v>69.599999999998943</v>
      </c>
      <c r="AA177" s="23">
        <f t="shared" si="44"/>
        <v>77.333333333332618</v>
      </c>
      <c r="AB177" s="23">
        <f t="shared" si="44"/>
        <v>82.166666666665492</v>
      </c>
      <c r="AC177" s="24">
        <f t="shared" si="44"/>
        <v>64.76666666666685</v>
      </c>
      <c r="AD177" s="24">
        <f t="shared" si="44"/>
        <v>72.499999999999858</v>
      </c>
      <c r="AE177" s="24">
        <f t="shared" si="44"/>
        <v>77.333333333332618</v>
      </c>
      <c r="AF177" s="25">
        <f t="shared" si="43"/>
        <v>59.933333333332655</v>
      </c>
      <c r="AG177" s="25">
        <f t="shared" si="43"/>
        <v>67.666666666667254</v>
      </c>
      <c r="AH177" s="25">
        <f t="shared" si="43"/>
        <v>72.499999999999858</v>
      </c>
      <c r="AI177" s="26">
        <f t="shared" si="43"/>
        <v>55.100000000000499</v>
      </c>
      <c r="AJ177" s="26">
        <f t="shared" si="43"/>
        <v>62.833333333332746</v>
      </c>
      <c r="AK177" s="26">
        <f t="shared" si="43"/>
        <v>67.666666666667254</v>
      </c>
    </row>
    <row r="178" spans="4:37" ht="20.100000000000001" customHeight="1">
      <c r="D178" s="27">
        <f t="shared" si="38"/>
        <v>0.48611111111110988</v>
      </c>
      <c r="E178" s="16">
        <f t="shared" ref="E178:T193" si="45">E179-(E$363/360)</f>
        <v>139.02777777777754</v>
      </c>
      <c r="F178" s="16">
        <f t="shared" si="45"/>
        <v>146.80555555555298</v>
      </c>
      <c r="G178" s="16">
        <f t="shared" si="45"/>
        <v>151.66666666666526</v>
      </c>
      <c r="H178" s="17">
        <f t="shared" si="45"/>
        <v>129.30555555555719</v>
      </c>
      <c r="I178" s="17">
        <f t="shared" si="45"/>
        <v>137.08333333333275</v>
      </c>
      <c r="J178" s="17">
        <f t="shared" si="45"/>
        <v>141.94444444444471</v>
      </c>
      <c r="K178" s="18">
        <f t="shared" si="45"/>
        <v>119.58333333333263</v>
      </c>
      <c r="L178" s="18">
        <f t="shared" si="45"/>
        <v>127.36111111110937</v>
      </c>
      <c r="M178" s="18">
        <f t="shared" si="45"/>
        <v>132.222222222222</v>
      </c>
      <c r="N178" s="19">
        <f t="shared" si="45"/>
        <v>89.444444444443889</v>
      </c>
      <c r="O178" s="19">
        <f t="shared" si="45"/>
        <v>97.222222222223763</v>
      </c>
      <c r="P178" s="19">
        <f t="shared" si="45"/>
        <v>102.08333333333222</v>
      </c>
      <c r="Q178" s="20">
        <f t="shared" si="45"/>
        <v>84.583333333334508</v>
      </c>
      <c r="R178" s="20">
        <f t="shared" si="45"/>
        <v>92.36111111111228</v>
      </c>
      <c r="S178" s="20">
        <f t="shared" si="45"/>
        <v>97.222222222223763</v>
      </c>
      <c r="T178" s="21">
        <f t="shared" si="45"/>
        <v>79.722222222223508</v>
      </c>
      <c r="U178" s="21">
        <f t="shared" si="44"/>
        <v>87.5</v>
      </c>
      <c r="V178" s="21">
        <f t="shared" si="44"/>
        <v>92.36111111111228</v>
      </c>
      <c r="W178" s="22">
        <f t="shared" si="44"/>
        <v>74.861111111111228</v>
      </c>
      <c r="X178" s="22">
        <f t="shared" si="44"/>
        <v>82.63888888888772</v>
      </c>
      <c r="Y178" s="22">
        <f t="shared" si="44"/>
        <v>87.5</v>
      </c>
      <c r="Z178" s="23">
        <f t="shared" si="44"/>
        <v>69.999999999998948</v>
      </c>
      <c r="AA178" s="23">
        <f t="shared" si="44"/>
        <v>77.777777777777061</v>
      </c>
      <c r="AB178" s="23">
        <f t="shared" si="44"/>
        <v>82.63888888888772</v>
      </c>
      <c r="AC178" s="24">
        <f t="shared" si="44"/>
        <v>65.13888888888907</v>
      </c>
      <c r="AD178" s="24">
        <f t="shared" si="44"/>
        <v>72.916666666666529</v>
      </c>
      <c r="AE178" s="24">
        <f t="shared" si="44"/>
        <v>77.777777777777061</v>
      </c>
      <c r="AF178" s="25">
        <f t="shared" si="43"/>
        <v>60.277777777777096</v>
      </c>
      <c r="AG178" s="25">
        <f t="shared" si="43"/>
        <v>68.05555555555614</v>
      </c>
      <c r="AH178" s="25">
        <f t="shared" si="43"/>
        <v>72.916666666666529</v>
      </c>
      <c r="AI178" s="26">
        <f t="shared" si="43"/>
        <v>55.416666666667169</v>
      </c>
      <c r="AJ178" s="26">
        <f t="shared" si="43"/>
        <v>63.19444444444386</v>
      </c>
      <c r="AK178" s="26">
        <f t="shared" si="43"/>
        <v>68.05555555555614</v>
      </c>
    </row>
    <row r="179" spans="4:37" ht="20.100000000000001" customHeight="1">
      <c r="D179" s="27">
        <f t="shared" si="38"/>
        <v>0.48888888888888765</v>
      </c>
      <c r="E179" s="16">
        <f t="shared" si="45"/>
        <v>139.822222222222</v>
      </c>
      <c r="F179" s="16">
        <f t="shared" si="45"/>
        <v>147.64444444444189</v>
      </c>
      <c r="G179" s="16">
        <f t="shared" si="45"/>
        <v>152.53333333333194</v>
      </c>
      <c r="H179" s="17">
        <f t="shared" si="45"/>
        <v>130.04444444444607</v>
      </c>
      <c r="I179" s="17">
        <f t="shared" si="45"/>
        <v>137.86666666666608</v>
      </c>
      <c r="J179" s="17">
        <f t="shared" si="45"/>
        <v>142.75555555555582</v>
      </c>
      <c r="K179" s="18">
        <f t="shared" si="45"/>
        <v>120.26666666666597</v>
      </c>
      <c r="L179" s="18">
        <f t="shared" si="45"/>
        <v>128.08888888888714</v>
      </c>
      <c r="M179" s="18">
        <f t="shared" si="45"/>
        <v>132.97777777777756</v>
      </c>
      <c r="N179" s="19">
        <f t="shared" si="45"/>
        <v>89.955555555554994</v>
      </c>
      <c r="O179" s="19">
        <f t="shared" si="45"/>
        <v>97.77777777777932</v>
      </c>
      <c r="P179" s="19">
        <f t="shared" si="45"/>
        <v>102.66666666666555</v>
      </c>
      <c r="Q179" s="20">
        <f t="shared" si="45"/>
        <v>85.066666666667842</v>
      </c>
      <c r="R179" s="20">
        <f t="shared" si="45"/>
        <v>92.888888888890051</v>
      </c>
      <c r="S179" s="20">
        <f t="shared" si="45"/>
        <v>97.77777777777932</v>
      </c>
      <c r="T179" s="21">
        <f t="shared" si="45"/>
        <v>80.177777777779056</v>
      </c>
      <c r="U179" s="21">
        <f t="shared" si="44"/>
        <v>88</v>
      </c>
      <c r="V179" s="21">
        <f t="shared" si="44"/>
        <v>92.888888888890051</v>
      </c>
      <c r="W179" s="22">
        <f t="shared" si="44"/>
        <v>75.288888888889005</v>
      </c>
      <c r="X179" s="22">
        <f t="shared" si="44"/>
        <v>83.111111111109949</v>
      </c>
      <c r="Y179" s="22">
        <f t="shared" si="44"/>
        <v>88</v>
      </c>
      <c r="Z179" s="23">
        <f t="shared" si="44"/>
        <v>70.399999999998954</v>
      </c>
      <c r="AA179" s="23">
        <f t="shared" si="44"/>
        <v>78.222222222221504</v>
      </c>
      <c r="AB179" s="23">
        <f t="shared" si="44"/>
        <v>83.111111111109949</v>
      </c>
      <c r="AC179" s="24">
        <f t="shared" si="44"/>
        <v>65.51111111111129</v>
      </c>
      <c r="AD179" s="24">
        <f t="shared" si="44"/>
        <v>73.333333333333201</v>
      </c>
      <c r="AE179" s="24">
        <f t="shared" si="44"/>
        <v>78.222222222221504</v>
      </c>
      <c r="AF179" s="25">
        <f t="shared" si="43"/>
        <v>60.622222222221538</v>
      </c>
      <c r="AG179" s="25">
        <f t="shared" si="43"/>
        <v>68.444444444445026</v>
      </c>
      <c r="AH179" s="25">
        <f t="shared" si="43"/>
        <v>73.333333333333201</v>
      </c>
      <c r="AI179" s="26">
        <f t="shared" si="43"/>
        <v>55.733333333333839</v>
      </c>
      <c r="AJ179" s="26">
        <f t="shared" si="43"/>
        <v>63.555555555554974</v>
      </c>
      <c r="AK179" s="26">
        <f t="shared" si="43"/>
        <v>68.444444444445026</v>
      </c>
    </row>
    <row r="180" spans="4:37" ht="20.100000000000001" customHeight="1">
      <c r="D180" s="27">
        <f t="shared" si="38"/>
        <v>0.49166666666666542</v>
      </c>
      <c r="E180" s="16">
        <f t="shared" si="45"/>
        <v>140.61666666666645</v>
      </c>
      <c r="F180" s="16">
        <f t="shared" si="45"/>
        <v>148.48333333333079</v>
      </c>
      <c r="G180" s="16">
        <f t="shared" si="45"/>
        <v>153.39999999999861</v>
      </c>
      <c r="H180" s="17">
        <f t="shared" si="45"/>
        <v>130.78333333333495</v>
      </c>
      <c r="I180" s="17">
        <f t="shared" si="45"/>
        <v>138.64999999999941</v>
      </c>
      <c r="J180" s="17">
        <f t="shared" si="45"/>
        <v>143.56666666666692</v>
      </c>
      <c r="K180" s="18">
        <f t="shared" si="45"/>
        <v>120.94999999999931</v>
      </c>
      <c r="L180" s="18">
        <f t="shared" si="45"/>
        <v>128.81666666666493</v>
      </c>
      <c r="M180" s="18">
        <f t="shared" si="45"/>
        <v>133.73333333333312</v>
      </c>
      <c r="N180" s="19">
        <f t="shared" si="45"/>
        <v>90.4666666666661</v>
      </c>
      <c r="O180" s="19">
        <f t="shared" si="45"/>
        <v>98.333333333334878</v>
      </c>
      <c r="P180" s="19">
        <f t="shared" si="45"/>
        <v>103.24999999999888</v>
      </c>
      <c r="Q180" s="20">
        <f t="shared" si="45"/>
        <v>85.550000000001177</v>
      </c>
      <c r="R180" s="20">
        <f t="shared" si="45"/>
        <v>93.416666666667822</v>
      </c>
      <c r="S180" s="20">
        <f t="shared" si="45"/>
        <v>98.333333333334878</v>
      </c>
      <c r="T180" s="21">
        <f t="shared" si="45"/>
        <v>80.633333333334605</v>
      </c>
      <c r="U180" s="21">
        <f t="shared" si="44"/>
        <v>88.5</v>
      </c>
      <c r="V180" s="21">
        <f t="shared" si="44"/>
        <v>93.416666666667822</v>
      </c>
      <c r="W180" s="22">
        <f t="shared" si="44"/>
        <v>75.716666666666782</v>
      </c>
      <c r="X180" s="22">
        <f t="shared" si="44"/>
        <v>83.583333333332178</v>
      </c>
      <c r="Y180" s="22">
        <f t="shared" si="44"/>
        <v>88.5</v>
      </c>
      <c r="Z180" s="23">
        <f t="shared" si="44"/>
        <v>70.79999999999896</v>
      </c>
      <c r="AA180" s="23">
        <f t="shared" si="44"/>
        <v>78.666666666665947</v>
      </c>
      <c r="AB180" s="23">
        <f t="shared" si="44"/>
        <v>83.583333333332178</v>
      </c>
      <c r="AC180" s="24">
        <f t="shared" si="44"/>
        <v>65.88333333333351</v>
      </c>
      <c r="AD180" s="24">
        <f>AD181-(AD$363/360)</f>
        <v>73.749999999999872</v>
      </c>
      <c r="AE180" s="24">
        <f>AE181-(AE$363/360)</f>
        <v>78.666666666665947</v>
      </c>
      <c r="AF180" s="25">
        <f t="shared" si="43"/>
        <v>60.966666666665979</v>
      </c>
      <c r="AG180" s="25">
        <f t="shared" si="43"/>
        <v>68.833333333333911</v>
      </c>
      <c r="AH180" s="25">
        <f t="shared" si="43"/>
        <v>73.749999999999872</v>
      </c>
      <c r="AI180" s="26">
        <f t="shared" si="43"/>
        <v>56.050000000000509</v>
      </c>
      <c r="AJ180" s="26">
        <f t="shared" si="43"/>
        <v>63.916666666666089</v>
      </c>
      <c r="AK180" s="26">
        <f t="shared" si="43"/>
        <v>68.833333333333911</v>
      </c>
    </row>
    <row r="181" spans="4:37" ht="20.100000000000001" customHeight="1">
      <c r="D181" s="27">
        <f t="shared" si="38"/>
        <v>0.49444444444444319</v>
      </c>
      <c r="E181" s="16">
        <f t="shared" si="45"/>
        <v>141.4111111111109</v>
      </c>
      <c r="F181" s="16">
        <f t="shared" si="45"/>
        <v>149.32222222221969</v>
      </c>
      <c r="G181" s="16">
        <f t="shared" si="45"/>
        <v>154.26666666666529</v>
      </c>
      <c r="H181" s="17">
        <f t="shared" si="45"/>
        <v>131.52222222222383</v>
      </c>
      <c r="I181" s="17">
        <f t="shared" si="45"/>
        <v>139.43333333333274</v>
      </c>
      <c r="J181" s="17">
        <f t="shared" si="45"/>
        <v>144.37777777777802</v>
      </c>
      <c r="K181" s="18">
        <f t="shared" si="45"/>
        <v>121.63333333333264</v>
      </c>
      <c r="L181" s="18">
        <f t="shared" si="45"/>
        <v>129.54444444444272</v>
      </c>
      <c r="M181" s="18">
        <f t="shared" si="45"/>
        <v>134.48888888888868</v>
      </c>
      <c r="N181" s="19">
        <f t="shared" si="45"/>
        <v>90.977777777777206</v>
      </c>
      <c r="O181" s="19">
        <f t="shared" si="45"/>
        <v>98.888888888890435</v>
      </c>
      <c r="P181" s="19">
        <f t="shared" si="45"/>
        <v>103.83333333333221</v>
      </c>
      <c r="Q181" s="20">
        <f t="shared" si="45"/>
        <v>86.033333333334511</v>
      </c>
      <c r="R181" s="20">
        <f t="shared" si="45"/>
        <v>93.944444444445594</v>
      </c>
      <c r="S181" s="20">
        <f t="shared" si="45"/>
        <v>98.888888888890435</v>
      </c>
      <c r="T181" s="21">
        <f t="shared" si="45"/>
        <v>81.088888888890153</v>
      </c>
      <c r="U181" s="21">
        <f t="shared" ref="U181:AJ202" si="46">U182-(U$363/360)</f>
        <v>89</v>
      </c>
      <c r="V181" s="21">
        <f t="shared" si="46"/>
        <v>93.944444444445594</v>
      </c>
      <c r="W181" s="22">
        <f t="shared" si="46"/>
        <v>76.144444444444559</v>
      </c>
      <c r="X181" s="22">
        <f t="shared" si="46"/>
        <v>84.055555555554406</v>
      </c>
      <c r="Y181" s="22">
        <f t="shared" si="46"/>
        <v>89</v>
      </c>
      <c r="Z181" s="23">
        <f t="shared" si="46"/>
        <v>71.199999999998965</v>
      </c>
      <c r="AA181" s="23">
        <f t="shared" si="46"/>
        <v>79.11111111111039</v>
      </c>
      <c r="AB181" s="23">
        <f t="shared" si="46"/>
        <v>84.055555555554406</v>
      </c>
      <c r="AC181" s="24">
        <f t="shared" si="46"/>
        <v>66.255555555555731</v>
      </c>
      <c r="AD181" s="24">
        <f t="shared" si="46"/>
        <v>74.166666666666544</v>
      </c>
      <c r="AE181" s="24">
        <f t="shared" si="46"/>
        <v>79.11111111111039</v>
      </c>
      <c r="AF181" s="25">
        <f t="shared" si="43"/>
        <v>61.311111111110421</v>
      </c>
      <c r="AG181" s="25">
        <f t="shared" si="43"/>
        <v>69.222222222222797</v>
      </c>
      <c r="AH181" s="25">
        <f t="shared" si="43"/>
        <v>74.166666666666544</v>
      </c>
      <c r="AI181" s="26">
        <f t="shared" si="43"/>
        <v>56.366666666667179</v>
      </c>
      <c r="AJ181" s="26">
        <f t="shared" si="43"/>
        <v>64.277777777777203</v>
      </c>
      <c r="AK181" s="26">
        <f t="shared" si="43"/>
        <v>69.222222222222797</v>
      </c>
    </row>
    <row r="182" spans="4:37" ht="20.100000000000001" customHeight="1">
      <c r="D182" s="27">
        <f t="shared" si="38"/>
        <v>0.49722222222222096</v>
      </c>
      <c r="E182" s="16">
        <f t="shared" si="45"/>
        <v>142.20555555555535</v>
      </c>
      <c r="F182" s="16">
        <f t="shared" si="45"/>
        <v>150.1611111111086</v>
      </c>
      <c r="G182" s="16">
        <f t="shared" si="45"/>
        <v>155.13333333333196</v>
      </c>
      <c r="H182" s="17">
        <f t="shared" si="45"/>
        <v>132.26111111111271</v>
      </c>
      <c r="I182" s="17">
        <f t="shared" si="45"/>
        <v>140.21666666666607</v>
      </c>
      <c r="J182" s="17">
        <f t="shared" si="45"/>
        <v>145.18888888888912</v>
      </c>
      <c r="K182" s="18">
        <f t="shared" si="45"/>
        <v>122.31666666666598</v>
      </c>
      <c r="L182" s="18">
        <f t="shared" si="45"/>
        <v>130.27222222222051</v>
      </c>
      <c r="M182" s="18">
        <f t="shared" si="45"/>
        <v>135.24444444444424</v>
      </c>
      <c r="N182" s="19">
        <f t="shared" si="45"/>
        <v>91.488888888888312</v>
      </c>
      <c r="O182" s="19">
        <f t="shared" si="45"/>
        <v>99.444444444445992</v>
      </c>
      <c r="P182" s="19">
        <f t="shared" si="45"/>
        <v>104.41666666666553</v>
      </c>
      <c r="Q182" s="20">
        <f t="shared" si="45"/>
        <v>86.516666666667845</v>
      </c>
      <c r="R182" s="20">
        <f t="shared" si="45"/>
        <v>94.472222222223365</v>
      </c>
      <c r="S182" s="20">
        <f t="shared" si="45"/>
        <v>99.444444444445992</v>
      </c>
      <c r="T182" s="21">
        <f t="shared" si="45"/>
        <v>81.544444444445702</v>
      </c>
      <c r="U182" s="21">
        <f t="shared" si="46"/>
        <v>89.5</v>
      </c>
      <c r="V182" s="21">
        <f t="shared" si="46"/>
        <v>94.472222222223365</v>
      </c>
      <c r="W182" s="22">
        <f t="shared" si="46"/>
        <v>76.572222222222337</v>
      </c>
      <c r="X182" s="22">
        <f t="shared" si="46"/>
        <v>84.527777777776635</v>
      </c>
      <c r="Y182" s="22">
        <f t="shared" si="46"/>
        <v>89.5</v>
      </c>
      <c r="Z182" s="23">
        <f t="shared" si="46"/>
        <v>71.599999999998971</v>
      </c>
      <c r="AA182" s="23">
        <f t="shared" si="46"/>
        <v>79.555555555554832</v>
      </c>
      <c r="AB182" s="23">
        <f t="shared" si="46"/>
        <v>84.527777777776635</v>
      </c>
      <c r="AC182" s="24">
        <f t="shared" si="46"/>
        <v>66.627777777777951</v>
      </c>
      <c r="AD182" s="24">
        <f t="shared" si="46"/>
        <v>74.583333333333215</v>
      </c>
      <c r="AE182" s="24">
        <f t="shared" si="46"/>
        <v>79.555555555554832</v>
      </c>
      <c r="AF182" s="25">
        <f t="shared" si="43"/>
        <v>61.655555555554862</v>
      </c>
      <c r="AG182" s="25">
        <f t="shared" si="43"/>
        <v>69.611111111111683</v>
      </c>
      <c r="AH182" s="25">
        <f t="shared" si="43"/>
        <v>74.583333333333215</v>
      </c>
      <c r="AI182" s="26">
        <f t="shared" si="43"/>
        <v>56.683333333333849</v>
      </c>
      <c r="AJ182" s="26">
        <f t="shared" si="43"/>
        <v>64.638888888888317</v>
      </c>
      <c r="AK182" s="26">
        <f t="shared" si="43"/>
        <v>69.611111111111683</v>
      </c>
    </row>
    <row r="183" spans="4:37" ht="20.100000000000001" customHeight="1">
      <c r="D183" s="27">
        <f t="shared" si="38"/>
        <v>0.49999999999999872</v>
      </c>
      <c r="E183" s="16">
        <f t="shared" si="45"/>
        <v>142.9999999999998</v>
      </c>
      <c r="F183" s="16">
        <f t="shared" si="45"/>
        <v>150.9999999999975</v>
      </c>
      <c r="G183" s="16">
        <f t="shared" si="45"/>
        <v>155.99999999999864</v>
      </c>
      <c r="H183" s="17">
        <f t="shared" si="45"/>
        <v>133.00000000000159</v>
      </c>
      <c r="I183" s="17">
        <f t="shared" si="45"/>
        <v>140.9999999999994</v>
      </c>
      <c r="J183" s="17">
        <f t="shared" si="45"/>
        <v>146.00000000000023</v>
      </c>
      <c r="K183" s="18">
        <f t="shared" si="45"/>
        <v>122.99999999999932</v>
      </c>
      <c r="L183" s="18">
        <f t="shared" si="45"/>
        <v>130.99999999999829</v>
      </c>
      <c r="M183" s="18">
        <f t="shared" si="45"/>
        <v>135.9999999999998</v>
      </c>
      <c r="N183" s="19">
        <f t="shared" si="45"/>
        <v>91.999999999999417</v>
      </c>
      <c r="O183" s="19">
        <f t="shared" si="45"/>
        <v>100.00000000000155</v>
      </c>
      <c r="P183" s="19">
        <f t="shared" si="45"/>
        <v>104.99999999999886</v>
      </c>
      <c r="Q183" s="20">
        <f t="shared" si="45"/>
        <v>87.00000000000118</v>
      </c>
      <c r="R183" s="20">
        <f t="shared" si="45"/>
        <v>95.000000000001137</v>
      </c>
      <c r="S183" s="20">
        <f t="shared" si="45"/>
        <v>100.00000000000155</v>
      </c>
      <c r="T183" s="21">
        <f t="shared" si="45"/>
        <v>82.000000000001251</v>
      </c>
      <c r="U183" s="21">
        <f t="shared" si="46"/>
        <v>90</v>
      </c>
      <c r="V183" s="21">
        <f t="shared" si="46"/>
        <v>95.000000000001137</v>
      </c>
      <c r="W183" s="22">
        <f t="shared" si="46"/>
        <v>77.000000000000114</v>
      </c>
      <c r="X183" s="22">
        <f t="shared" si="46"/>
        <v>84.999999999998863</v>
      </c>
      <c r="Y183" s="22">
        <f t="shared" si="46"/>
        <v>90</v>
      </c>
      <c r="Z183" s="23">
        <f t="shared" si="46"/>
        <v>71.999999999998977</v>
      </c>
      <c r="AA183" s="23">
        <f t="shared" si="46"/>
        <v>79.999999999999275</v>
      </c>
      <c r="AB183" s="23">
        <f t="shared" si="46"/>
        <v>84.999999999998863</v>
      </c>
      <c r="AC183" s="24">
        <f t="shared" si="46"/>
        <v>67.000000000000171</v>
      </c>
      <c r="AD183" s="24">
        <f t="shared" si="46"/>
        <v>74.999999999999886</v>
      </c>
      <c r="AE183" s="24">
        <f t="shared" si="46"/>
        <v>79.999999999999275</v>
      </c>
      <c r="AF183" s="25">
        <f t="shared" si="43"/>
        <v>61.999999999999304</v>
      </c>
      <c r="AG183" s="25">
        <f t="shared" si="43"/>
        <v>70.000000000000568</v>
      </c>
      <c r="AH183" s="25">
        <f t="shared" si="43"/>
        <v>74.999999999999886</v>
      </c>
      <c r="AI183" s="26">
        <f t="shared" si="43"/>
        <v>57.000000000000519</v>
      </c>
      <c r="AJ183" s="26">
        <f t="shared" si="43"/>
        <v>64.999999999999432</v>
      </c>
      <c r="AK183" s="26">
        <f t="shared" si="43"/>
        <v>70.000000000000568</v>
      </c>
    </row>
    <row r="184" spans="4:37" ht="20.100000000000001" customHeight="1">
      <c r="D184" s="27">
        <f t="shared" si="38"/>
        <v>0.50277777777777655</v>
      </c>
      <c r="E184" s="16">
        <f t="shared" si="45"/>
        <v>143.79444444444425</v>
      </c>
      <c r="F184" s="16">
        <f t="shared" si="45"/>
        <v>151.8388888888864</v>
      </c>
      <c r="G184" s="16">
        <f t="shared" si="45"/>
        <v>156.86666666666531</v>
      </c>
      <c r="H184" s="17">
        <f t="shared" si="45"/>
        <v>133.73888888889047</v>
      </c>
      <c r="I184" s="17">
        <f t="shared" si="45"/>
        <v>141.78333333333273</v>
      </c>
      <c r="J184" s="17">
        <f t="shared" si="45"/>
        <v>146.81111111111133</v>
      </c>
      <c r="K184" s="18">
        <f t="shared" si="45"/>
        <v>123.68333333333266</v>
      </c>
      <c r="L184" s="18">
        <f t="shared" si="45"/>
        <v>131.72777777777608</v>
      </c>
      <c r="M184" s="18">
        <f t="shared" si="45"/>
        <v>136.75555555555536</v>
      </c>
      <c r="N184" s="19">
        <f t="shared" si="45"/>
        <v>92.511111111110523</v>
      </c>
      <c r="O184" s="19">
        <f t="shared" si="45"/>
        <v>100.55555555555711</v>
      </c>
      <c r="P184" s="19">
        <f t="shared" si="45"/>
        <v>105.58333333333219</v>
      </c>
      <c r="Q184" s="20">
        <f t="shared" si="45"/>
        <v>87.483333333334514</v>
      </c>
      <c r="R184" s="20">
        <f t="shared" si="45"/>
        <v>95.527777777778908</v>
      </c>
      <c r="S184" s="20">
        <f t="shared" si="45"/>
        <v>100.55555555555711</v>
      </c>
      <c r="T184" s="21">
        <f t="shared" si="45"/>
        <v>82.455555555556799</v>
      </c>
      <c r="U184" s="21">
        <f t="shared" si="46"/>
        <v>90.5</v>
      </c>
      <c r="V184" s="21">
        <f t="shared" si="46"/>
        <v>95.527777777778908</v>
      </c>
      <c r="W184" s="22">
        <f t="shared" si="46"/>
        <v>77.427777777777891</v>
      </c>
      <c r="X184" s="22">
        <f t="shared" si="46"/>
        <v>85.472222222221092</v>
      </c>
      <c r="Y184" s="22">
        <f t="shared" si="46"/>
        <v>90.5</v>
      </c>
      <c r="Z184" s="23">
        <f t="shared" si="46"/>
        <v>72.399999999998983</v>
      </c>
      <c r="AA184" s="23">
        <f t="shared" si="46"/>
        <v>80.444444444443718</v>
      </c>
      <c r="AB184" s="23">
        <f t="shared" si="46"/>
        <v>85.472222222221092</v>
      </c>
      <c r="AC184" s="24">
        <f t="shared" si="46"/>
        <v>67.372222222222391</v>
      </c>
      <c r="AD184" s="24">
        <f t="shared" si="46"/>
        <v>75.416666666666558</v>
      </c>
      <c r="AE184" s="24">
        <f t="shared" si="46"/>
        <v>80.444444444443718</v>
      </c>
      <c r="AF184" s="25">
        <f t="shared" si="43"/>
        <v>62.344444444443745</v>
      </c>
      <c r="AG184" s="25">
        <f t="shared" si="43"/>
        <v>70.388888888889454</v>
      </c>
      <c r="AH184" s="25">
        <f t="shared" si="43"/>
        <v>75.416666666666558</v>
      </c>
      <c r="AI184" s="26">
        <f t="shared" si="43"/>
        <v>57.316666666667189</v>
      </c>
      <c r="AJ184" s="26">
        <f t="shared" si="43"/>
        <v>65.361111111110546</v>
      </c>
      <c r="AK184" s="26">
        <f t="shared" si="43"/>
        <v>70.388888888889454</v>
      </c>
    </row>
    <row r="185" spans="4:37" ht="20.100000000000001" customHeight="1">
      <c r="D185" s="27">
        <f t="shared" si="38"/>
        <v>0.50555555555555431</v>
      </c>
      <c r="E185" s="16">
        <f t="shared" si="45"/>
        <v>144.5888888888887</v>
      </c>
      <c r="F185" s="16">
        <f t="shared" si="45"/>
        <v>152.6777777777753</v>
      </c>
      <c r="G185" s="16">
        <f t="shared" si="45"/>
        <v>157.73333333333198</v>
      </c>
      <c r="H185" s="17">
        <f t="shared" si="45"/>
        <v>134.47777777777935</v>
      </c>
      <c r="I185" s="17">
        <f t="shared" si="45"/>
        <v>142.56666666666607</v>
      </c>
      <c r="J185" s="17">
        <f t="shared" si="45"/>
        <v>147.62222222222243</v>
      </c>
      <c r="K185" s="18">
        <f t="shared" si="45"/>
        <v>124.36666666666599</v>
      </c>
      <c r="L185" s="18">
        <f t="shared" si="45"/>
        <v>132.45555555555387</v>
      </c>
      <c r="M185" s="18">
        <f t="shared" si="45"/>
        <v>137.51111111111092</v>
      </c>
      <c r="N185" s="19">
        <f t="shared" si="45"/>
        <v>93.022222222221629</v>
      </c>
      <c r="O185" s="19">
        <f t="shared" si="45"/>
        <v>101.11111111111266</v>
      </c>
      <c r="P185" s="19">
        <f t="shared" si="45"/>
        <v>106.16666666666552</v>
      </c>
      <c r="Q185" s="20">
        <f t="shared" si="45"/>
        <v>87.966666666667848</v>
      </c>
      <c r="R185" s="20">
        <f t="shared" si="45"/>
        <v>96.05555555555668</v>
      </c>
      <c r="S185" s="20">
        <f t="shared" si="45"/>
        <v>101.11111111111266</v>
      </c>
      <c r="T185" s="21">
        <f t="shared" si="45"/>
        <v>82.911111111112348</v>
      </c>
      <c r="U185" s="21">
        <f t="shared" si="46"/>
        <v>91</v>
      </c>
      <c r="V185" s="21">
        <f t="shared" si="46"/>
        <v>96.05555555555668</v>
      </c>
      <c r="W185" s="22">
        <f t="shared" si="46"/>
        <v>77.855555555555668</v>
      </c>
      <c r="X185" s="22">
        <f t="shared" si="46"/>
        <v>85.94444444444332</v>
      </c>
      <c r="Y185" s="22">
        <f t="shared" si="46"/>
        <v>91</v>
      </c>
      <c r="Z185" s="23">
        <f t="shared" si="46"/>
        <v>72.799999999998988</v>
      </c>
      <c r="AA185" s="23">
        <f t="shared" si="46"/>
        <v>80.888888888888161</v>
      </c>
      <c r="AB185" s="23">
        <f t="shared" si="46"/>
        <v>85.94444444444332</v>
      </c>
      <c r="AC185" s="24">
        <f t="shared" si="46"/>
        <v>67.744444444444611</v>
      </c>
      <c r="AD185" s="24">
        <f t="shared" si="46"/>
        <v>75.833333333333229</v>
      </c>
      <c r="AE185" s="24">
        <f t="shared" si="46"/>
        <v>80.888888888888161</v>
      </c>
      <c r="AF185" s="25">
        <f t="shared" si="43"/>
        <v>62.688888888888187</v>
      </c>
      <c r="AG185" s="25">
        <f t="shared" si="43"/>
        <v>70.77777777777834</v>
      </c>
      <c r="AH185" s="25">
        <f t="shared" si="43"/>
        <v>75.833333333333229</v>
      </c>
      <c r="AI185" s="26">
        <f t="shared" si="43"/>
        <v>57.633333333333859</v>
      </c>
      <c r="AJ185" s="26">
        <f t="shared" si="43"/>
        <v>65.72222222222166</v>
      </c>
      <c r="AK185" s="26">
        <f t="shared" si="43"/>
        <v>70.77777777777834</v>
      </c>
    </row>
    <row r="186" spans="4:37" ht="20.100000000000001" customHeight="1">
      <c r="D186" s="27">
        <f t="shared" si="38"/>
        <v>0.50833333333333208</v>
      </c>
      <c r="E186" s="16">
        <f t="shared" si="45"/>
        <v>145.38333333333316</v>
      </c>
      <c r="F186" s="16">
        <f t="shared" si="45"/>
        <v>153.51666666666421</v>
      </c>
      <c r="G186" s="16">
        <f t="shared" si="45"/>
        <v>158.59999999999866</v>
      </c>
      <c r="H186" s="17">
        <f t="shared" si="45"/>
        <v>135.21666666666823</v>
      </c>
      <c r="I186" s="17">
        <f t="shared" si="45"/>
        <v>143.3499999999994</v>
      </c>
      <c r="J186" s="17">
        <f t="shared" si="45"/>
        <v>148.43333333333354</v>
      </c>
      <c r="K186" s="18">
        <f t="shared" si="45"/>
        <v>125.04999999999933</v>
      </c>
      <c r="L186" s="18">
        <f t="shared" si="45"/>
        <v>133.18333333333166</v>
      </c>
      <c r="M186" s="18">
        <f t="shared" si="45"/>
        <v>138.26666666666648</v>
      </c>
      <c r="N186" s="19">
        <f t="shared" si="45"/>
        <v>93.533333333332735</v>
      </c>
      <c r="O186" s="19">
        <f t="shared" si="45"/>
        <v>101.66666666666822</v>
      </c>
      <c r="P186" s="19">
        <f t="shared" si="45"/>
        <v>106.74999999999885</v>
      </c>
      <c r="Q186" s="20">
        <f t="shared" si="45"/>
        <v>88.450000000001182</v>
      </c>
      <c r="R186" s="20">
        <f t="shared" si="45"/>
        <v>96.583333333334451</v>
      </c>
      <c r="S186" s="20">
        <f t="shared" si="45"/>
        <v>101.66666666666822</v>
      </c>
      <c r="T186" s="21">
        <f t="shared" si="45"/>
        <v>83.366666666667896</v>
      </c>
      <c r="U186" s="21">
        <f t="shared" si="46"/>
        <v>91.5</v>
      </c>
      <c r="V186" s="21">
        <f t="shared" si="46"/>
        <v>96.583333333334451</v>
      </c>
      <c r="W186" s="22">
        <f t="shared" si="46"/>
        <v>78.283333333333445</v>
      </c>
      <c r="X186" s="22">
        <f t="shared" si="46"/>
        <v>86.416666666665549</v>
      </c>
      <c r="Y186" s="22">
        <f t="shared" si="46"/>
        <v>91.5</v>
      </c>
      <c r="Z186" s="23">
        <f t="shared" si="46"/>
        <v>73.199999999998994</v>
      </c>
      <c r="AA186" s="23">
        <f t="shared" si="46"/>
        <v>81.333333333332604</v>
      </c>
      <c r="AB186" s="23">
        <f t="shared" si="46"/>
        <v>86.416666666665549</v>
      </c>
      <c r="AC186" s="24">
        <f t="shared" si="46"/>
        <v>68.116666666666831</v>
      </c>
      <c r="AD186" s="24">
        <f t="shared" si="46"/>
        <v>76.249999999999901</v>
      </c>
      <c r="AE186" s="24">
        <f t="shared" si="46"/>
        <v>81.333333333332604</v>
      </c>
      <c r="AF186" s="25">
        <f t="shared" si="43"/>
        <v>63.033333333332628</v>
      </c>
      <c r="AG186" s="25">
        <f t="shared" si="43"/>
        <v>71.166666666667226</v>
      </c>
      <c r="AH186" s="25">
        <f t="shared" si="43"/>
        <v>76.249999999999901</v>
      </c>
      <c r="AI186" s="26">
        <f t="shared" si="43"/>
        <v>57.950000000000529</v>
      </c>
      <c r="AJ186" s="26">
        <f t="shared" si="43"/>
        <v>66.083333333332774</v>
      </c>
      <c r="AK186" s="26">
        <f t="shared" si="43"/>
        <v>71.166666666667226</v>
      </c>
    </row>
    <row r="187" spans="4:37" ht="20.100000000000001" customHeight="1">
      <c r="D187" s="27">
        <f t="shared" si="38"/>
        <v>0.51111111111110985</v>
      </c>
      <c r="E187" s="16">
        <f t="shared" si="45"/>
        <v>146.17777777777761</v>
      </c>
      <c r="F187" s="16">
        <f t="shared" si="45"/>
        <v>154.35555555555311</v>
      </c>
      <c r="G187" s="16">
        <f t="shared" si="45"/>
        <v>159.46666666666533</v>
      </c>
      <c r="H187" s="17">
        <f t="shared" si="45"/>
        <v>135.95555555555711</v>
      </c>
      <c r="I187" s="17">
        <f t="shared" si="45"/>
        <v>144.13333333333273</v>
      </c>
      <c r="J187" s="17">
        <f t="shared" si="45"/>
        <v>149.24444444444464</v>
      </c>
      <c r="K187" s="18">
        <f t="shared" si="45"/>
        <v>125.73333333333267</v>
      </c>
      <c r="L187" s="18">
        <f t="shared" si="45"/>
        <v>133.91111111110945</v>
      </c>
      <c r="M187" s="18">
        <f t="shared" si="45"/>
        <v>139.02222222222204</v>
      </c>
      <c r="N187" s="19">
        <f t="shared" si="45"/>
        <v>94.04444444444384</v>
      </c>
      <c r="O187" s="19">
        <f t="shared" si="45"/>
        <v>102.22222222222378</v>
      </c>
      <c r="P187" s="19">
        <f t="shared" si="45"/>
        <v>107.33333333333218</v>
      </c>
      <c r="Q187" s="20">
        <f t="shared" si="45"/>
        <v>88.933333333334517</v>
      </c>
      <c r="R187" s="20">
        <f t="shared" si="45"/>
        <v>97.111111111112223</v>
      </c>
      <c r="S187" s="20">
        <f t="shared" si="45"/>
        <v>102.22222222222378</v>
      </c>
      <c r="T187" s="21">
        <f t="shared" si="45"/>
        <v>83.822222222223445</v>
      </c>
      <c r="U187" s="21">
        <f t="shared" si="46"/>
        <v>92</v>
      </c>
      <c r="V187" s="21">
        <f t="shared" si="46"/>
        <v>97.111111111112223</v>
      </c>
      <c r="W187" s="22">
        <f t="shared" si="46"/>
        <v>78.711111111111222</v>
      </c>
      <c r="X187" s="22">
        <f t="shared" si="46"/>
        <v>86.888888888887777</v>
      </c>
      <c r="Y187" s="22">
        <f t="shared" si="46"/>
        <v>92</v>
      </c>
      <c r="Z187" s="23">
        <f t="shared" si="46"/>
        <v>73.599999999999</v>
      </c>
      <c r="AA187" s="23">
        <f t="shared" si="46"/>
        <v>81.777777777777047</v>
      </c>
      <c r="AB187" s="23">
        <f t="shared" si="46"/>
        <v>86.888888888887777</v>
      </c>
      <c r="AC187" s="24">
        <f t="shared" si="46"/>
        <v>68.488888888889051</v>
      </c>
      <c r="AD187" s="24">
        <f t="shared" si="46"/>
        <v>76.666666666666572</v>
      </c>
      <c r="AE187" s="24">
        <f t="shared" si="46"/>
        <v>81.777777777777047</v>
      </c>
      <c r="AF187" s="25">
        <f t="shared" si="43"/>
        <v>63.377777777777069</v>
      </c>
      <c r="AG187" s="25">
        <f t="shared" si="43"/>
        <v>71.555555555556111</v>
      </c>
      <c r="AH187" s="25">
        <f t="shared" si="43"/>
        <v>76.666666666666572</v>
      </c>
      <c r="AI187" s="26">
        <f t="shared" si="43"/>
        <v>58.266666666667199</v>
      </c>
      <c r="AJ187" s="26">
        <f t="shared" si="43"/>
        <v>66.444444444443889</v>
      </c>
      <c r="AK187" s="26">
        <f t="shared" si="43"/>
        <v>71.555555555556111</v>
      </c>
    </row>
    <row r="188" spans="4:37" ht="20.100000000000001" customHeight="1">
      <c r="D188" s="27">
        <f t="shared" si="38"/>
        <v>0.51388888888888762</v>
      </c>
      <c r="E188" s="16">
        <f t="shared" si="45"/>
        <v>146.97222222222206</v>
      </c>
      <c r="F188" s="16">
        <f t="shared" si="45"/>
        <v>155.19444444444201</v>
      </c>
      <c r="G188" s="16">
        <f t="shared" si="45"/>
        <v>160.33333333333201</v>
      </c>
      <c r="H188" s="17">
        <f t="shared" si="45"/>
        <v>136.69444444444599</v>
      </c>
      <c r="I188" s="17">
        <f t="shared" si="45"/>
        <v>144.91666666666606</v>
      </c>
      <c r="J188" s="17">
        <f t="shared" si="45"/>
        <v>150.05555555555574</v>
      </c>
      <c r="K188" s="18">
        <f t="shared" si="45"/>
        <v>126.416666666666</v>
      </c>
      <c r="L188" s="18">
        <f t="shared" si="45"/>
        <v>134.63888888888724</v>
      </c>
      <c r="M188" s="18">
        <f t="shared" si="45"/>
        <v>139.7777777777776</v>
      </c>
      <c r="N188" s="19">
        <f t="shared" si="45"/>
        <v>94.555555555554946</v>
      </c>
      <c r="O188" s="19">
        <f t="shared" si="45"/>
        <v>102.77777777777933</v>
      </c>
      <c r="P188" s="19">
        <f t="shared" si="45"/>
        <v>107.91666666666551</v>
      </c>
      <c r="Q188" s="20">
        <f t="shared" si="45"/>
        <v>89.416666666667851</v>
      </c>
      <c r="R188" s="20">
        <f t="shared" si="45"/>
        <v>97.638888888889994</v>
      </c>
      <c r="S188" s="20">
        <f t="shared" si="45"/>
        <v>102.77777777777933</v>
      </c>
      <c r="T188" s="21">
        <f t="shared" si="45"/>
        <v>84.277777777778994</v>
      </c>
      <c r="U188" s="21">
        <f t="shared" si="46"/>
        <v>92.5</v>
      </c>
      <c r="V188" s="21">
        <f t="shared" si="46"/>
        <v>97.638888888889994</v>
      </c>
      <c r="W188" s="22">
        <f t="shared" si="46"/>
        <v>79.138888888888999</v>
      </c>
      <c r="X188" s="22">
        <f t="shared" si="46"/>
        <v>87.361111111110006</v>
      </c>
      <c r="Y188" s="22">
        <f t="shared" si="46"/>
        <v>92.5</v>
      </c>
      <c r="Z188" s="23">
        <f t="shared" si="46"/>
        <v>73.999999999999005</v>
      </c>
      <c r="AA188" s="23">
        <f t="shared" si="46"/>
        <v>82.22222222222149</v>
      </c>
      <c r="AB188" s="23">
        <f t="shared" si="46"/>
        <v>87.361111111110006</v>
      </c>
      <c r="AC188" s="24">
        <f t="shared" si="46"/>
        <v>68.861111111111271</v>
      </c>
      <c r="AD188" s="24">
        <f t="shared" si="46"/>
        <v>77.083333333333243</v>
      </c>
      <c r="AE188" s="24">
        <f t="shared" si="46"/>
        <v>82.22222222222149</v>
      </c>
      <c r="AF188" s="25">
        <f t="shared" si="43"/>
        <v>63.722222222221511</v>
      </c>
      <c r="AG188" s="25">
        <f t="shared" si="43"/>
        <v>71.944444444444997</v>
      </c>
      <c r="AH188" s="25">
        <f t="shared" si="43"/>
        <v>77.083333333333243</v>
      </c>
      <c r="AI188" s="26">
        <f t="shared" si="43"/>
        <v>58.583333333333869</v>
      </c>
      <c r="AJ188" s="26">
        <f t="shared" si="43"/>
        <v>66.805555555555003</v>
      </c>
      <c r="AK188" s="26">
        <f t="shared" si="43"/>
        <v>71.944444444444997</v>
      </c>
    </row>
    <row r="189" spans="4:37" ht="20.100000000000001" customHeight="1">
      <c r="D189" s="27">
        <f t="shared" si="38"/>
        <v>0.51666666666666539</v>
      </c>
      <c r="E189" s="16">
        <f t="shared" si="45"/>
        <v>147.76666666666651</v>
      </c>
      <c r="F189" s="16">
        <f t="shared" si="45"/>
        <v>156.03333333333092</v>
      </c>
      <c r="G189" s="16">
        <f t="shared" si="45"/>
        <v>161.19999999999868</v>
      </c>
      <c r="H189" s="17">
        <f t="shared" si="45"/>
        <v>137.43333333333487</v>
      </c>
      <c r="I189" s="17">
        <f t="shared" si="45"/>
        <v>145.69999999999939</v>
      </c>
      <c r="J189" s="17">
        <f t="shared" si="45"/>
        <v>150.86666666666684</v>
      </c>
      <c r="K189" s="18">
        <f t="shared" si="45"/>
        <v>127.09999999999934</v>
      </c>
      <c r="L189" s="18">
        <f t="shared" si="45"/>
        <v>135.36666666666503</v>
      </c>
      <c r="M189" s="18">
        <f t="shared" si="45"/>
        <v>140.53333333333316</v>
      </c>
      <c r="N189" s="19">
        <f t="shared" si="45"/>
        <v>95.066666666666052</v>
      </c>
      <c r="O189" s="19">
        <f t="shared" si="45"/>
        <v>103.33333333333489</v>
      </c>
      <c r="P189" s="19">
        <f t="shared" si="45"/>
        <v>108.49999999999883</v>
      </c>
      <c r="Q189" s="20">
        <f t="shared" si="45"/>
        <v>89.900000000001185</v>
      </c>
      <c r="R189" s="20">
        <f t="shared" si="45"/>
        <v>98.166666666667766</v>
      </c>
      <c r="S189" s="20">
        <f t="shared" si="45"/>
        <v>103.33333333333489</v>
      </c>
      <c r="T189" s="21">
        <f t="shared" si="45"/>
        <v>84.733333333334542</v>
      </c>
      <c r="U189" s="21">
        <f t="shared" si="46"/>
        <v>93</v>
      </c>
      <c r="V189" s="21">
        <f t="shared" si="46"/>
        <v>98.166666666667766</v>
      </c>
      <c r="W189" s="22">
        <f t="shared" si="46"/>
        <v>79.566666666666777</v>
      </c>
      <c r="X189" s="22">
        <f t="shared" si="46"/>
        <v>87.833333333332234</v>
      </c>
      <c r="Y189" s="22">
        <f t="shared" si="46"/>
        <v>93</v>
      </c>
      <c r="Z189" s="23">
        <f t="shared" si="46"/>
        <v>74.399999999999011</v>
      </c>
      <c r="AA189" s="23">
        <f t="shared" si="46"/>
        <v>82.666666666665932</v>
      </c>
      <c r="AB189" s="23">
        <f t="shared" si="46"/>
        <v>87.833333333332234</v>
      </c>
      <c r="AC189" s="24">
        <f t="shared" si="46"/>
        <v>69.233333333333491</v>
      </c>
      <c r="AD189" s="24">
        <f t="shared" si="46"/>
        <v>77.499999999999915</v>
      </c>
      <c r="AE189" s="24">
        <f t="shared" si="46"/>
        <v>82.666666666665932</v>
      </c>
      <c r="AF189" s="25">
        <f t="shared" si="43"/>
        <v>64.066666666665952</v>
      </c>
      <c r="AG189" s="25">
        <f t="shared" si="43"/>
        <v>72.333333333333883</v>
      </c>
      <c r="AH189" s="25">
        <f t="shared" si="43"/>
        <v>77.499999999999915</v>
      </c>
      <c r="AI189" s="26">
        <f t="shared" si="43"/>
        <v>58.900000000000539</v>
      </c>
      <c r="AJ189" s="26">
        <f t="shared" si="43"/>
        <v>67.166666666666117</v>
      </c>
      <c r="AK189" s="26">
        <f t="shared" si="43"/>
        <v>72.333333333333883</v>
      </c>
    </row>
    <row r="190" spans="4:37" ht="20.100000000000001" customHeight="1">
      <c r="D190" s="27">
        <f t="shared" si="38"/>
        <v>0.51944444444444315</v>
      </c>
      <c r="E190" s="16">
        <f t="shared" si="45"/>
        <v>148.56111111111096</v>
      </c>
      <c r="F190" s="16">
        <f t="shared" si="45"/>
        <v>156.87222222221982</v>
      </c>
      <c r="G190" s="16">
        <f t="shared" si="45"/>
        <v>162.06666666666536</v>
      </c>
      <c r="H190" s="17">
        <f t="shared" si="45"/>
        <v>138.17222222222375</v>
      </c>
      <c r="I190" s="17">
        <f t="shared" si="45"/>
        <v>146.48333333333272</v>
      </c>
      <c r="J190" s="17">
        <f t="shared" si="45"/>
        <v>151.67777777777795</v>
      </c>
      <c r="K190" s="18">
        <f t="shared" si="45"/>
        <v>127.78333333333268</v>
      </c>
      <c r="L190" s="18">
        <f t="shared" si="45"/>
        <v>136.09444444444281</v>
      </c>
      <c r="M190" s="18">
        <f t="shared" si="45"/>
        <v>141.28888888888872</v>
      </c>
      <c r="N190" s="19">
        <f t="shared" si="45"/>
        <v>95.577777777777158</v>
      </c>
      <c r="O190" s="19">
        <f t="shared" si="45"/>
        <v>103.88888888889045</v>
      </c>
      <c r="P190" s="19">
        <f t="shared" si="45"/>
        <v>109.08333333333216</v>
      </c>
      <c r="Q190" s="20">
        <f t="shared" si="45"/>
        <v>90.383333333334519</v>
      </c>
      <c r="R190" s="20">
        <f t="shared" si="45"/>
        <v>98.694444444445537</v>
      </c>
      <c r="S190" s="20">
        <f t="shared" si="45"/>
        <v>103.88888888889045</v>
      </c>
      <c r="T190" s="21">
        <f t="shared" si="45"/>
        <v>85.188888888890091</v>
      </c>
      <c r="U190" s="21">
        <f t="shared" si="46"/>
        <v>93.5</v>
      </c>
      <c r="V190" s="21">
        <f t="shared" si="46"/>
        <v>98.694444444445537</v>
      </c>
      <c r="W190" s="22">
        <f t="shared" si="46"/>
        <v>79.994444444444554</v>
      </c>
      <c r="X190" s="22">
        <f t="shared" si="46"/>
        <v>88.305555555554463</v>
      </c>
      <c r="Y190" s="22">
        <f t="shared" si="46"/>
        <v>93.5</v>
      </c>
      <c r="Z190" s="23">
        <f t="shared" si="46"/>
        <v>74.799999999999017</v>
      </c>
      <c r="AA190" s="23">
        <f t="shared" si="46"/>
        <v>83.111111111110375</v>
      </c>
      <c r="AB190" s="23">
        <f t="shared" si="46"/>
        <v>88.305555555554463</v>
      </c>
      <c r="AC190" s="24">
        <f t="shared" si="46"/>
        <v>69.605555555555711</v>
      </c>
      <c r="AD190" s="24">
        <f t="shared" si="46"/>
        <v>77.916666666666586</v>
      </c>
      <c r="AE190" s="24">
        <f t="shared" si="46"/>
        <v>83.111111111110375</v>
      </c>
      <c r="AF190" s="25">
        <f t="shared" si="43"/>
        <v>64.411111111110401</v>
      </c>
      <c r="AG190" s="25">
        <f t="shared" si="43"/>
        <v>72.722222222222769</v>
      </c>
      <c r="AH190" s="25">
        <f t="shared" si="43"/>
        <v>77.916666666666586</v>
      </c>
      <c r="AI190" s="26">
        <f t="shared" si="43"/>
        <v>59.216666666667209</v>
      </c>
      <c r="AJ190" s="26">
        <f t="shared" si="43"/>
        <v>67.527777777777231</v>
      </c>
      <c r="AK190" s="26">
        <f t="shared" si="43"/>
        <v>72.722222222222769</v>
      </c>
    </row>
    <row r="191" spans="4:37" ht="20.100000000000001" customHeight="1">
      <c r="D191" s="27">
        <f t="shared" si="38"/>
        <v>0.52222222222222092</v>
      </c>
      <c r="E191" s="16">
        <f t="shared" si="45"/>
        <v>149.35555555555541</v>
      </c>
      <c r="F191" s="16">
        <f t="shared" si="45"/>
        <v>157.71111111110872</v>
      </c>
      <c r="G191" s="16">
        <f t="shared" si="45"/>
        <v>162.93333333333203</v>
      </c>
      <c r="H191" s="17">
        <f t="shared" si="45"/>
        <v>138.91111111111263</v>
      </c>
      <c r="I191" s="17">
        <f t="shared" si="45"/>
        <v>147.26666666666605</v>
      </c>
      <c r="J191" s="17">
        <f t="shared" si="45"/>
        <v>152.48888888888905</v>
      </c>
      <c r="K191" s="18">
        <f t="shared" si="45"/>
        <v>128.46666666666601</v>
      </c>
      <c r="L191" s="18">
        <f t="shared" si="45"/>
        <v>136.8222222222206</v>
      </c>
      <c r="M191" s="18">
        <f t="shared" si="45"/>
        <v>142.04444444444428</v>
      </c>
      <c r="N191" s="19">
        <f t="shared" si="45"/>
        <v>96.088888888888263</v>
      </c>
      <c r="O191" s="19">
        <f t="shared" si="45"/>
        <v>104.44444444444601</v>
      </c>
      <c r="P191" s="19">
        <f t="shared" si="45"/>
        <v>109.66666666666549</v>
      </c>
      <c r="Q191" s="20">
        <f t="shared" si="45"/>
        <v>90.866666666667854</v>
      </c>
      <c r="R191" s="20">
        <f t="shared" si="45"/>
        <v>99.222222222223309</v>
      </c>
      <c r="S191" s="20">
        <f t="shared" si="45"/>
        <v>104.44444444444601</v>
      </c>
      <c r="T191" s="21">
        <f t="shared" si="45"/>
        <v>85.644444444445639</v>
      </c>
      <c r="U191" s="21">
        <f t="shared" si="46"/>
        <v>94</v>
      </c>
      <c r="V191" s="21">
        <f t="shared" si="46"/>
        <v>99.222222222223309</v>
      </c>
      <c r="W191" s="22">
        <f t="shared" si="46"/>
        <v>80.422222222222331</v>
      </c>
      <c r="X191" s="22">
        <f t="shared" si="46"/>
        <v>88.777777777776691</v>
      </c>
      <c r="Y191" s="22">
        <f t="shared" si="46"/>
        <v>94</v>
      </c>
      <c r="Z191" s="23">
        <f t="shared" si="46"/>
        <v>75.199999999999022</v>
      </c>
      <c r="AA191" s="23">
        <f t="shared" si="46"/>
        <v>83.555555555554818</v>
      </c>
      <c r="AB191" s="23">
        <f t="shared" si="46"/>
        <v>88.777777777776691</v>
      </c>
      <c r="AC191" s="24">
        <f t="shared" si="46"/>
        <v>69.977777777777931</v>
      </c>
      <c r="AD191" s="24">
        <f t="shared" si="46"/>
        <v>78.333333333333258</v>
      </c>
      <c r="AE191" s="24">
        <f t="shared" si="46"/>
        <v>83.555555555554818</v>
      </c>
      <c r="AF191" s="25">
        <f t="shared" si="43"/>
        <v>64.755555555554849</v>
      </c>
      <c r="AG191" s="25">
        <f t="shared" si="43"/>
        <v>73.111111111111654</v>
      </c>
      <c r="AH191" s="25">
        <f t="shared" si="43"/>
        <v>78.333333333333258</v>
      </c>
      <c r="AI191" s="26">
        <f t="shared" si="43"/>
        <v>59.533333333333879</v>
      </c>
      <c r="AJ191" s="26">
        <f t="shared" si="43"/>
        <v>67.888888888888346</v>
      </c>
      <c r="AK191" s="26">
        <f t="shared" si="43"/>
        <v>73.111111111111654</v>
      </c>
    </row>
    <row r="192" spans="4:37" ht="20.100000000000001" customHeight="1">
      <c r="D192" s="27">
        <f t="shared" si="38"/>
        <v>0.52499999999999869</v>
      </c>
      <c r="E192" s="16">
        <f t="shared" si="45"/>
        <v>150.14999999999986</v>
      </c>
      <c r="F192" s="16">
        <f t="shared" si="45"/>
        <v>158.54999999999762</v>
      </c>
      <c r="G192" s="16">
        <f t="shared" si="45"/>
        <v>163.7999999999987</v>
      </c>
      <c r="H192" s="17">
        <f t="shared" si="45"/>
        <v>139.65000000000151</v>
      </c>
      <c r="I192" s="17">
        <f t="shared" si="45"/>
        <v>148.04999999999939</v>
      </c>
      <c r="J192" s="17">
        <f t="shared" si="45"/>
        <v>153.30000000000015</v>
      </c>
      <c r="K192" s="18">
        <f t="shared" si="45"/>
        <v>129.14999999999935</v>
      </c>
      <c r="L192" s="18">
        <f t="shared" si="45"/>
        <v>137.54999999999839</v>
      </c>
      <c r="M192" s="18">
        <f t="shared" si="45"/>
        <v>142.79999999999984</v>
      </c>
      <c r="N192" s="19">
        <f t="shared" si="45"/>
        <v>96.599999999999369</v>
      </c>
      <c r="O192" s="19">
        <f t="shared" si="45"/>
        <v>105.00000000000156</v>
      </c>
      <c r="P192" s="19">
        <f t="shared" si="45"/>
        <v>110.24999999999882</v>
      </c>
      <c r="Q192" s="20">
        <f t="shared" si="45"/>
        <v>91.350000000001188</v>
      </c>
      <c r="R192" s="20">
        <f t="shared" si="45"/>
        <v>99.75000000000108</v>
      </c>
      <c r="S192" s="20">
        <f t="shared" si="45"/>
        <v>105.00000000000156</v>
      </c>
      <c r="T192" s="21">
        <f t="shared" si="45"/>
        <v>86.100000000001188</v>
      </c>
      <c r="U192" s="21">
        <f t="shared" si="46"/>
        <v>94.5</v>
      </c>
      <c r="V192" s="21">
        <f t="shared" si="46"/>
        <v>99.75000000000108</v>
      </c>
      <c r="W192" s="22">
        <f t="shared" si="46"/>
        <v>80.850000000000108</v>
      </c>
      <c r="X192" s="22">
        <f t="shared" si="46"/>
        <v>89.24999999999892</v>
      </c>
      <c r="Y192" s="22">
        <f t="shared" si="46"/>
        <v>94.5</v>
      </c>
      <c r="Z192" s="23">
        <f t="shared" si="46"/>
        <v>75.599999999999028</v>
      </c>
      <c r="AA192" s="23">
        <f t="shared" si="46"/>
        <v>83.999999999999261</v>
      </c>
      <c r="AB192" s="23">
        <f t="shared" si="46"/>
        <v>89.24999999999892</v>
      </c>
      <c r="AC192" s="24">
        <f t="shared" si="46"/>
        <v>70.350000000000151</v>
      </c>
      <c r="AD192" s="24">
        <f t="shared" si="46"/>
        <v>78.749999999999929</v>
      </c>
      <c r="AE192" s="24">
        <f t="shared" si="46"/>
        <v>83.999999999999261</v>
      </c>
      <c r="AF192" s="25">
        <f t="shared" si="43"/>
        <v>65.099999999999298</v>
      </c>
      <c r="AG192" s="25">
        <f t="shared" si="43"/>
        <v>73.50000000000054</v>
      </c>
      <c r="AH192" s="25">
        <f t="shared" si="43"/>
        <v>78.749999999999929</v>
      </c>
      <c r="AI192" s="26">
        <f t="shared" si="43"/>
        <v>59.850000000000549</v>
      </c>
      <c r="AJ192" s="26">
        <f t="shared" si="43"/>
        <v>68.24999999999946</v>
      </c>
      <c r="AK192" s="26">
        <f t="shared" si="43"/>
        <v>73.50000000000054</v>
      </c>
    </row>
    <row r="193" spans="4:37" ht="20.100000000000001" customHeight="1">
      <c r="D193" s="27">
        <f t="shared" si="38"/>
        <v>0.52777777777777646</v>
      </c>
      <c r="E193" s="16">
        <f t="shared" si="45"/>
        <v>150.94444444444431</v>
      </c>
      <c r="F193" s="16">
        <f t="shared" si="45"/>
        <v>159.38888888888653</v>
      </c>
      <c r="G193" s="16">
        <f t="shared" si="45"/>
        <v>164.66666666666538</v>
      </c>
      <c r="H193" s="17">
        <f t="shared" si="45"/>
        <v>140.38888888889039</v>
      </c>
      <c r="I193" s="17">
        <f t="shared" si="45"/>
        <v>148.83333333333272</v>
      </c>
      <c r="J193" s="17">
        <f t="shared" si="45"/>
        <v>154.11111111111126</v>
      </c>
      <c r="K193" s="18">
        <f t="shared" si="45"/>
        <v>129.83333333333269</v>
      </c>
      <c r="L193" s="18">
        <f t="shared" si="45"/>
        <v>138.27777777777618</v>
      </c>
      <c r="M193" s="18">
        <f t="shared" si="45"/>
        <v>143.5555555555554</v>
      </c>
      <c r="N193" s="19">
        <f t="shared" si="45"/>
        <v>97.111111111110475</v>
      </c>
      <c r="O193" s="19">
        <f t="shared" si="45"/>
        <v>105.55555555555712</v>
      </c>
      <c r="P193" s="19">
        <f t="shared" si="45"/>
        <v>110.83333333333215</v>
      </c>
      <c r="Q193" s="20">
        <f t="shared" si="45"/>
        <v>91.833333333334522</v>
      </c>
      <c r="R193" s="20">
        <f t="shared" si="45"/>
        <v>100.27777777777885</v>
      </c>
      <c r="S193" s="20">
        <f t="shared" si="45"/>
        <v>105.55555555555712</v>
      </c>
      <c r="T193" s="21">
        <f>T194-(T$363/360)</f>
        <v>86.555555555556737</v>
      </c>
      <c r="U193" s="21">
        <f t="shared" si="46"/>
        <v>95</v>
      </c>
      <c r="V193" s="21">
        <f t="shared" si="46"/>
        <v>100.27777777777885</v>
      </c>
      <c r="W193" s="22">
        <f t="shared" si="46"/>
        <v>81.277777777777885</v>
      </c>
      <c r="X193" s="22">
        <f t="shared" si="46"/>
        <v>89.722222222221149</v>
      </c>
      <c r="Y193" s="22">
        <f t="shared" si="46"/>
        <v>95</v>
      </c>
      <c r="Z193" s="23">
        <f t="shared" si="46"/>
        <v>75.999999999999034</v>
      </c>
      <c r="AA193" s="23">
        <f t="shared" si="46"/>
        <v>84.444444444443704</v>
      </c>
      <c r="AB193" s="23">
        <f t="shared" si="46"/>
        <v>89.722222222221149</v>
      </c>
      <c r="AC193" s="24">
        <f t="shared" si="46"/>
        <v>70.722222222222371</v>
      </c>
      <c r="AD193" s="24">
        <f t="shared" si="46"/>
        <v>79.1666666666666</v>
      </c>
      <c r="AE193" s="24">
        <f t="shared" si="46"/>
        <v>84.444444444443704</v>
      </c>
      <c r="AF193" s="25">
        <f t="shared" si="43"/>
        <v>65.444444444443747</v>
      </c>
      <c r="AG193" s="25">
        <f t="shared" si="43"/>
        <v>73.888888888889426</v>
      </c>
      <c r="AH193" s="25">
        <f t="shared" si="43"/>
        <v>79.1666666666666</v>
      </c>
      <c r="AI193" s="26">
        <f t="shared" si="43"/>
        <v>60.166666666667219</v>
      </c>
      <c r="AJ193" s="26">
        <f t="shared" si="43"/>
        <v>68.611111111110574</v>
      </c>
      <c r="AK193" s="26">
        <f t="shared" si="43"/>
        <v>73.888888888889426</v>
      </c>
    </row>
    <row r="194" spans="4:37" ht="20.100000000000001" customHeight="1">
      <c r="D194" s="27">
        <f t="shared" si="38"/>
        <v>0.53055555555555423</v>
      </c>
      <c r="E194" s="16">
        <f t="shared" ref="E194:T209" si="47">E195-(E$363/360)</f>
        <v>151.73888888888877</v>
      </c>
      <c r="F194" s="16">
        <f t="shared" si="47"/>
        <v>160.22777777777543</v>
      </c>
      <c r="G194" s="16">
        <f t="shared" si="47"/>
        <v>165.53333333333205</v>
      </c>
      <c r="H194" s="17">
        <f t="shared" si="47"/>
        <v>141.12777777777927</v>
      </c>
      <c r="I194" s="17">
        <f t="shared" si="47"/>
        <v>149.61666666666605</v>
      </c>
      <c r="J194" s="17">
        <f t="shared" si="47"/>
        <v>154.92222222222236</v>
      </c>
      <c r="K194" s="18">
        <f t="shared" si="47"/>
        <v>130.51666666666603</v>
      </c>
      <c r="L194" s="18">
        <f t="shared" si="47"/>
        <v>139.00555555555397</v>
      </c>
      <c r="M194" s="18">
        <f t="shared" si="47"/>
        <v>144.31111111111096</v>
      </c>
      <c r="N194" s="19">
        <f t="shared" si="47"/>
        <v>97.622222222221581</v>
      </c>
      <c r="O194" s="19">
        <f t="shared" si="47"/>
        <v>106.11111111111268</v>
      </c>
      <c r="P194" s="19">
        <f t="shared" si="47"/>
        <v>111.41666666666548</v>
      </c>
      <c r="Q194" s="20">
        <f t="shared" si="47"/>
        <v>92.316666666667857</v>
      </c>
      <c r="R194" s="20">
        <f t="shared" si="47"/>
        <v>100.80555555555662</v>
      </c>
      <c r="S194" s="20">
        <f t="shared" si="47"/>
        <v>106.11111111111268</v>
      </c>
      <c r="T194" s="21">
        <f t="shared" si="47"/>
        <v>87.011111111112285</v>
      </c>
      <c r="U194" s="21">
        <f t="shared" si="46"/>
        <v>95.5</v>
      </c>
      <c r="V194" s="21">
        <f t="shared" si="46"/>
        <v>100.80555555555662</v>
      </c>
      <c r="W194" s="22">
        <f t="shared" si="46"/>
        <v>81.705555555555662</v>
      </c>
      <c r="X194" s="22">
        <f t="shared" si="46"/>
        <v>90.194444444443377</v>
      </c>
      <c r="Y194" s="22">
        <f t="shared" si="46"/>
        <v>95.5</v>
      </c>
      <c r="Z194" s="23">
        <f t="shared" si="46"/>
        <v>76.399999999999039</v>
      </c>
      <c r="AA194" s="23">
        <f t="shared" si="46"/>
        <v>84.888888888888147</v>
      </c>
      <c r="AB194" s="23">
        <f t="shared" si="46"/>
        <v>90.194444444443377</v>
      </c>
      <c r="AC194" s="24">
        <f t="shared" si="46"/>
        <v>71.094444444444591</v>
      </c>
      <c r="AD194" s="24">
        <f t="shared" si="46"/>
        <v>79.583333333333272</v>
      </c>
      <c r="AE194" s="24">
        <f t="shared" si="46"/>
        <v>84.888888888888147</v>
      </c>
      <c r="AF194" s="25">
        <f t="shared" si="46"/>
        <v>65.788888888888195</v>
      </c>
      <c r="AG194" s="25">
        <f t="shared" si="46"/>
        <v>74.277777777778311</v>
      </c>
      <c r="AH194" s="25">
        <f t="shared" si="46"/>
        <v>79.583333333333272</v>
      </c>
      <c r="AI194" s="26">
        <f t="shared" si="46"/>
        <v>60.483333333333889</v>
      </c>
      <c r="AJ194" s="26">
        <f t="shared" si="46"/>
        <v>68.972222222221689</v>
      </c>
      <c r="AK194" s="26">
        <f t="shared" si="43"/>
        <v>74.277777777778311</v>
      </c>
    </row>
    <row r="195" spans="4:37" ht="20.100000000000001" customHeight="1">
      <c r="D195" s="27">
        <f t="shared" si="38"/>
        <v>0.53333333333333199</v>
      </c>
      <c r="E195" s="16">
        <f t="shared" si="47"/>
        <v>152.53333333333322</v>
      </c>
      <c r="F195" s="16">
        <f t="shared" si="47"/>
        <v>161.06666666666433</v>
      </c>
      <c r="G195" s="16">
        <f t="shared" si="47"/>
        <v>166.39999999999873</v>
      </c>
      <c r="H195" s="17">
        <f t="shared" si="47"/>
        <v>141.86666666666815</v>
      </c>
      <c r="I195" s="17">
        <f t="shared" si="47"/>
        <v>150.39999999999938</v>
      </c>
      <c r="J195" s="17">
        <f t="shared" si="47"/>
        <v>155.73333333333346</v>
      </c>
      <c r="K195" s="18">
        <f t="shared" si="47"/>
        <v>131.19999999999936</v>
      </c>
      <c r="L195" s="18">
        <f t="shared" si="47"/>
        <v>139.73333333333176</v>
      </c>
      <c r="M195" s="18">
        <f t="shared" si="47"/>
        <v>145.06666666666652</v>
      </c>
      <c r="N195" s="19">
        <f t="shared" si="47"/>
        <v>98.133333333332686</v>
      </c>
      <c r="O195" s="19">
        <f t="shared" si="47"/>
        <v>106.66666666666823</v>
      </c>
      <c r="P195" s="19">
        <f t="shared" si="47"/>
        <v>111.99999999999881</v>
      </c>
      <c r="Q195" s="20">
        <f t="shared" si="47"/>
        <v>92.800000000001191</v>
      </c>
      <c r="R195" s="20">
        <f t="shared" si="47"/>
        <v>101.33333333333439</v>
      </c>
      <c r="S195" s="20">
        <f t="shared" si="47"/>
        <v>106.66666666666823</v>
      </c>
      <c r="T195" s="21">
        <f t="shared" si="47"/>
        <v>87.466666666667834</v>
      </c>
      <c r="U195" s="21">
        <f t="shared" si="46"/>
        <v>96</v>
      </c>
      <c r="V195" s="21">
        <f t="shared" si="46"/>
        <v>101.33333333333439</v>
      </c>
      <c r="W195" s="22">
        <f t="shared" si="46"/>
        <v>82.133333333333439</v>
      </c>
      <c r="X195" s="22">
        <f t="shared" si="46"/>
        <v>90.666666666665606</v>
      </c>
      <c r="Y195" s="22">
        <f t="shared" si="46"/>
        <v>96</v>
      </c>
      <c r="Z195" s="23">
        <f t="shared" si="46"/>
        <v>76.799999999999045</v>
      </c>
      <c r="AA195" s="23">
        <f t="shared" si="46"/>
        <v>85.33333333333259</v>
      </c>
      <c r="AB195" s="23">
        <f t="shared" si="46"/>
        <v>90.666666666665606</v>
      </c>
      <c r="AC195" s="24">
        <f t="shared" si="46"/>
        <v>71.466666666666811</v>
      </c>
      <c r="AD195" s="24">
        <f t="shared" si="46"/>
        <v>79.999999999999943</v>
      </c>
      <c r="AE195" s="24">
        <f t="shared" si="46"/>
        <v>85.33333333333259</v>
      </c>
      <c r="AF195" s="25">
        <f t="shared" si="43"/>
        <v>66.133333333332644</v>
      </c>
      <c r="AG195" s="25">
        <f t="shared" si="43"/>
        <v>74.666666666667197</v>
      </c>
      <c r="AH195" s="25">
        <f t="shared" si="43"/>
        <v>79.999999999999943</v>
      </c>
      <c r="AI195" s="26">
        <f t="shared" si="43"/>
        <v>60.800000000000558</v>
      </c>
      <c r="AJ195" s="26">
        <f t="shared" si="43"/>
        <v>69.333333333332803</v>
      </c>
      <c r="AK195" s="26">
        <f t="shared" si="43"/>
        <v>74.666666666667197</v>
      </c>
    </row>
    <row r="196" spans="4:37" ht="20.100000000000001" customHeight="1">
      <c r="D196" s="27">
        <f t="shared" si="38"/>
        <v>0.53611111111110976</v>
      </c>
      <c r="E196" s="16">
        <f t="shared" si="47"/>
        <v>153.32777777777767</v>
      </c>
      <c r="F196" s="16">
        <f t="shared" si="47"/>
        <v>161.90555555555324</v>
      </c>
      <c r="G196" s="16">
        <f t="shared" si="47"/>
        <v>167.2666666666654</v>
      </c>
      <c r="H196" s="17">
        <f t="shared" si="47"/>
        <v>142.60555555555703</v>
      </c>
      <c r="I196" s="17">
        <f t="shared" si="47"/>
        <v>151.18333333333271</v>
      </c>
      <c r="J196" s="17">
        <f t="shared" si="47"/>
        <v>156.54444444444457</v>
      </c>
      <c r="K196" s="18">
        <f t="shared" si="47"/>
        <v>131.8833333333327</v>
      </c>
      <c r="L196" s="18">
        <f t="shared" si="47"/>
        <v>140.46111111110955</v>
      </c>
      <c r="M196" s="18">
        <f t="shared" si="47"/>
        <v>145.82222222222208</v>
      </c>
      <c r="N196" s="19">
        <f t="shared" si="47"/>
        <v>98.644444444443792</v>
      </c>
      <c r="O196" s="19">
        <f t="shared" si="47"/>
        <v>107.22222222222379</v>
      </c>
      <c r="P196" s="19">
        <f t="shared" si="47"/>
        <v>112.58333333333213</v>
      </c>
      <c r="Q196" s="20">
        <f t="shared" si="47"/>
        <v>93.283333333334525</v>
      </c>
      <c r="R196" s="20">
        <f t="shared" si="47"/>
        <v>101.86111111111217</v>
      </c>
      <c r="S196" s="20">
        <f t="shared" si="47"/>
        <v>107.22222222222379</v>
      </c>
      <c r="T196" s="21">
        <f t="shared" si="47"/>
        <v>87.922222222223382</v>
      </c>
      <c r="U196" s="21">
        <f t="shared" si="46"/>
        <v>96.5</v>
      </c>
      <c r="V196" s="21">
        <f t="shared" si="46"/>
        <v>101.86111111111217</v>
      </c>
      <c r="W196" s="22">
        <f t="shared" si="46"/>
        <v>82.561111111111217</v>
      </c>
      <c r="X196" s="22">
        <f t="shared" si="46"/>
        <v>91.138888888887834</v>
      </c>
      <c r="Y196" s="22">
        <f t="shared" si="46"/>
        <v>96.5</v>
      </c>
      <c r="Z196" s="23">
        <f t="shared" si="46"/>
        <v>77.199999999999051</v>
      </c>
      <c r="AA196" s="23">
        <f t="shared" si="46"/>
        <v>85.777777777777032</v>
      </c>
      <c r="AB196" s="23">
        <f t="shared" si="46"/>
        <v>91.138888888887834</v>
      </c>
      <c r="AC196" s="24">
        <f t="shared" si="46"/>
        <v>71.838888888889031</v>
      </c>
      <c r="AD196" s="24">
        <f t="shared" si="46"/>
        <v>80.416666666666615</v>
      </c>
      <c r="AE196" s="24">
        <f t="shared" si="46"/>
        <v>85.777777777777032</v>
      </c>
      <c r="AF196" s="25">
        <f t="shared" si="43"/>
        <v>66.477777777777092</v>
      </c>
      <c r="AG196" s="25">
        <f t="shared" si="43"/>
        <v>75.055555555556083</v>
      </c>
      <c r="AH196" s="25">
        <f t="shared" si="43"/>
        <v>80.416666666666615</v>
      </c>
      <c r="AI196" s="26">
        <f t="shared" si="43"/>
        <v>61.116666666667228</v>
      </c>
      <c r="AJ196" s="26">
        <f t="shared" si="43"/>
        <v>69.694444444443917</v>
      </c>
      <c r="AK196" s="26">
        <f t="shared" si="43"/>
        <v>75.055555555556083</v>
      </c>
    </row>
    <row r="197" spans="4:37" ht="20.100000000000001" customHeight="1">
      <c r="D197" s="27">
        <f t="shared" ref="D197:D260" si="48">D196+0.2/72</f>
        <v>0.53888888888888753</v>
      </c>
      <c r="E197" s="16">
        <f t="shared" si="47"/>
        <v>154.12222222222212</v>
      </c>
      <c r="F197" s="16">
        <f t="shared" si="47"/>
        <v>162.74444444444214</v>
      </c>
      <c r="G197" s="16">
        <f t="shared" si="47"/>
        <v>168.13333333333208</v>
      </c>
      <c r="H197" s="17">
        <f t="shared" si="47"/>
        <v>143.34444444444591</v>
      </c>
      <c r="I197" s="17">
        <f t="shared" si="47"/>
        <v>151.96666666666604</v>
      </c>
      <c r="J197" s="17">
        <f t="shared" si="47"/>
        <v>157.35555555555567</v>
      </c>
      <c r="K197" s="18">
        <f t="shared" si="47"/>
        <v>132.56666666666604</v>
      </c>
      <c r="L197" s="18">
        <f t="shared" si="47"/>
        <v>141.18888888888733</v>
      </c>
      <c r="M197" s="18">
        <f t="shared" si="47"/>
        <v>146.57777777777764</v>
      </c>
      <c r="N197" s="19">
        <f t="shared" si="47"/>
        <v>99.155555555554898</v>
      </c>
      <c r="O197" s="19">
        <f t="shared" si="47"/>
        <v>107.77777777777935</v>
      </c>
      <c r="P197" s="19">
        <f t="shared" si="47"/>
        <v>113.16666666666546</v>
      </c>
      <c r="Q197" s="20">
        <f t="shared" si="47"/>
        <v>93.766666666667859</v>
      </c>
      <c r="R197" s="20">
        <f t="shared" si="47"/>
        <v>102.38888888888994</v>
      </c>
      <c r="S197" s="20">
        <f t="shared" si="47"/>
        <v>107.77777777777935</v>
      </c>
      <c r="T197" s="21">
        <f t="shared" si="47"/>
        <v>88.377777777778931</v>
      </c>
      <c r="U197" s="21">
        <f t="shared" si="46"/>
        <v>97</v>
      </c>
      <c r="V197" s="21">
        <f t="shared" si="46"/>
        <v>102.38888888888994</v>
      </c>
      <c r="W197" s="22">
        <f t="shared" si="46"/>
        <v>82.988888888888994</v>
      </c>
      <c r="X197" s="22">
        <f t="shared" si="46"/>
        <v>91.611111111110063</v>
      </c>
      <c r="Y197" s="22">
        <f t="shared" si="46"/>
        <v>97</v>
      </c>
      <c r="Z197" s="23">
        <f t="shared" si="46"/>
        <v>77.599999999999056</v>
      </c>
      <c r="AA197" s="23">
        <f t="shared" si="46"/>
        <v>86.222222222221475</v>
      </c>
      <c r="AB197" s="23">
        <f t="shared" si="46"/>
        <v>91.611111111110063</v>
      </c>
      <c r="AC197" s="24">
        <f t="shared" si="46"/>
        <v>72.211111111111251</v>
      </c>
      <c r="AD197" s="24">
        <f t="shared" si="46"/>
        <v>80.833333333333286</v>
      </c>
      <c r="AE197" s="24">
        <f t="shared" si="46"/>
        <v>86.222222222221475</v>
      </c>
      <c r="AF197" s="25">
        <f t="shared" si="43"/>
        <v>66.822222222221541</v>
      </c>
      <c r="AG197" s="25">
        <f t="shared" si="43"/>
        <v>75.444444444444969</v>
      </c>
      <c r="AH197" s="25">
        <f t="shared" si="43"/>
        <v>80.833333333333286</v>
      </c>
      <c r="AI197" s="26">
        <f t="shared" si="43"/>
        <v>61.433333333333898</v>
      </c>
      <c r="AJ197" s="26">
        <f t="shared" si="43"/>
        <v>70.055555555555031</v>
      </c>
      <c r="AK197" s="26">
        <f t="shared" si="43"/>
        <v>75.444444444444969</v>
      </c>
    </row>
    <row r="198" spans="4:37" ht="20.100000000000001" customHeight="1">
      <c r="D198" s="27">
        <f t="shared" si="48"/>
        <v>0.5416666666666653</v>
      </c>
      <c r="E198" s="16">
        <f t="shared" si="47"/>
        <v>154.91666666666657</v>
      </c>
      <c r="F198" s="16">
        <f t="shared" si="47"/>
        <v>163.58333333333104</v>
      </c>
      <c r="G198" s="16">
        <f t="shared" si="47"/>
        <v>168.99999999999875</v>
      </c>
      <c r="H198" s="17">
        <f t="shared" si="47"/>
        <v>144.08333333333479</v>
      </c>
      <c r="I198" s="17">
        <f t="shared" si="47"/>
        <v>152.74999999999937</v>
      </c>
      <c r="J198" s="17">
        <f t="shared" si="47"/>
        <v>158.16666666666677</v>
      </c>
      <c r="K198" s="18">
        <f t="shared" si="47"/>
        <v>133.24999999999937</v>
      </c>
      <c r="L198" s="18">
        <f t="shared" si="47"/>
        <v>141.91666666666512</v>
      </c>
      <c r="M198" s="18">
        <f t="shared" si="47"/>
        <v>147.3333333333332</v>
      </c>
      <c r="N198" s="19">
        <f t="shared" si="47"/>
        <v>99.666666666666003</v>
      </c>
      <c r="O198" s="19">
        <f t="shared" si="47"/>
        <v>108.33333333333491</v>
      </c>
      <c r="P198" s="19">
        <f t="shared" si="47"/>
        <v>113.74999999999879</v>
      </c>
      <c r="Q198" s="20">
        <f t="shared" si="47"/>
        <v>94.250000000001194</v>
      </c>
      <c r="R198" s="20">
        <f t="shared" si="47"/>
        <v>102.91666666666771</v>
      </c>
      <c r="S198" s="20">
        <f t="shared" si="47"/>
        <v>108.33333333333491</v>
      </c>
      <c r="T198" s="21">
        <f t="shared" si="47"/>
        <v>88.83333333333448</v>
      </c>
      <c r="U198" s="21">
        <f t="shared" si="46"/>
        <v>97.5</v>
      </c>
      <c r="V198" s="21">
        <f t="shared" si="46"/>
        <v>102.91666666666771</v>
      </c>
      <c r="W198" s="22">
        <f t="shared" si="46"/>
        <v>83.416666666666771</v>
      </c>
      <c r="X198" s="22">
        <f t="shared" si="46"/>
        <v>92.083333333332291</v>
      </c>
      <c r="Y198" s="22">
        <f t="shared" si="46"/>
        <v>97.5</v>
      </c>
      <c r="Z198" s="23">
        <f t="shared" si="46"/>
        <v>77.999999999999062</v>
      </c>
      <c r="AA198" s="23">
        <f t="shared" si="46"/>
        <v>86.666666666665918</v>
      </c>
      <c r="AB198" s="23">
        <f t="shared" si="46"/>
        <v>92.083333333332291</v>
      </c>
      <c r="AC198" s="24">
        <f t="shared" si="46"/>
        <v>72.583333333333471</v>
      </c>
      <c r="AD198" s="24">
        <f t="shared" si="46"/>
        <v>81.249999999999957</v>
      </c>
      <c r="AE198" s="24">
        <f t="shared" si="46"/>
        <v>86.666666666665918</v>
      </c>
      <c r="AF198" s="25">
        <f t="shared" si="43"/>
        <v>67.166666666665989</v>
      </c>
      <c r="AG198" s="25">
        <f t="shared" si="43"/>
        <v>75.833333333333854</v>
      </c>
      <c r="AH198" s="25">
        <f t="shared" si="43"/>
        <v>81.249999999999957</v>
      </c>
      <c r="AI198" s="26">
        <f t="shared" si="43"/>
        <v>61.750000000000568</v>
      </c>
      <c r="AJ198" s="26">
        <f t="shared" si="43"/>
        <v>70.416666666666146</v>
      </c>
      <c r="AK198" s="26">
        <f t="shared" si="43"/>
        <v>75.833333333333854</v>
      </c>
    </row>
    <row r="199" spans="4:37" ht="20.100000000000001" customHeight="1">
      <c r="D199" s="27">
        <f t="shared" si="48"/>
        <v>0.54444444444444307</v>
      </c>
      <c r="E199" s="16">
        <f t="shared" si="47"/>
        <v>155.71111111111102</v>
      </c>
      <c r="F199" s="16">
        <f t="shared" si="47"/>
        <v>164.42222222221994</v>
      </c>
      <c r="G199" s="16">
        <f t="shared" si="47"/>
        <v>169.86666666666542</v>
      </c>
      <c r="H199" s="17">
        <f t="shared" si="47"/>
        <v>144.82222222222367</v>
      </c>
      <c r="I199" s="17">
        <f t="shared" si="47"/>
        <v>153.53333333333271</v>
      </c>
      <c r="J199" s="17">
        <f t="shared" si="47"/>
        <v>158.97777777777787</v>
      </c>
      <c r="K199" s="18">
        <f t="shared" si="47"/>
        <v>133.93333333333271</v>
      </c>
      <c r="L199" s="18">
        <f t="shared" si="47"/>
        <v>142.64444444444291</v>
      </c>
      <c r="M199" s="18">
        <f t="shared" si="47"/>
        <v>148.08888888888876</v>
      </c>
      <c r="N199" s="19">
        <f t="shared" si="47"/>
        <v>100.17777777777711</v>
      </c>
      <c r="O199" s="19">
        <f t="shared" si="47"/>
        <v>108.88888888889046</v>
      </c>
      <c r="P199" s="19">
        <f t="shared" si="47"/>
        <v>114.33333333333212</v>
      </c>
      <c r="Q199" s="20">
        <f t="shared" si="47"/>
        <v>94.733333333334528</v>
      </c>
      <c r="R199" s="20">
        <f t="shared" si="47"/>
        <v>103.44444444444548</v>
      </c>
      <c r="S199" s="20">
        <f t="shared" si="47"/>
        <v>108.88888888889046</v>
      </c>
      <c r="T199" s="21">
        <f t="shared" si="47"/>
        <v>89.288888888890028</v>
      </c>
      <c r="U199" s="21">
        <f t="shared" si="46"/>
        <v>98</v>
      </c>
      <c r="V199" s="21">
        <f t="shared" si="46"/>
        <v>103.44444444444548</v>
      </c>
      <c r="W199" s="22">
        <f t="shared" si="46"/>
        <v>83.844444444444548</v>
      </c>
      <c r="X199" s="22">
        <f t="shared" si="46"/>
        <v>92.55555555555452</v>
      </c>
      <c r="Y199" s="22">
        <f t="shared" si="46"/>
        <v>98</v>
      </c>
      <c r="Z199" s="23">
        <f t="shared" si="46"/>
        <v>78.399999999999068</v>
      </c>
      <c r="AA199" s="23">
        <f t="shared" si="46"/>
        <v>87.111111111110361</v>
      </c>
      <c r="AB199" s="23">
        <f t="shared" si="46"/>
        <v>92.55555555555452</v>
      </c>
      <c r="AC199" s="24">
        <f t="shared" si="46"/>
        <v>72.955555555555691</v>
      </c>
      <c r="AD199" s="24">
        <f t="shared" si="46"/>
        <v>81.666666666666629</v>
      </c>
      <c r="AE199" s="24">
        <f t="shared" si="46"/>
        <v>87.111111111110361</v>
      </c>
      <c r="AF199" s="25">
        <f t="shared" si="46"/>
        <v>67.511111111110438</v>
      </c>
      <c r="AG199" s="25">
        <f t="shared" si="46"/>
        <v>76.22222222222274</v>
      </c>
      <c r="AH199" s="25">
        <f t="shared" si="46"/>
        <v>81.666666666666629</v>
      </c>
      <c r="AI199" s="26">
        <f t="shared" si="46"/>
        <v>62.066666666667238</v>
      </c>
      <c r="AJ199" s="26">
        <f t="shared" si="46"/>
        <v>70.77777777777726</v>
      </c>
      <c r="AK199" s="26">
        <f t="shared" ref="AK199:AK233" si="49">AK200-(AK$363/360)</f>
        <v>76.22222222222274</v>
      </c>
    </row>
    <row r="200" spans="4:37" ht="20.100000000000001" customHeight="1">
      <c r="D200" s="27">
        <f t="shared" si="48"/>
        <v>0.54722222222222083</v>
      </c>
      <c r="E200" s="16">
        <f t="shared" si="47"/>
        <v>156.50555555555547</v>
      </c>
      <c r="F200" s="16">
        <f t="shared" si="47"/>
        <v>165.26111111110885</v>
      </c>
      <c r="G200" s="16">
        <f t="shared" si="47"/>
        <v>170.7333333333321</v>
      </c>
      <c r="H200" s="17">
        <f t="shared" si="47"/>
        <v>145.56111111111255</v>
      </c>
      <c r="I200" s="17">
        <f t="shared" si="47"/>
        <v>154.31666666666604</v>
      </c>
      <c r="J200" s="17">
        <f t="shared" si="47"/>
        <v>159.78888888888898</v>
      </c>
      <c r="K200" s="18">
        <f t="shared" si="47"/>
        <v>134.61666666666605</v>
      </c>
      <c r="L200" s="18">
        <f t="shared" si="47"/>
        <v>143.3722222222207</v>
      </c>
      <c r="M200" s="18">
        <f t="shared" si="47"/>
        <v>148.84444444444432</v>
      </c>
      <c r="N200" s="19">
        <f t="shared" si="47"/>
        <v>100.68888888888821</v>
      </c>
      <c r="O200" s="19">
        <f t="shared" si="47"/>
        <v>109.44444444444602</v>
      </c>
      <c r="P200" s="19">
        <f t="shared" si="47"/>
        <v>114.91666666666545</v>
      </c>
      <c r="Q200" s="20">
        <f t="shared" si="47"/>
        <v>95.216666666667862</v>
      </c>
      <c r="R200" s="20">
        <f t="shared" si="47"/>
        <v>103.97222222222325</v>
      </c>
      <c r="S200" s="20">
        <f t="shared" si="47"/>
        <v>109.44444444444602</v>
      </c>
      <c r="T200" s="21">
        <f t="shared" si="47"/>
        <v>89.744444444445577</v>
      </c>
      <c r="U200" s="21">
        <f t="shared" si="46"/>
        <v>98.5</v>
      </c>
      <c r="V200" s="21">
        <f t="shared" si="46"/>
        <v>103.97222222222325</v>
      </c>
      <c r="W200" s="22">
        <f t="shared" si="46"/>
        <v>84.272222222222325</v>
      </c>
      <c r="X200" s="22">
        <f t="shared" si="46"/>
        <v>93.027777777776748</v>
      </c>
      <c r="Y200" s="22">
        <f t="shared" si="46"/>
        <v>98.5</v>
      </c>
      <c r="Z200" s="23">
        <f t="shared" si="46"/>
        <v>78.799999999999073</v>
      </c>
      <c r="AA200" s="23">
        <f t="shared" si="46"/>
        <v>87.555555555554804</v>
      </c>
      <c r="AB200" s="23">
        <f t="shared" si="46"/>
        <v>93.027777777776748</v>
      </c>
      <c r="AC200" s="24">
        <f t="shared" si="46"/>
        <v>73.327777777777911</v>
      </c>
      <c r="AD200" s="24">
        <f t="shared" si="46"/>
        <v>82.0833333333333</v>
      </c>
      <c r="AE200" s="24">
        <f t="shared" si="46"/>
        <v>87.555555555554804</v>
      </c>
      <c r="AF200" s="25">
        <f t="shared" si="46"/>
        <v>67.855555555554886</v>
      </c>
      <c r="AG200" s="25">
        <f t="shared" si="46"/>
        <v>76.611111111111626</v>
      </c>
      <c r="AH200" s="25">
        <f t="shared" si="46"/>
        <v>82.0833333333333</v>
      </c>
      <c r="AI200" s="26">
        <f t="shared" si="46"/>
        <v>62.383333333333908</v>
      </c>
      <c r="AJ200" s="26">
        <f t="shared" si="46"/>
        <v>71.138888888888374</v>
      </c>
      <c r="AK200" s="26">
        <f t="shared" si="49"/>
        <v>76.611111111111626</v>
      </c>
    </row>
    <row r="201" spans="4:37" ht="20.100000000000001" customHeight="1">
      <c r="D201" s="27">
        <f t="shared" si="48"/>
        <v>0.5499999999999986</v>
      </c>
      <c r="E201" s="16">
        <f t="shared" si="47"/>
        <v>157.29999999999993</v>
      </c>
      <c r="F201" s="16">
        <f t="shared" si="47"/>
        <v>166.09999999999775</v>
      </c>
      <c r="G201" s="16">
        <f t="shared" si="47"/>
        <v>171.59999999999877</v>
      </c>
      <c r="H201" s="17">
        <f t="shared" si="47"/>
        <v>146.30000000000143</v>
      </c>
      <c r="I201" s="17">
        <f t="shared" si="47"/>
        <v>155.09999999999937</v>
      </c>
      <c r="J201" s="17">
        <f t="shared" si="47"/>
        <v>160.60000000000008</v>
      </c>
      <c r="K201" s="18">
        <f t="shared" si="47"/>
        <v>135.29999999999939</v>
      </c>
      <c r="L201" s="18">
        <f t="shared" si="47"/>
        <v>144.09999999999849</v>
      </c>
      <c r="M201" s="18">
        <f t="shared" si="47"/>
        <v>149.59999999999988</v>
      </c>
      <c r="N201" s="19">
        <f t="shared" si="47"/>
        <v>101.19999999999932</v>
      </c>
      <c r="O201" s="19">
        <f t="shared" si="47"/>
        <v>110.00000000000158</v>
      </c>
      <c r="P201" s="19">
        <f t="shared" si="47"/>
        <v>115.49999999999878</v>
      </c>
      <c r="Q201" s="20">
        <f t="shared" si="47"/>
        <v>95.700000000001197</v>
      </c>
      <c r="R201" s="20">
        <f t="shared" si="47"/>
        <v>104.50000000000102</v>
      </c>
      <c r="S201" s="20">
        <f t="shared" si="47"/>
        <v>110.00000000000158</v>
      </c>
      <c r="T201" s="21">
        <f t="shared" si="47"/>
        <v>90.200000000001125</v>
      </c>
      <c r="U201" s="21">
        <f t="shared" si="46"/>
        <v>99</v>
      </c>
      <c r="V201" s="21">
        <f t="shared" si="46"/>
        <v>104.50000000000102</v>
      </c>
      <c r="W201" s="22">
        <f t="shared" si="46"/>
        <v>84.700000000000102</v>
      </c>
      <c r="X201" s="22">
        <f t="shared" si="46"/>
        <v>93.499999999998977</v>
      </c>
      <c r="Y201" s="22">
        <f t="shared" si="46"/>
        <v>99</v>
      </c>
      <c r="Z201" s="23">
        <f t="shared" si="46"/>
        <v>79.199999999999079</v>
      </c>
      <c r="AA201" s="23">
        <f t="shared" si="46"/>
        <v>87.999999999999247</v>
      </c>
      <c r="AB201" s="23">
        <f t="shared" si="46"/>
        <v>93.499999999998977</v>
      </c>
      <c r="AC201" s="24">
        <f t="shared" si="46"/>
        <v>73.700000000000131</v>
      </c>
      <c r="AD201" s="24">
        <f t="shared" si="46"/>
        <v>82.499999999999972</v>
      </c>
      <c r="AE201" s="24">
        <f t="shared" si="46"/>
        <v>87.999999999999247</v>
      </c>
      <c r="AF201" s="25">
        <f t="shared" si="46"/>
        <v>68.199999999999335</v>
      </c>
      <c r="AG201" s="25">
        <f t="shared" si="46"/>
        <v>77.000000000000512</v>
      </c>
      <c r="AH201" s="25">
        <f t="shared" si="46"/>
        <v>82.499999999999972</v>
      </c>
      <c r="AI201" s="26">
        <f t="shared" si="46"/>
        <v>62.700000000000578</v>
      </c>
      <c r="AJ201" s="26">
        <f t="shared" si="46"/>
        <v>71.499999999999488</v>
      </c>
      <c r="AK201" s="26">
        <f t="shared" si="49"/>
        <v>77.000000000000512</v>
      </c>
    </row>
    <row r="202" spans="4:37" ht="20.100000000000001" customHeight="1">
      <c r="D202" s="27">
        <f t="shared" si="48"/>
        <v>0.55277777777777637</v>
      </c>
      <c r="E202" s="16">
        <f t="shared" si="47"/>
        <v>158.09444444444438</v>
      </c>
      <c r="F202" s="16">
        <f t="shared" si="47"/>
        <v>166.93888888888665</v>
      </c>
      <c r="G202" s="16">
        <f t="shared" si="47"/>
        <v>172.46666666666545</v>
      </c>
      <c r="H202" s="17">
        <f t="shared" si="47"/>
        <v>147.03888888889031</v>
      </c>
      <c r="I202" s="17">
        <f t="shared" si="47"/>
        <v>155.8833333333327</v>
      </c>
      <c r="J202" s="17">
        <f t="shared" si="47"/>
        <v>161.41111111111118</v>
      </c>
      <c r="K202" s="18">
        <f t="shared" si="47"/>
        <v>135.98333333333272</v>
      </c>
      <c r="L202" s="18">
        <f t="shared" si="47"/>
        <v>144.82777777777628</v>
      </c>
      <c r="M202" s="18">
        <f t="shared" si="47"/>
        <v>150.35555555555544</v>
      </c>
      <c r="N202" s="19">
        <f t="shared" si="47"/>
        <v>101.71111111111043</v>
      </c>
      <c r="O202" s="19">
        <f t="shared" si="47"/>
        <v>110.55555555555713</v>
      </c>
      <c r="P202" s="19">
        <f t="shared" si="47"/>
        <v>116.08333333333211</v>
      </c>
      <c r="Q202" s="20">
        <f t="shared" si="47"/>
        <v>96.183333333334531</v>
      </c>
      <c r="R202" s="20">
        <f t="shared" si="47"/>
        <v>105.02777777777879</v>
      </c>
      <c r="S202" s="20">
        <f t="shared" si="47"/>
        <v>110.55555555555713</v>
      </c>
      <c r="T202" s="21">
        <f t="shared" si="47"/>
        <v>90.655555555556674</v>
      </c>
      <c r="U202" s="21">
        <f t="shared" si="46"/>
        <v>99.5</v>
      </c>
      <c r="V202" s="21">
        <f t="shared" si="46"/>
        <v>105.02777777777879</v>
      </c>
      <c r="W202" s="22">
        <f t="shared" si="46"/>
        <v>85.127777777777879</v>
      </c>
      <c r="X202" s="22">
        <f t="shared" si="46"/>
        <v>93.972222222221205</v>
      </c>
      <c r="Y202" s="22">
        <f t="shared" ref="Y202:AJ202" si="50">Y203-(Y$363/360)</f>
        <v>99.5</v>
      </c>
      <c r="Z202" s="23">
        <f t="shared" si="50"/>
        <v>79.599999999999085</v>
      </c>
      <c r="AA202" s="23">
        <f t="shared" si="50"/>
        <v>88.44444444444369</v>
      </c>
      <c r="AB202" s="23">
        <f t="shared" si="50"/>
        <v>93.972222222221205</v>
      </c>
      <c r="AC202" s="24">
        <f t="shared" si="50"/>
        <v>74.072222222222351</v>
      </c>
      <c r="AD202" s="24">
        <f t="shared" si="50"/>
        <v>82.916666666666643</v>
      </c>
      <c r="AE202" s="24">
        <f t="shared" si="50"/>
        <v>88.44444444444369</v>
      </c>
      <c r="AF202" s="25">
        <f t="shared" si="50"/>
        <v>68.544444444443783</v>
      </c>
      <c r="AG202" s="25">
        <f t="shared" si="50"/>
        <v>77.388888888889397</v>
      </c>
      <c r="AH202" s="25">
        <f t="shared" si="50"/>
        <v>82.916666666666643</v>
      </c>
      <c r="AI202" s="26">
        <f t="shared" si="50"/>
        <v>63.016666666667248</v>
      </c>
      <c r="AJ202" s="26">
        <f t="shared" si="50"/>
        <v>71.861111111110603</v>
      </c>
      <c r="AK202" s="26">
        <f t="shared" si="49"/>
        <v>77.388888888889397</v>
      </c>
    </row>
    <row r="203" spans="4:37" ht="20.100000000000001" customHeight="1">
      <c r="D203" s="27">
        <f t="shared" si="48"/>
        <v>0.55555555555555414</v>
      </c>
      <c r="E203" s="16">
        <f t="shared" si="47"/>
        <v>158.88888888888883</v>
      </c>
      <c r="F203" s="16">
        <f t="shared" si="47"/>
        <v>167.77777777777555</v>
      </c>
      <c r="G203" s="16">
        <f t="shared" si="47"/>
        <v>173.33333333333212</v>
      </c>
      <c r="H203" s="17">
        <f t="shared" si="47"/>
        <v>147.77777777777919</v>
      </c>
      <c r="I203" s="17">
        <f t="shared" si="47"/>
        <v>156.66666666666603</v>
      </c>
      <c r="J203" s="17">
        <f t="shared" si="47"/>
        <v>162.22222222222229</v>
      </c>
      <c r="K203" s="18">
        <f t="shared" si="47"/>
        <v>136.66666666666606</v>
      </c>
      <c r="L203" s="18">
        <f t="shared" si="47"/>
        <v>145.55555555555406</v>
      </c>
      <c r="M203" s="18">
        <f t="shared" si="47"/>
        <v>151.111111111111</v>
      </c>
      <c r="N203" s="19">
        <f t="shared" si="47"/>
        <v>102.22222222222153</v>
      </c>
      <c r="O203" s="19">
        <f t="shared" si="47"/>
        <v>111.11111111111269</v>
      </c>
      <c r="P203" s="19">
        <f t="shared" si="47"/>
        <v>116.66666666666544</v>
      </c>
      <c r="Q203" s="20">
        <f t="shared" si="47"/>
        <v>96.666666666667865</v>
      </c>
      <c r="R203" s="20">
        <f t="shared" si="47"/>
        <v>105.55555555555657</v>
      </c>
      <c r="S203" s="20">
        <f t="shared" si="47"/>
        <v>111.11111111111269</v>
      </c>
      <c r="T203" s="21">
        <f t="shared" si="47"/>
        <v>91.111111111112223</v>
      </c>
      <c r="U203" s="21">
        <f t="shared" ref="U203:AI223" si="51">U204-(U$363/360)</f>
        <v>100</v>
      </c>
      <c r="V203" s="21">
        <f t="shared" si="51"/>
        <v>105.55555555555657</v>
      </c>
      <c r="W203" s="22">
        <f t="shared" si="51"/>
        <v>85.555555555555657</v>
      </c>
      <c r="X203" s="22">
        <f t="shared" si="51"/>
        <v>94.444444444443434</v>
      </c>
      <c r="Y203" s="22">
        <f t="shared" si="51"/>
        <v>100</v>
      </c>
      <c r="Z203" s="23">
        <f t="shared" si="51"/>
        <v>79.999999999999091</v>
      </c>
      <c r="AA203" s="23">
        <f t="shared" si="51"/>
        <v>88.888888888888133</v>
      </c>
      <c r="AB203" s="23">
        <f t="shared" si="51"/>
        <v>94.444444444443434</v>
      </c>
      <c r="AC203" s="24">
        <f t="shared" si="51"/>
        <v>74.444444444444571</v>
      </c>
      <c r="AD203" s="24">
        <f t="shared" si="51"/>
        <v>83.333333333333314</v>
      </c>
      <c r="AE203" s="24">
        <f t="shared" si="51"/>
        <v>88.888888888888133</v>
      </c>
      <c r="AF203" s="25">
        <f t="shared" ref="AF203:AF214" si="52">AF204-(AF$363/360)</f>
        <v>68.888888888888232</v>
      </c>
      <c r="AG203" s="25">
        <f t="shared" ref="AG203:AG214" si="53">AG204-(AG$363/360)</f>
        <v>77.777777777778283</v>
      </c>
      <c r="AH203" s="25">
        <f t="shared" ref="AH203:AH214" si="54">AH204-(AH$363/360)</f>
        <v>83.333333333333314</v>
      </c>
      <c r="AI203" s="26">
        <f t="shared" ref="AI203:AI214" si="55">AI204-(AI$363/360)</f>
        <v>63.333333333333918</v>
      </c>
      <c r="AJ203" s="26">
        <f t="shared" ref="AJ203:AJ214" si="56">AJ204-(AJ$363/360)</f>
        <v>72.222222222221717</v>
      </c>
      <c r="AK203" s="26">
        <f t="shared" si="49"/>
        <v>77.777777777778283</v>
      </c>
    </row>
    <row r="204" spans="4:37" ht="20.100000000000001" customHeight="1">
      <c r="D204" s="27">
        <f t="shared" si="48"/>
        <v>0.5583333333333319</v>
      </c>
      <c r="E204" s="16">
        <f t="shared" si="47"/>
        <v>159.68333333333328</v>
      </c>
      <c r="F204" s="16">
        <f t="shared" si="47"/>
        <v>168.61666666666446</v>
      </c>
      <c r="G204" s="16">
        <f t="shared" si="47"/>
        <v>174.19999999999879</v>
      </c>
      <c r="H204" s="17">
        <f t="shared" si="47"/>
        <v>148.51666666666807</v>
      </c>
      <c r="I204" s="17">
        <f t="shared" si="47"/>
        <v>157.44999999999936</v>
      </c>
      <c r="J204" s="17">
        <f t="shared" si="47"/>
        <v>163.03333333333339</v>
      </c>
      <c r="K204" s="18">
        <f t="shared" si="47"/>
        <v>137.3499999999994</v>
      </c>
      <c r="L204" s="18">
        <f t="shared" si="47"/>
        <v>146.28333333333185</v>
      </c>
      <c r="M204" s="18">
        <f t="shared" si="47"/>
        <v>151.86666666666656</v>
      </c>
      <c r="N204" s="19">
        <f t="shared" si="47"/>
        <v>102.73333333333264</v>
      </c>
      <c r="O204" s="19">
        <f t="shared" si="47"/>
        <v>111.66666666666825</v>
      </c>
      <c r="P204" s="19">
        <f t="shared" si="47"/>
        <v>117.24999999999876</v>
      </c>
      <c r="Q204" s="20">
        <f t="shared" si="47"/>
        <v>97.150000000001199</v>
      </c>
      <c r="R204" s="20">
        <f t="shared" si="47"/>
        <v>106.08333333333434</v>
      </c>
      <c r="S204" s="20">
        <f t="shared" si="47"/>
        <v>111.66666666666825</v>
      </c>
      <c r="T204" s="21">
        <f t="shared" si="47"/>
        <v>91.566666666667771</v>
      </c>
      <c r="U204" s="21">
        <f t="shared" si="51"/>
        <v>100.5</v>
      </c>
      <c r="V204" s="21">
        <f t="shared" si="51"/>
        <v>106.08333333333434</v>
      </c>
      <c r="W204" s="22">
        <f t="shared" si="51"/>
        <v>85.983333333333434</v>
      </c>
      <c r="X204" s="22">
        <f t="shared" si="51"/>
        <v>94.916666666665662</v>
      </c>
      <c r="Y204" s="22">
        <f t="shared" si="51"/>
        <v>100.5</v>
      </c>
      <c r="Z204" s="23">
        <f t="shared" si="51"/>
        <v>80.399999999999096</v>
      </c>
      <c r="AA204" s="23">
        <f t="shared" si="51"/>
        <v>89.333333333332575</v>
      </c>
      <c r="AB204" s="23">
        <f t="shared" si="51"/>
        <v>94.916666666665662</v>
      </c>
      <c r="AC204" s="24">
        <f t="shared" si="51"/>
        <v>74.816666666666791</v>
      </c>
      <c r="AD204" s="24">
        <f t="shared" si="51"/>
        <v>83.749999999999986</v>
      </c>
      <c r="AE204" s="24">
        <f t="shared" si="51"/>
        <v>89.333333333332575</v>
      </c>
      <c r="AF204" s="25">
        <f t="shared" si="52"/>
        <v>69.233333333332681</v>
      </c>
      <c r="AG204" s="25">
        <f t="shared" si="53"/>
        <v>78.166666666667169</v>
      </c>
      <c r="AH204" s="25">
        <f t="shared" si="54"/>
        <v>83.749999999999986</v>
      </c>
      <c r="AI204" s="26">
        <f t="shared" si="55"/>
        <v>63.650000000000588</v>
      </c>
      <c r="AJ204" s="26">
        <f t="shared" si="56"/>
        <v>72.583333333332831</v>
      </c>
      <c r="AK204" s="26">
        <f t="shared" si="49"/>
        <v>78.166666666667169</v>
      </c>
    </row>
    <row r="205" spans="4:37" ht="20.100000000000001" customHeight="1">
      <c r="D205" s="27">
        <f t="shared" si="48"/>
        <v>0.56111111111110967</v>
      </c>
      <c r="E205" s="16">
        <f t="shared" si="47"/>
        <v>160.47777777777773</v>
      </c>
      <c r="F205" s="16">
        <f t="shared" si="47"/>
        <v>169.45555555555336</v>
      </c>
      <c r="G205" s="16">
        <f t="shared" si="47"/>
        <v>175.06666666666547</v>
      </c>
      <c r="H205" s="17">
        <f t="shared" si="47"/>
        <v>149.25555555555695</v>
      </c>
      <c r="I205" s="17">
        <f t="shared" si="47"/>
        <v>158.23333333333269</v>
      </c>
      <c r="J205" s="17">
        <f t="shared" si="47"/>
        <v>163.84444444444449</v>
      </c>
      <c r="K205" s="18">
        <f t="shared" si="47"/>
        <v>138.03333333333273</v>
      </c>
      <c r="L205" s="18">
        <f t="shared" si="47"/>
        <v>147.01111111110964</v>
      </c>
      <c r="M205" s="18">
        <f t="shared" si="47"/>
        <v>152.62222222222212</v>
      </c>
      <c r="N205" s="19">
        <f t="shared" si="47"/>
        <v>103.24444444444374</v>
      </c>
      <c r="O205" s="19">
        <f t="shared" si="47"/>
        <v>112.22222222222381</v>
      </c>
      <c r="P205" s="19">
        <f t="shared" si="47"/>
        <v>117.83333333333209</v>
      </c>
      <c r="Q205" s="20">
        <f t="shared" si="47"/>
        <v>97.633333333334534</v>
      </c>
      <c r="R205" s="20">
        <f t="shared" si="47"/>
        <v>106.61111111111211</v>
      </c>
      <c r="S205" s="20">
        <f t="shared" si="47"/>
        <v>112.22222222222381</v>
      </c>
      <c r="T205" s="21">
        <f t="shared" si="47"/>
        <v>92.02222222222332</v>
      </c>
      <c r="U205" s="21">
        <f t="shared" si="51"/>
        <v>101</v>
      </c>
      <c r="V205" s="21">
        <f t="shared" si="51"/>
        <v>106.61111111111211</v>
      </c>
      <c r="W205" s="22">
        <f t="shared" si="51"/>
        <v>86.411111111111211</v>
      </c>
      <c r="X205" s="22">
        <f t="shared" si="51"/>
        <v>95.388888888887891</v>
      </c>
      <c r="Y205" s="22">
        <f t="shared" si="51"/>
        <v>101</v>
      </c>
      <c r="Z205" s="23">
        <f t="shared" si="51"/>
        <v>80.799999999999102</v>
      </c>
      <c r="AA205" s="23">
        <f t="shared" si="51"/>
        <v>89.777777777777018</v>
      </c>
      <c r="AB205" s="23">
        <f t="shared" si="51"/>
        <v>95.388888888887891</v>
      </c>
      <c r="AC205" s="24">
        <f t="shared" si="51"/>
        <v>75.188888888889011</v>
      </c>
      <c r="AD205" s="24">
        <f t="shared" si="51"/>
        <v>84.166666666666657</v>
      </c>
      <c r="AE205" s="24">
        <f t="shared" si="51"/>
        <v>89.777777777777018</v>
      </c>
      <c r="AF205" s="25">
        <f t="shared" si="52"/>
        <v>69.577777777777129</v>
      </c>
      <c r="AG205" s="25">
        <f t="shared" si="53"/>
        <v>78.555555555556055</v>
      </c>
      <c r="AH205" s="25">
        <f t="shared" si="54"/>
        <v>84.166666666666657</v>
      </c>
      <c r="AI205" s="26">
        <f t="shared" si="55"/>
        <v>63.966666666667258</v>
      </c>
      <c r="AJ205" s="26">
        <f t="shared" si="56"/>
        <v>72.944444444443945</v>
      </c>
      <c r="AK205" s="26">
        <f t="shared" si="49"/>
        <v>78.555555555556055</v>
      </c>
    </row>
    <row r="206" spans="4:37" ht="20.100000000000001" customHeight="1">
      <c r="D206" s="27">
        <f t="shared" si="48"/>
        <v>0.56388888888888744</v>
      </c>
      <c r="E206" s="16">
        <f t="shared" si="47"/>
        <v>161.27222222222218</v>
      </c>
      <c r="F206" s="16">
        <f t="shared" si="47"/>
        <v>170.29444444444226</v>
      </c>
      <c r="G206" s="16">
        <f t="shared" si="47"/>
        <v>175.93333333333214</v>
      </c>
      <c r="H206" s="17">
        <f t="shared" si="47"/>
        <v>149.99444444444583</v>
      </c>
      <c r="I206" s="17">
        <f t="shared" si="47"/>
        <v>159.01666666666603</v>
      </c>
      <c r="J206" s="17">
        <f t="shared" si="47"/>
        <v>164.65555555555559</v>
      </c>
      <c r="K206" s="18">
        <f t="shared" si="47"/>
        <v>138.71666666666607</v>
      </c>
      <c r="L206" s="18">
        <f t="shared" si="47"/>
        <v>147.73888888888743</v>
      </c>
      <c r="M206" s="18">
        <f t="shared" si="47"/>
        <v>153.37777777777768</v>
      </c>
      <c r="N206" s="19">
        <f t="shared" si="47"/>
        <v>103.75555555555485</v>
      </c>
      <c r="O206" s="19">
        <f t="shared" si="47"/>
        <v>112.77777777777936</v>
      </c>
      <c r="P206" s="19">
        <f t="shared" si="47"/>
        <v>118.41666666666542</v>
      </c>
      <c r="Q206" s="20">
        <f t="shared" si="47"/>
        <v>98.116666666667868</v>
      </c>
      <c r="R206" s="20">
        <f t="shared" si="47"/>
        <v>107.13888888888988</v>
      </c>
      <c r="S206" s="20">
        <f t="shared" si="47"/>
        <v>112.77777777777936</v>
      </c>
      <c r="T206" s="21">
        <f t="shared" si="47"/>
        <v>92.477777777778869</v>
      </c>
      <c r="U206" s="21">
        <f t="shared" si="51"/>
        <v>101.5</v>
      </c>
      <c r="V206" s="21">
        <f t="shared" si="51"/>
        <v>107.13888888888988</v>
      </c>
      <c r="W206" s="22">
        <f t="shared" si="51"/>
        <v>86.838888888888988</v>
      </c>
      <c r="X206" s="22">
        <f t="shared" si="51"/>
        <v>95.86111111111012</v>
      </c>
      <c r="Y206" s="22">
        <f t="shared" si="51"/>
        <v>101.5</v>
      </c>
      <c r="Z206" s="23">
        <f t="shared" si="51"/>
        <v>81.199999999999108</v>
      </c>
      <c r="AA206" s="23">
        <f t="shared" si="51"/>
        <v>90.222222222221461</v>
      </c>
      <c r="AB206" s="23">
        <f t="shared" si="51"/>
        <v>95.86111111111012</v>
      </c>
      <c r="AC206" s="24">
        <f t="shared" si="51"/>
        <v>75.561111111111231</v>
      </c>
      <c r="AD206" s="24">
        <f t="shared" si="51"/>
        <v>84.583333333333329</v>
      </c>
      <c r="AE206" s="24">
        <f t="shared" si="51"/>
        <v>90.222222222221461</v>
      </c>
      <c r="AF206" s="25">
        <f t="shared" si="52"/>
        <v>69.922222222221578</v>
      </c>
      <c r="AG206" s="25">
        <f t="shared" si="53"/>
        <v>78.94444444444494</v>
      </c>
      <c r="AH206" s="25">
        <f t="shared" si="54"/>
        <v>84.583333333333329</v>
      </c>
      <c r="AI206" s="26">
        <f t="shared" si="55"/>
        <v>64.283333333333928</v>
      </c>
      <c r="AJ206" s="26">
        <f t="shared" si="56"/>
        <v>73.30555555555506</v>
      </c>
      <c r="AK206" s="26">
        <f t="shared" si="49"/>
        <v>78.94444444444494</v>
      </c>
    </row>
    <row r="207" spans="4:37" ht="20.100000000000001" customHeight="1">
      <c r="D207" s="27">
        <f t="shared" si="48"/>
        <v>0.56666666666666521</v>
      </c>
      <c r="E207" s="16">
        <f t="shared" si="47"/>
        <v>162.06666666666663</v>
      </c>
      <c r="F207" s="16">
        <f t="shared" si="47"/>
        <v>171.13333333333117</v>
      </c>
      <c r="G207" s="16">
        <f t="shared" si="47"/>
        <v>176.79999999999882</v>
      </c>
      <c r="H207" s="17">
        <f t="shared" si="47"/>
        <v>150.73333333333471</v>
      </c>
      <c r="I207" s="17">
        <f t="shared" si="47"/>
        <v>159.79999999999936</v>
      </c>
      <c r="J207" s="17">
        <f t="shared" si="47"/>
        <v>165.4666666666667</v>
      </c>
      <c r="K207" s="18">
        <f t="shared" si="47"/>
        <v>139.39999999999941</v>
      </c>
      <c r="L207" s="18">
        <f t="shared" si="47"/>
        <v>148.46666666666522</v>
      </c>
      <c r="M207" s="18">
        <f t="shared" si="47"/>
        <v>154.13333333333324</v>
      </c>
      <c r="N207" s="19">
        <f t="shared" si="47"/>
        <v>104.26666666666596</v>
      </c>
      <c r="O207" s="19">
        <f t="shared" si="47"/>
        <v>113.33333333333492</v>
      </c>
      <c r="P207" s="19">
        <f t="shared" si="47"/>
        <v>118.99999999999875</v>
      </c>
      <c r="Q207" s="20">
        <f t="shared" si="47"/>
        <v>98.600000000001202</v>
      </c>
      <c r="R207" s="20">
        <f t="shared" si="47"/>
        <v>107.66666666666765</v>
      </c>
      <c r="S207" s="20">
        <f t="shared" si="47"/>
        <v>113.33333333333492</v>
      </c>
      <c r="T207" s="21">
        <f t="shared" si="47"/>
        <v>92.933333333334417</v>
      </c>
      <c r="U207" s="21">
        <f t="shared" si="51"/>
        <v>102</v>
      </c>
      <c r="V207" s="21">
        <f t="shared" si="51"/>
        <v>107.66666666666765</v>
      </c>
      <c r="W207" s="22">
        <f t="shared" si="51"/>
        <v>87.266666666666765</v>
      </c>
      <c r="X207" s="22">
        <f t="shared" si="51"/>
        <v>96.333333333332348</v>
      </c>
      <c r="Y207" s="22">
        <f t="shared" si="51"/>
        <v>102</v>
      </c>
      <c r="Z207" s="23">
        <f t="shared" si="51"/>
        <v>81.599999999999113</v>
      </c>
      <c r="AA207" s="23">
        <f t="shared" si="51"/>
        <v>90.666666666665904</v>
      </c>
      <c r="AB207" s="23">
        <f t="shared" si="51"/>
        <v>96.333333333332348</v>
      </c>
      <c r="AC207" s="24">
        <f t="shared" si="51"/>
        <v>75.933333333333451</v>
      </c>
      <c r="AD207" s="24">
        <f t="shared" si="51"/>
        <v>85</v>
      </c>
      <c r="AE207" s="24">
        <f t="shared" si="51"/>
        <v>90.666666666665904</v>
      </c>
      <c r="AF207" s="25">
        <f t="shared" si="52"/>
        <v>70.266666666666026</v>
      </c>
      <c r="AG207" s="25">
        <f t="shared" si="53"/>
        <v>79.333333333333826</v>
      </c>
      <c r="AH207" s="25">
        <f t="shared" si="54"/>
        <v>85</v>
      </c>
      <c r="AI207" s="26">
        <f t="shared" si="55"/>
        <v>64.600000000000591</v>
      </c>
      <c r="AJ207" s="26">
        <f t="shared" si="56"/>
        <v>73.666666666666174</v>
      </c>
      <c r="AK207" s="26">
        <f t="shared" si="49"/>
        <v>79.333333333333826</v>
      </c>
    </row>
    <row r="208" spans="4:37" ht="20.100000000000001" customHeight="1">
      <c r="D208" s="27">
        <f t="shared" si="48"/>
        <v>0.56944444444444298</v>
      </c>
      <c r="E208" s="16">
        <f t="shared" si="47"/>
        <v>162.86111111111109</v>
      </c>
      <c r="F208" s="16">
        <f t="shared" si="47"/>
        <v>171.97222222222007</v>
      </c>
      <c r="G208" s="16">
        <f t="shared" si="47"/>
        <v>177.66666666666549</v>
      </c>
      <c r="H208" s="17">
        <f t="shared" si="47"/>
        <v>151.47222222222359</v>
      </c>
      <c r="I208" s="17">
        <f t="shared" si="47"/>
        <v>160.58333333333269</v>
      </c>
      <c r="J208" s="17">
        <f t="shared" si="47"/>
        <v>166.2777777777778</v>
      </c>
      <c r="K208" s="18">
        <f t="shared" si="47"/>
        <v>140.08333333333275</v>
      </c>
      <c r="L208" s="18">
        <f t="shared" si="47"/>
        <v>149.19444444444301</v>
      </c>
      <c r="M208" s="18">
        <f t="shared" si="47"/>
        <v>154.8888888888888</v>
      </c>
      <c r="N208" s="19">
        <f t="shared" si="47"/>
        <v>104.77777777777706</v>
      </c>
      <c r="O208" s="19">
        <f t="shared" si="47"/>
        <v>113.88888888889048</v>
      </c>
      <c r="P208" s="19">
        <f t="shared" si="47"/>
        <v>119.58333333333208</v>
      </c>
      <c r="Q208" s="20">
        <f t="shared" si="47"/>
        <v>99.083333333334537</v>
      </c>
      <c r="R208" s="20">
        <f t="shared" si="47"/>
        <v>108.19444444444542</v>
      </c>
      <c r="S208" s="20">
        <f t="shared" si="47"/>
        <v>113.88888888889048</v>
      </c>
      <c r="T208" s="21">
        <f t="shared" si="47"/>
        <v>93.388888888889966</v>
      </c>
      <c r="U208" s="21">
        <f t="shared" si="51"/>
        <v>102.5</v>
      </c>
      <c r="V208" s="21">
        <f t="shared" si="51"/>
        <v>108.19444444444542</v>
      </c>
      <c r="W208" s="22">
        <f t="shared" si="51"/>
        <v>87.694444444444542</v>
      </c>
      <c r="X208" s="22">
        <f t="shared" si="51"/>
        <v>96.805555555554577</v>
      </c>
      <c r="Y208" s="22">
        <f t="shared" si="51"/>
        <v>102.5</v>
      </c>
      <c r="Z208" s="23">
        <f t="shared" si="51"/>
        <v>81.999999999999119</v>
      </c>
      <c r="AA208" s="23">
        <f t="shared" si="51"/>
        <v>91.111111111110347</v>
      </c>
      <c r="AB208" s="23">
        <f t="shared" si="51"/>
        <v>96.805555555554577</v>
      </c>
      <c r="AC208" s="24">
        <f t="shared" si="51"/>
        <v>76.305555555555671</v>
      </c>
      <c r="AD208" s="24">
        <f t="shared" si="51"/>
        <v>85.416666666666671</v>
      </c>
      <c r="AE208" s="24">
        <f t="shared" si="51"/>
        <v>91.111111111110347</v>
      </c>
      <c r="AF208" s="25">
        <f t="shared" si="52"/>
        <v>70.611111111110475</v>
      </c>
      <c r="AG208" s="25">
        <f t="shared" si="53"/>
        <v>79.722222222222712</v>
      </c>
      <c r="AH208" s="25">
        <f t="shared" si="54"/>
        <v>85.416666666666671</v>
      </c>
      <c r="AI208" s="26">
        <f t="shared" si="55"/>
        <v>64.916666666667254</v>
      </c>
      <c r="AJ208" s="26">
        <f t="shared" si="56"/>
        <v>74.027777777777288</v>
      </c>
      <c r="AK208" s="26">
        <f t="shared" si="49"/>
        <v>79.722222222222712</v>
      </c>
    </row>
    <row r="209" spans="4:37" ht="20.100000000000001" customHeight="1">
      <c r="D209" s="27">
        <f t="shared" si="48"/>
        <v>0.57222222222222074</v>
      </c>
      <c r="E209" s="16">
        <f t="shared" si="47"/>
        <v>163.65555555555554</v>
      </c>
      <c r="F209" s="16">
        <f t="shared" si="47"/>
        <v>172.81111111110897</v>
      </c>
      <c r="G209" s="16">
        <f t="shared" si="47"/>
        <v>178.53333333333217</v>
      </c>
      <c r="H209" s="17">
        <f t="shared" si="47"/>
        <v>152.21111111111247</v>
      </c>
      <c r="I209" s="17">
        <f t="shared" si="47"/>
        <v>161.36666666666602</v>
      </c>
      <c r="J209" s="17">
        <f t="shared" si="47"/>
        <v>167.0888888888889</v>
      </c>
      <c r="K209" s="18">
        <f t="shared" si="47"/>
        <v>140.76666666666608</v>
      </c>
      <c r="L209" s="18">
        <f t="shared" si="47"/>
        <v>149.9222222222208</v>
      </c>
      <c r="M209" s="18">
        <f t="shared" si="47"/>
        <v>155.64444444444436</v>
      </c>
      <c r="N209" s="19">
        <f t="shared" si="47"/>
        <v>105.28888888888817</v>
      </c>
      <c r="O209" s="19">
        <f t="shared" si="47"/>
        <v>114.44444444444603</v>
      </c>
      <c r="P209" s="19">
        <f t="shared" si="47"/>
        <v>120.16666666666541</v>
      </c>
      <c r="Q209" s="20">
        <f t="shared" si="47"/>
        <v>99.566666666667871</v>
      </c>
      <c r="R209" s="20">
        <f t="shared" si="47"/>
        <v>108.72222222222319</v>
      </c>
      <c r="S209" s="20">
        <f t="shared" si="47"/>
        <v>114.44444444444603</v>
      </c>
      <c r="T209" s="21">
        <f>T210-(T$363/360)</f>
        <v>93.844444444445514</v>
      </c>
      <c r="U209" s="21">
        <f t="shared" si="51"/>
        <v>103</v>
      </c>
      <c r="V209" s="21">
        <f t="shared" si="51"/>
        <v>108.72222222222319</v>
      </c>
      <c r="W209" s="22">
        <f t="shared" si="51"/>
        <v>88.122222222222319</v>
      </c>
      <c r="X209" s="22">
        <f t="shared" si="51"/>
        <v>97.277777777776805</v>
      </c>
      <c r="Y209" s="22">
        <f t="shared" si="51"/>
        <v>103</v>
      </c>
      <c r="Z209" s="23">
        <f t="shared" si="51"/>
        <v>82.399999999999125</v>
      </c>
      <c r="AA209" s="23">
        <f t="shared" si="51"/>
        <v>91.55555555555479</v>
      </c>
      <c r="AB209" s="23">
        <f t="shared" si="51"/>
        <v>97.277777777776805</v>
      </c>
      <c r="AC209" s="24">
        <f t="shared" si="51"/>
        <v>76.677777777777891</v>
      </c>
      <c r="AD209" s="24">
        <f t="shared" si="51"/>
        <v>85.833333333333343</v>
      </c>
      <c r="AE209" s="24">
        <f t="shared" si="51"/>
        <v>91.55555555555479</v>
      </c>
      <c r="AF209" s="25">
        <f t="shared" si="52"/>
        <v>70.955555555554923</v>
      </c>
      <c r="AG209" s="25">
        <f t="shared" si="53"/>
        <v>80.111111111111597</v>
      </c>
      <c r="AH209" s="25">
        <f t="shared" si="54"/>
        <v>85.833333333333343</v>
      </c>
      <c r="AI209" s="26">
        <f t="shared" si="55"/>
        <v>65.233333333333917</v>
      </c>
      <c r="AJ209" s="26">
        <f t="shared" si="56"/>
        <v>74.388888888888403</v>
      </c>
      <c r="AK209" s="26">
        <f t="shared" si="49"/>
        <v>80.111111111111597</v>
      </c>
    </row>
    <row r="210" spans="4:37" ht="20.100000000000001" customHeight="1">
      <c r="D210" s="27">
        <f t="shared" si="48"/>
        <v>0.57499999999999851</v>
      </c>
      <c r="E210" s="16">
        <f t="shared" ref="E210:T225" si="57">E211-(E$363/360)</f>
        <v>164.45</v>
      </c>
      <c r="F210" s="16">
        <f t="shared" si="57"/>
        <v>173.64999999999787</v>
      </c>
      <c r="G210" s="16">
        <f t="shared" si="57"/>
        <v>179.39999999999884</v>
      </c>
      <c r="H210" s="17">
        <f t="shared" si="57"/>
        <v>152.95000000000135</v>
      </c>
      <c r="I210" s="17">
        <f t="shared" si="57"/>
        <v>162.14999999999935</v>
      </c>
      <c r="J210" s="17">
        <f t="shared" si="57"/>
        <v>167.9</v>
      </c>
      <c r="K210" s="18">
        <f t="shared" si="57"/>
        <v>141.44999999999942</v>
      </c>
      <c r="L210" s="18">
        <f t="shared" si="57"/>
        <v>150.64999999999858</v>
      </c>
      <c r="M210" s="18">
        <f t="shared" si="57"/>
        <v>156.39999999999992</v>
      </c>
      <c r="N210" s="19">
        <f t="shared" si="57"/>
        <v>105.79999999999927</v>
      </c>
      <c r="O210" s="19">
        <f t="shared" si="57"/>
        <v>115.00000000000159</v>
      </c>
      <c r="P210" s="19">
        <f t="shared" si="57"/>
        <v>120.74999999999874</v>
      </c>
      <c r="Q210" s="20">
        <f t="shared" si="57"/>
        <v>100.05000000000121</v>
      </c>
      <c r="R210" s="20">
        <f t="shared" si="57"/>
        <v>109.25000000000097</v>
      </c>
      <c r="S210" s="20">
        <f t="shared" si="57"/>
        <v>115.00000000000159</v>
      </c>
      <c r="T210" s="21">
        <f t="shared" si="57"/>
        <v>94.300000000001063</v>
      </c>
      <c r="U210" s="21">
        <f t="shared" si="51"/>
        <v>103.5</v>
      </c>
      <c r="V210" s="21">
        <f t="shared" si="51"/>
        <v>109.25000000000097</v>
      </c>
      <c r="W210" s="22">
        <f t="shared" si="51"/>
        <v>88.550000000000097</v>
      </c>
      <c r="X210" s="22">
        <f t="shared" si="51"/>
        <v>97.749999999999034</v>
      </c>
      <c r="Y210" s="22">
        <f t="shared" si="51"/>
        <v>103.5</v>
      </c>
      <c r="Z210" s="23">
        <f t="shared" si="51"/>
        <v>82.79999999999913</v>
      </c>
      <c r="AA210" s="23">
        <f t="shared" si="51"/>
        <v>91.999999999999233</v>
      </c>
      <c r="AB210" s="23">
        <f t="shared" si="51"/>
        <v>97.749999999999034</v>
      </c>
      <c r="AC210" s="24">
        <f t="shared" si="51"/>
        <v>77.050000000000111</v>
      </c>
      <c r="AD210" s="24">
        <f t="shared" si="51"/>
        <v>86.250000000000014</v>
      </c>
      <c r="AE210" s="24">
        <f t="shared" si="51"/>
        <v>91.999999999999233</v>
      </c>
      <c r="AF210" s="25">
        <f t="shared" si="52"/>
        <v>71.299999999999372</v>
      </c>
      <c r="AG210" s="25">
        <f t="shared" si="53"/>
        <v>80.500000000000483</v>
      </c>
      <c r="AH210" s="25">
        <f t="shared" si="54"/>
        <v>86.250000000000014</v>
      </c>
      <c r="AI210" s="26">
        <f t="shared" si="55"/>
        <v>65.55000000000058</v>
      </c>
      <c r="AJ210" s="26">
        <f t="shared" si="56"/>
        <v>74.749999999999517</v>
      </c>
      <c r="AK210" s="26">
        <f t="shared" si="49"/>
        <v>80.500000000000483</v>
      </c>
    </row>
    <row r="211" spans="4:37" ht="20.100000000000001" customHeight="1">
      <c r="D211" s="27">
        <f t="shared" si="48"/>
        <v>0.57777777777777628</v>
      </c>
      <c r="E211" s="16">
        <f t="shared" si="57"/>
        <v>165.24444444444444</v>
      </c>
      <c r="F211" s="16">
        <f t="shared" si="57"/>
        <v>174.48888888888678</v>
      </c>
      <c r="G211" s="16">
        <f t="shared" si="57"/>
        <v>180.26666666666551</v>
      </c>
      <c r="H211" s="17">
        <f t="shared" si="57"/>
        <v>153.68888888889023</v>
      </c>
      <c r="I211" s="17">
        <f t="shared" si="57"/>
        <v>162.93333333333268</v>
      </c>
      <c r="J211" s="17">
        <f t="shared" si="57"/>
        <v>168.71111111111111</v>
      </c>
      <c r="K211" s="18">
        <f t="shared" si="57"/>
        <v>142.13333333333276</v>
      </c>
      <c r="L211" s="18">
        <f t="shared" si="57"/>
        <v>151.37777777777637</v>
      </c>
      <c r="M211" s="18">
        <f t="shared" si="57"/>
        <v>157.15555555555548</v>
      </c>
      <c r="N211" s="19">
        <f t="shared" si="57"/>
        <v>106.31111111111038</v>
      </c>
      <c r="O211" s="19">
        <f t="shared" si="57"/>
        <v>115.55555555555715</v>
      </c>
      <c r="P211" s="19">
        <f t="shared" si="57"/>
        <v>121.33333333333206</v>
      </c>
      <c r="Q211" s="20">
        <f t="shared" si="57"/>
        <v>100.53333333333454</v>
      </c>
      <c r="R211" s="20">
        <f t="shared" si="57"/>
        <v>109.77777777777874</v>
      </c>
      <c r="S211" s="20">
        <f t="shared" si="57"/>
        <v>115.55555555555715</v>
      </c>
      <c r="T211" s="21">
        <f t="shared" si="57"/>
        <v>94.755555555556612</v>
      </c>
      <c r="U211" s="21">
        <f t="shared" si="51"/>
        <v>104</v>
      </c>
      <c r="V211" s="21">
        <f t="shared" si="51"/>
        <v>109.77777777777874</v>
      </c>
      <c r="W211" s="22">
        <f t="shared" si="51"/>
        <v>88.977777777777874</v>
      </c>
      <c r="X211" s="22">
        <f t="shared" si="51"/>
        <v>98.222222222221262</v>
      </c>
      <c r="Y211" s="22">
        <f t="shared" si="51"/>
        <v>104</v>
      </c>
      <c r="Z211" s="23">
        <f t="shared" si="51"/>
        <v>83.199999999999136</v>
      </c>
      <c r="AA211" s="23">
        <f t="shared" si="51"/>
        <v>92.444444444443675</v>
      </c>
      <c r="AB211" s="23">
        <f t="shared" si="51"/>
        <v>98.222222222221262</v>
      </c>
      <c r="AC211" s="24">
        <f t="shared" si="51"/>
        <v>77.422222222222331</v>
      </c>
      <c r="AD211" s="24">
        <f t="shared" si="51"/>
        <v>86.666666666666686</v>
      </c>
      <c r="AE211" s="24">
        <f t="shared" si="51"/>
        <v>92.444444444443675</v>
      </c>
      <c r="AF211" s="25">
        <f t="shared" si="52"/>
        <v>71.64444444444382</v>
      </c>
      <c r="AG211" s="25">
        <f t="shared" si="53"/>
        <v>80.888888888889369</v>
      </c>
      <c r="AH211" s="25">
        <f t="shared" si="54"/>
        <v>86.666666666666686</v>
      </c>
      <c r="AI211" s="26">
        <f t="shared" si="55"/>
        <v>65.866666666667243</v>
      </c>
      <c r="AJ211" s="26">
        <f t="shared" si="56"/>
        <v>75.111111111110631</v>
      </c>
      <c r="AK211" s="26">
        <f t="shared" si="49"/>
        <v>80.888888888889369</v>
      </c>
    </row>
    <row r="212" spans="4:37" ht="20.100000000000001" customHeight="1">
      <c r="D212" s="27">
        <f t="shared" si="48"/>
        <v>0.58055555555555405</v>
      </c>
      <c r="E212" s="16">
        <f t="shared" si="57"/>
        <v>166.03888888888889</v>
      </c>
      <c r="F212" s="16">
        <f t="shared" si="57"/>
        <v>175.32777777777568</v>
      </c>
      <c r="G212" s="16">
        <f t="shared" si="57"/>
        <v>181.13333333333219</v>
      </c>
      <c r="H212" s="17">
        <f t="shared" si="57"/>
        <v>154.42777777777911</v>
      </c>
      <c r="I212" s="17">
        <f t="shared" si="57"/>
        <v>163.71666666666601</v>
      </c>
      <c r="J212" s="17">
        <f t="shared" si="57"/>
        <v>169.52222222222221</v>
      </c>
      <c r="K212" s="18">
        <f t="shared" si="57"/>
        <v>142.81666666666609</v>
      </c>
      <c r="L212" s="18">
        <f t="shared" si="57"/>
        <v>152.10555555555416</v>
      </c>
      <c r="M212" s="18">
        <f t="shared" si="57"/>
        <v>157.91111111111104</v>
      </c>
      <c r="N212" s="19">
        <f t="shared" si="57"/>
        <v>106.82222222222148</v>
      </c>
      <c r="O212" s="19">
        <f t="shared" si="57"/>
        <v>116.11111111111271</v>
      </c>
      <c r="P212" s="19">
        <f t="shared" si="57"/>
        <v>121.91666666666539</v>
      </c>
      <c r="Q212" s="20">
        <f t="shared" si="57"/>
        <v>101.01666666666787</v>
      </c>
      <c r="R212" s="20">
        <f t="shared" si="57"/>
        <v>110.30555555555651</v>
      </c>
      <c r="S212" s="20">
        <f t="shared" si="57"/>
        <v>116.11111111111271</v>
      </c>
      <c r="T212" s="21">
        <f t="shared" si="57"/>
        <v>95.21111111111216</v>
      </c>
      <c r="U212" s="21">
        <f t="shared" si="51"/>
        <v>104.5</v>
      </c>
      <c r="V212" s="21">
        <f t="shared" si="51"/>
        <v>110.30555555555651</v>
      </c>
      <c r="W212" s="22">
        <f t="shared" si="51"/>
        <v>89.405555555555651</v>
      </c>
      <c r="X212" s="22">
        <f t="shared" si="51"/>
        <v>98.694444444443491</v>
      </c>
      <c r="Y212" s="22">
        <f t="shared" si="51"/>
        <v>104.5</v>
      </c>
      <c r="Z212" s="23">
        <f t="shared" si="51"/>
        <v>83.599999999999142</v>
      </c>
      <c r="AA212" s="23">
        <f t="shared" si="51"/>
        <v>92.888888888888118</v>
      </c>
      <c r="AB212" s="23">
        <f t="shared" si="51"/>
        <v>98.694444444443491</v>
      </c>
      <c r="AC212" s="24">
        <f t="shared" si="51"/>
        <v>77.794444444444551</v>
      </c>
      <c r="AD212" s="24">
        <f t="shared" si="51"/>
        <v>87.083333333333357</v>
      </c>
      <c r="AE212" s="24">
        <f t="shared" si="51"/>
        <v>92.888888888888118</v>
      </c>
      <c r="AF212" s="25">
        <f t="shared" si="52"/>
        <v>71.988888888888269</v>
      </c>
      <c r="AG212" s="25">
        <f t="shared" si="53"/>
        <v>81.277777777778255</v>
      </c>
      <c r="AH212" s="25">
        <f t="shared" si="54"/>
        <v>87.083333333333357</v>
      </c>
      <c r="AI212" s="26">
        <f t="shared" si="55"/>
        <v>66.183333333333906</v>
      </c>
      <c r="AJ212" s="26">
        <f t="shared" si="56"/>
        <v>75.472222222221745</v>
      </c>
      <c r="AK212" s="26">
        <f t="shared" si="49"/>
        <v>81.277777777778255</v>
      </c>
    </row>
    <row r="213" spans="4:37" ht="20.100000000000001" customHeight="1">
      <c r="D213" s="27">
        <f t="shared" si="48"/>
        <v>0.58333333333333182</v>
      </c>
      <c r="E213" s="16">
        <f t="shared" si="57"/>
        <v>166.83333333333334</v>
      </c>
      <c r="F213" s="16">
        <f t="shared" si="57"/>
        <v>176.16666666666458</v>
      </c>
      <c r="G213" s="16">
        <f t="shared" si="57"/>
        <v>181.99999999999886</v>
      </c>
      <c r="H213" s="17">
        <f t="shared" si="57"/>
        <v>155.16666666666799</v>
      </c>
      <c r="I213" s="17">
        <f t="shared" si="57"/>
        <v>164.49999999999935</v>
      </c>
      <c r="J213" s="17">
        <f t="shared" si="57"/>
        <v>170.33333333333331</v>
      </c>
      <c r="K213" s="18">
        <f t="shared" si="57"/>
        <v>143.49999999999943</v>
      </c>
      <c r="L213" s="18">
        <f t="shared" si="57"/>
        <v>152.83333333333195</v>
      </c>
      <c r="M213" s="18">
        <f t="shared" si="57"/>
        <v>158.6666666666666</v>
      </c>
      <c r="N213" s="19">
        <f t="shared" si="57"/>
        <v>107.33333333333259</v>
      </c>
      <c r="O213" s="19">
        <f t="shared" si="57"/>
        <v>116.66666666666826</v>
      </c>
      <c r="P213" s="19">
        <f t="shared" si="57"/>
        <v>122.49999999999872</v>
      </c>
      <c r="Q213" s="20">
        <f t="shared" si="57"/>
        <v>101.50000000000121</v>
      </c>
      <c r="R213" s="20">
        <f t="shared" si="57"/>
        <v>110.83333333333428</v>
      </c>
      <c r="S213" s="20">
        <f t="shared" si="57"/>
        <v>116.66666666666826</v>
      </c>
      <c r="T213" s="21">
        <f t="shared" si="57"/>
        <v>95.666666666667709</v>
      </c>
      <c r="U213" s="21">
        <f t="shared" si="51"/>
        <v>105</v>
      </c>
      <c r="V213" s="21">
        <f t="shared" si="51"/>
        <v>110.83333333333428</v>
      </c>
      <c r="W213" s="22">
        <f t="shared" si="51"/>
        <v>89.833333333333428</v>
      </c>
      <c r="X213" s="22">
        <f t="shared" si="51"/>
        <v>99.166666666665719</v>
      </c>
      <c r="Y213" s="22">
        <f t="shared" si="51"/>
        <v>105</v>
      </c>
      <c r="Z213" s="23">
        <f t="shared" si="51"/>
        <v>83.999999999999147</v>
      </c>
      <c r="AA213" s="23">
        <f t="shared" si="51"/>
        <v>93.333333333332561</v>
      </c>
      <c r="AB213" s="23">
        <f t="shared" si="51"/>
        <v>99.166666666665719</v>
      </c>
      <c r="AC213" s="24">
        <f t="shared" si="51"/>
        <v>78.166666666666771</v>
      </c>
      <c r="AD213" s="24">
        <f t="shared" si="51"/>
        <v>87.500000000000028</v>
      </c>
      <c r="AE213" s="24">
        <f t="shared" si="51"/>
        <v>93.333333333332561</v>
      </c>
      <c r="AF213" s="25">
        <f t="shared" si="52"/>
        <v>72.333333333332718</v>
      </c>
      <c r="AG213" s="25">
        <f t="shared" si="53"/>
        <v>81.66666666666714</v>
      </c>
      <c r="AH213" s="25">
        <f t="shared" si="54"/>
        <v>87.500000000000028</v>
      </c>
      <c r="AI213" s="26">
        <f t="shared" si="55"/>
        <v>66.500000000000568</v>
      </c>
      <c r="AJ213" s="26">
        <f t="shared" si="56"/>
        <v>75.83333333333286</v>
      </c>
      <c r="AK213" s="26">
        <f t="shared" si="49"/>
        <v>81.66666666666714</v>
      </c>
    </row>
    <row r="214" spans="4:37" ht="20.100000000000001" customHeight="1">
      <c r="D214" s="27">
        <f t="shared" si="48"/>
        <v>0.58611111111110958</v>
      </c>
      <c r="E214" s="16">
        <f t="shared" si="57"/>
        <v>167.62777777777779</v>
      </c>
      <c r="F214" s="16">
        <f t="shared" si="57"/>
        <v>177.00555555555349</v>
      </c>
      <c r="G214" s="16">
        <f t="shared" si="57"/>
        <v>182.86666666666554</v>
      </c>
      <c r="H214" s="17">
        <f t="shared" si="57"/>
        <v>155.90555555555687</v>
      </c>
      <c r="I214" s="17">
        <f t="shared" si="57"/>
        <v>165.28333333333268</v>
      </c>
      <c r="J214" s="17">
        <f t="shared" si="57"/>
        <v>171.14444444444442</v>
      </c>
      <c r="K214" s="18">
        <f t="shared" si="57"/>
        <v>144.18333333333277</v>
      </c>
      <c r="L214" s="18">
        <f t="shared" si="57"/>
        <v>153.56111111110974</v>
      </c>
      <c r="M214" s="18">
        <f t="shared" si="57"/>
        <v>159.42222222222216</v>
      </c>
      <c r="N214" s="19">
        <f t="shared" si="57"/>
        <v>107.8444444444437</v>
      </c>
      <c r="O214" s="19">
        <f t="shared" si="57"/>
        <v>117.22222222222382</v>
      </c>
      <c r="P214" s="19">
        <f t="shared" si="57"/>
        <v>123.08333333333205</v>
      </c>
      <c r="Q214" s="20">
        <f t="shared" si="57"/>
        <v>101.98333333333454</v>
      </c>
      <c r="R214" s="20">
        <f t="shared" si="57"/>
        <v>111.36111111111205</v>
      </c>
      <c r="S214" s="20">
        <f t="shared" si="57"/>
        <v>117.22222222222382</v>
      </c>
      <c r="T214" s="21">
        <f t="shared" si="57"/>
        <v>96.122222222223257</v>
      </c>
      <c r="U214" s="21">
        <f t="shared" si="51"/>
        <v>105.5</v>
      </c>
      <c r="V214" s="21">
        <f t="shared" si="51"/>
        <v>111.36111111111205</v>
      </c>
      <c r="W214" s="22">
        <f t="shared" si="51"/>
        <v>90.261111111111205</v>
      </c>
      <c r="X214" s="22">
        <f t="shared" si="51"/>
        <v>99.638888888887948</v>
      </c>
      <c r="Y214" s="22">
        <f t="shared" si="51"/>
        <v>105.5</v>
      </c>
      <c r="Z214" s="23">
        <f t="shared" si="51"/>
        <v>84.399999999999153</v>
      </c>
      <c r="AA214" s="23">
        <f t="shared" si="51"/>
        <v>93.777777777777004</v>
      </c>
      <c r="AB214" s="23">
        <f t="shared" si="51"/>
        <v>99.638888888887948</v>
      </c>
      <c r="AC214" s="24">
        <f t="shared" si="51"/>
        <v>78.538888888888991</v>
      </c>
      <c r="AD214" s="24">
        <f t="shared" si="51"/>
        <v>87.9166666666667</v>
      </c>
      <c r="AE214" s="24">
        <f t="shared" si="51"/>
        <v>93.777777777777004</v>
      </c>
      <c r="AF214" s="25">
        <f t="shared" si="52"/>
        <v>72.677777777777166</v>
      </c>
      <c r="AG214" s="25">
        <f t="shared" si="53"/>
        <v>82.055555555556026</v>
      </c>
      <c r="AH214" s="25">
        <f t="shared" si="54"/>
        <v>87.9166666666667</v>
      </c>
      <c r="AI214" s="26">
        <f t="shared" si="55"/>
        <v>66.816666666667231</v>
      </c>
      <c r="AJ214" s="26">
        <f t="shared" si="56"/>
        <v>76.194444444443974</v>
      </c>
      <c r="AK214" s="26">
        <f t="shared" si="49"/>
        <v>82.055555555556026</v>
      </c>
    </row>
    <row r="215" spans="4:37" ht="20.100000000000001" customHeight="1">
      <c r="D215" s="27">
        <f t="shared" si="48"/>
        <v>0.58888888888888735</v>
      </c>
      <c r="E215" s="16">
        <f t="shared" si="57"/>
        <v>168.42222222222225</v>
      </c>
      <c r="F215" s="16">
        <f t="shared" si="57"/>
        <v>177.84444444444239</v>
      </c>
      <c r="G215" s="16">
        <f t="shared" si="57"/>
        <v>183.73333333333221</v>
      </c>
      <c r="H215" s="17">
        <f t="shared" si="57"/>
        <v>156.64444444444575</v>
      </c>
      <c r="I215" s="17">
        <f t="shared" si="57"/>
        <v>166.06666666666601</v>
      </c>
      <c r="J215" s="17">
        <f t="shared" si="57"/>
        <v>171.95555555555552</v>
      </c>
      <c r="K215" s="18">
        <f t="shared" si="57"/>
        <v>144.86666666666611</v>
      </c>
      <c r="L215" s="18">
        <f t="shared" si="57"/>
        <v>154.28888888888753</v>
      </c>
      <c r="M215" s="18">
        <f t="shared" si="57"/>
        <v>160.17777777777772</v>
      </c>
      <c r="N215" s="19">
        <f t="shared" si="57"/>
        <v>108.3555555555548</v>
      </c>
      <c r="O215" s="19">
        <f t="shared" si="57"/>
        <v>117.77777777777938</v>
      </c>
      <c r="P215" s="19">
        <f t="shared" si="57"/>
        <v>123.66666666666538</v>
      </c>
      <c r="Q215" s="20">
        <f t="shared" si="57"/>
        <v>102.46666666666788</v>
      </c>
      <c r="R215" s="20">
        <f t="shared" si="57"/>
        <v>111.88888888888982</v>
      </c>
      <c r="S215" s="20">
        <f t="shared" si="57"/>
        <v>117.77777777777938</v>
      </c>
      <c r="T215" s="21">
        <f t="shared" si="57"/>
        <v>96.577777777778806</v>
      </c>
      <c r="U215" s="21">
        <f t="shared" si="51"/>
        <v>106</v>
      </c>
      <c r="V215" s="21">
        <f t="shared" si="51"/>
        <v>111.88888888888982</v>
      </c>
      <c r="W215" s="22">
        <f t="shared" si="51"/>
        <v>90.688888888888982</v>
      </c>
      <c r="X215" s="22">
        <f t="shared" si="51"/>
        <v>100.11111111111018</v>
      </c>
      <c r="Y215" s="22">
        <f t="shared" si="51"/>
        <v>106</v>
      </c>
      <c r="Z215" s="23">
        <f t="shared" si="51"/>
        <v>84.799999999999159</v>
      </c>
      <c r="AA215" s="23">
        <f t="shared" si="51"/>
        <v>94.222222222221447</v>
      </c>
      <c r="AB215" s="23">
        <f t="shared" si="51"/>
        <v>100.11111111111018</v>
      </c>
      <c r="AC215" s="24">
        <f t="shared" si="51"/>
        <v>78.911111111111211</v>
      </c>
      <c r="AD215" s="24">
        <f t="shared" si="51"/>
        <v>88.333333333333371</v>
      </c>
      <c r="AE215" s="24">
        <f t="shared" si="51"/>
        <v>94.222222222221447</v>
      </c>
      <c r="AF215" s="25">
        <f t="shared" si="51"/>
        <v>73.022222222221615</v>
      </c>
      <c r="AG215" s="25">
        <f t="shared" si="51"/>
        <v>82.444444444444912</v>
      </c>
      <c r="AH215" s="25">
        <f t="shared" ref="AH215:AJ216" si="58">AH216-(AH$363/360)</f>
        <v>88.333333333333371</v>
      </c>
      <c r="AI215" s="26">
        <f t="shared" si="58"/>
        <v>67.133333333333894</v>
      </c>
      <c r="AJ215" s="26">
        <f t="shared" si="58"/>
        <v>76.555555555555088</v>
      </c>
      <c r="AK215" s="26">
        <f t="shared" si="49"/>
        <v>82.444444444444912</v>
      </c>
    </row>
    <row r="216" spans="4:37" ht="20.100000000000001" customHeight="1">
      <c r="D216" s="27">
        <f t="shared" si="48"/>
        <v>0.59166666666666512</v>
      </c>
      <c r="E216" s="16">
        <f t="shared" si="57"/>
        <v>169.2166666666667</v>
      </c>
      <c r="F216" s="16">
        <f t="shared" si="57"/>
        <v>178.68333333333129</v>
      </c>
      <c r="G216" s="16">
        <f t="shared" si="57"/>
        <v>184.59999999999889</v>
      </c>
      <c r="H216" s="17">
        <f t="shared" si="57"/>
        <v>157.38333333333463</v>
      </c>
      <c r="I216" s="17">
        <f t="shared" si="57"/>
        <v>166.84999999999934</v>
      </c>
      <c r="J216" s="17">
        <f t="shared" si="57"/>
        <v>172.76666666666662</v>
      </c>
      <c r="K216" s="18">
        <f t="shared" si="57"/>
        <v>145.54999999999944</v>
      </c>
      <c r="L216" s="18">
        <f t="shared" si="57"/>
        <v>155.01666666666532</v>
      </c>
      <c r="M216" s="18">
        <f t="shared" si="57"/>
        <v>160.93333333333328</v>
      </c>
      <c r="N216" s="19">
        <f t="shared" si="57"/>
        <v>108.86666666666591</v>
      </c>
      <c r="O216" s="19">
        <f t="shared" si="57"/>
        <v>118.33333333333493</v>
      </c>
      <c r="P216" s="19">
        <f t="shared" si="57"/>
        <v>124.24999999999871</v>
      </c>
      <c r="Q216" s="20">
        <f t="shared" si="57"/>
        <v>102.95000000000121</v>
      </c>
      <c r="R216" s="20">
        <f t="shared" si="57"/>
        <v>112.4166666666676</v>
      </c>
      <c r="S216" s="20">
        <f t="shared" si="57"/>
        <v>118.33333333333493</v>
      </c>
      <c r="T216" s="21">
        <f t="shared" si="57"/>
        <v>97.033333333334355</v>
      </c>
      <c r="U216" s="21">
        <f t="shared" si="51"/>
        <v>106.5</v>
      </c>
      <c r="V216" s="21">
        <f t="shared" si="51"/>
        <v>112.4166666666676</v>
      </c>
      <c r="W216" s="22">
        <f t="shared" si="51"/>
        <v>91.11666666666676</v>
      </c>
      <c r="X216" s="22">
        <f t="shared" si="51"/>
        <v>100.5833333333324</v>
      </c>
      <c r="Y216" s="22">
        <f t="shared" si="51"/>
        <v>106.5</v>
      </c>
      <c r="Z216" s="23">
        <f t="shared" si="51"/>
        <v>85.199999999999164</v>
      </c>
      <c r="AA216" s="23">
        <f t="shared" si="51"/>
        <v>94.66666666666589</v>
      </c>
      <c r="AB216" s="23">
        <f t="shared" si="51"/>
        <v>100.5833333333324</v>
      </c>
      <c r="AC216" s="24">
        <f t="shared" si="51"/>
        <v>79.283333333333431</v>
      </c>
      <c r="AD216" s="24">
        <f t="shared" si="51"/>
        <v>88.750000000000043</v>
      </c>
      <c r="AE216" s="24">
        <f t="shared" si="51"/>
        <v>94.66666666666589</v>
      </c>
      <c r="AF216" s="25">
        <f t="shared" si="51"/>
        <v>73.366666666666063</v>
      </c>
      <c r="AG216" s="25">
        <f t="shared" si="51"/>
        <v>82.833333333333798</v>
      </c>
      <c r="AH216" s="25">
        <f t="shared" si="58"/>
        <v>88.750000000000043</v>
      </c>
      <c r="AI216" s="26">
        <f t="shared" si="58"/>
        <v>67.450000000000557</v>
      </c>
      <c r="AJ216" s="26">
        <f t="shared" si="58"/>
        <v>76.916666666666202</v>
      </c>
      <c r="AK216" s="26">
        <f t="shared" si="49"/>
        <v>82.833333333333798</v>
      </c>
    </row>
    <row r="217" spans="4:37" ht="20.100000000000001" customHeight="1">
      <c r="D217" s="27">
        <f t="shared" si="48"/>
        <v>0.59444444444444289</v>
      </c>
      <c r="E217" s="16">
        <f t="shared" si="57"/>
        <v>170.01111111111115</v>
      </c>
      <c r="F217" s="16">
        <f t="shared" si="57"/>
        <v>179.52222222222019</v>
      </c>
      <c r="G217" s="16">
        <f t="shared" si="57"/>
        <v>185.46666666666556</v>
      </c>
      <c r="H217" s="17">
        <f t="shared" si="57"/>
        <v>158.12222222222351</v>
      </c>
      <c r="I217" s="17">
        <f t="shared" si="57"/>
        <v>167.63333333333267</v>
      </c>
      <c r="J217" s="17">
        <f t="shared" si="57"/>
        <v>173.57777777777773</v>
      </c>
      <c r="K217" s="18">
        <f t="shared" si="57"/>
        <v>146.23333333333278</v>
      </c>
      <c r="L217" s="18">
        <f t="shared" si="57"/>
        <v>155.7444444444431</v>
      </c>
      <c r="M217" s="18">
        <f t="shared" si="57"/>
        <v>161.68888888888884</v>
      </c>
      <c r="N217" s="19">
        <f t="shared" si="57"/>
        <v>109.37777777777701</v>
      </c>
      <c r="O217" s="19">
        <f t="shared" si="57"/>
        <v>118.88888888889049</v>
      </c>
      <c r="P217" s="19">
        <f t="shared" si="57"/>
        <v>124.83333333333204</v>
      </c>
      <c r="Q217" s="20">
        <f t="shared" si="57"/>
        <v>103.43333333333455</v>
      </c>
      <c r="R217" s="20">
        <f t="shared" si="57"/>
        <v>112.94444444444537</v>
      </c>
      <c r="S217" s="20">
        <f t="shared" si="57"/>
        <v>118.88888888889049</v>
      </c>
      <c r="T217" s="21">
        <f t="shared" si="57"/>
        <v>97.488888888889903</v>
      </c>
      <c r="U217" s="21">
        <f t="shared" si="51"/>
        <v>107</v>
      </c>
      <c r="V217" s="21">
        <f t="shared" si="51"/>
        <v>112.94444444444537</v>
      </c>
      <c r="W217" s="22">
        <f t="shared" si="51"/>
        <v>91.544444444444537</v>
      </c>
      <c r="X217" s="22">
        <f t="shared" si="51"/>
        <v>101.05555555555463</v>
      </c>
      <c r="Y217" s="22">
        <f t="shared" si="51"/>
        <v>107</v>
      </c>
      <c r="Z217" s="23">
        <f t="shared" si="51"/>
        <v>85.59999999999917</v>
      </c>
      <c r="AA217" s="23">
        <f t="shared" si="51"/>
        <v>95.111111111110333</v>
      </c>
      <c r="AB217" s="23">
        <f t="shared" si="51"/>
        <v>101.05555555555463</v>
      </c>
      <c r="AC217" s="24">
        <f t="shared" si="51"/>
        <v>79.655555555555651</v>
      </c>
      <c r="AD217" s="24">
        <f t="shared" si="51"/>
        <v>89.166666666666714</v>
      </c>
      <c r="AE217" s="24">
        <f t="shared" si="51"/>
        <v>95.111111111110333</v>
      </c>
      <c r="AF217" s="25">
        <f t="shared" si="51"/>
        <v>73.711111111110512</v>
      </c>
      <c r="AG217" s="25">
        <f t="shared" si="51"/>
        <v>83.222222222222683</v>
      </c>
      <c r="AH217" s="25">
        <f t="shared" si="51"/>
        <v>89.166666666666714</v>
      </c>
      <c r="AI217" s="26">
        <f t="shared" si="51"/>
        <v>67.76666666666722</v>
      </c>
      <c r="AJ217" s="26">
        <f t="shared" ref="AJ217:AJ233" si="59">AJ218-(AJ$363/360)</f>
        <v>77.277777777777317</v>
      </c>
      <c r="AK217" s="26">
        <f t="shared" si="49"/>
        <v>83.222222222222683</v>
      </c>
    </row>
    <row r="218" spans="4:37" ht="20.100000000000001" customHeight="1">
      <c r="D218" s="27">
        <f t="shared" si="48"/>
        <v>0.59722222222222066</v>
      </c>
      <c r="E218" s="16">
        <f t="shared" si="57"/>
        <v>170.8055555555556</v>
      </c>
      <c r="F218" s="16">
        <f t="shared" si="57"/>
        <v>180.3611111111091</v>
      </c>
      <c r="G218" s="16">
        <f t="shared" si="57"/>
        <v>186.33333333333223</v>
      </c>
      <c r="H218" s="17">
        <f t="shared" si="57"/>
        <v>158.86111111111239</v>
      </c>
      <c r="I218" s="17">
        <f t="shared" si="57"/>
        <v>168.416666666666</v>
      </c>
      <c r="J218" s="17">
        <f t="shared" si="57"/>
        <v>174.38888888888883</v>
      </c>
      <c r="K218" s="18">
        <f t="shared" si="57"/>
        <v>146.91666666666612</v>
      </c>
      <c r="L218" s="18">
        <f t="shared" si="57"/>
        <v>156.47222222222089</v>
      </c>
      <c r="M218" s="18">
        <f t="shared" si="57"/>
        <v>162.4444444444444</v>
      </c>
      <c r="N218" s="19">
        <f t="shared" si="57"/>
        <v>109.88888888888812</v>
      </c>
      <c r="O218" s="19">
        <f t="shared" si="57"/>
        <v>119.44444444444605</v>
      </c>
      <c r="P218" s="19">
        <f t="shared" si="57"/>
        <v>125.41666666666536</v>
      </c>
      <c r="Q218" s="20">
        <f t="shared" si="57"/>
        <v>103.91666666666788</v>
      </c>
      <c r="R218" s="20">
        <f t="shared" si="57"/>
        <v>113.47222222222314</v>
      </c>
      <c r="S218" s="20">
        <f t="shared" si="57"/>
        <v>119.44444444444605</v>
      </c>
      <c r="T218" s="21">
        <f t="shared" si="57"/>
        <v>97.944444444445452</v>
      </c>
      <c r="U218" s="21">
        <f t="shared" si="51"/>
        <v>107.5</v>
      </c>
      <c r="V218" s="21">
        <f t="shared" si="51"/>
        <v>113.47222222222314</v>
      </c>
      <c r="W218" s="22">
        <f t="shared" si="51"/>
        <v>91.972222222222314</v>
      </c>
      <c r="X218" s="22">
        <f t="shared" si="51"/>
        <v>101.52777777777686</v>
      </c>
      <c r="Y218" s="22">
        <f t="shared" si="51"/>
        <v>107.5</v>
      </c>
      <c r="Z218" s="23">
        <f t="shared" si="51"/>
        <v>85.999999999999176</v>
      </c>
      <c r="AA218" s="23">
        <f t="shared" si="51"/>
        <v>95.555555555554776</v>
      </c>
      <c r="AB218" s="23">
        <f t="shared" si="51"/>
        <v>101.52777777777686</v>
      </c>
      <c r="AC218" s="24">
        <f t="shared" si="51"/>
        <v>80.027777777777871</v>
      </c>
      <c r="AD218" s="24">
        <f t="shared" si="51"/>
        <v>89.583333333333385</v>
      </c>
      <c r="AE218" s="24">
        <f t="shared" si="51"/>
        <v>95.555555555554776</v>
      </c>
      <c r="AF218" s="25">
        <f t="shared" si="51"/>
        <v>74.05555555555496</v>
      </c>
      <c r="AG218" s="25">
        <f t="shared" si="51"/>
        <v>83.611111111111569</v>
      </c>
      <c r="AH218" s="25">
        <f t="shared" si="51"/>
        <v>89.583333333333385</v>
      </c>
      <c r="AI218" s="26">
        <f t="shared" si="51"/>
        <v>68.083333333333883</v>
      </c>
      <c r="AJ218" s="26">
        <f t="shared" si="59"/>
        <v>77.638888888888431</v>
      </c>
      <c r="AK218" s="26">
        <f t="shared" si="49"/>
        <v>83.611111111111569</v>
      </c>
    </row>
    <row r="219" spans="4:37" ht="20.100000000000001" customHeight="1">
      <c r="D219" s="27">
        <f t="shared" si="48"/>
        <v>0.59999999999999842</v>
      </c>
      <c r="E219" s="16">
        <f t="shared" si="57"/>
        <v>171.60000000000005</v>
      </c>
      <c r="F219" s="16">
        <f t="shared" si="57"/>
        <v>181.199999999998</v>
      </c>
      <c r="G219" s="16">
        <f t="shared" si="57"/>
        <v>187.19999999999891</v>
      </c>
      <c r="H219" s="17">
        <f t="shared" si="57"/>
        <v>159.60000000000127</v>
      </c>
      <c r="I219" s="17">
        <f t="shared" si="57"/>
        <v>169.19999999999933</v>
      </c>
      <c r="J219" s="17">
        <f t="shared" si="57"/>
        <v>175.19999999999993</v>
      </c>
      <c r="K219" s="18">
        <f t="shared" si="57"/>
        <v>147.59999999999945</v>
      </c>
      <c r="L219" s="18">
        <f t="shared" si="57"/>
        <v>157.19999999999868</v>
      </c>
      <c r="M219" s="18">
        <f t="shared" si="57"/>
        <v>163.19999999999996</v>
      </c>
      <c r="N219" s="19">
        <f t="shared" si="57"/>
        <v>110.39999999999922</v>
      </c>
      <c r="O219" s="19">
        <f t="shared" si="57"/>
        <v>120.00000000000161</v>
      </c>
      <c r="P219" s="19">
        <f t="shared" si="57"/>
        <v>125.99999999999869</v>
      </c>
      <c r="Q219" s="20">
        <f t="shared" si="57"/>
        <v>104.40000000000121</v>
      </c>
      <c r="R219" s="20">
        <f t="shared" si="57"/>
        <v>114.00000000000091</v>
      </c>
      <c r="S219" s="20">
        <f t="shared" si="57"/>
        <v>120.00000000000161</v>
      </c>
      <c r="T219" s="21">
        <f t="shared" si="57"/>
        <v>98.400000000001</v>
      </c>
      <c r="U219" s="21">
        <f t="shared" si="51"/>
        <v>108</v>
      </c>
      <c r="V219" s="21">
        <f t="shared" si="51"/>
        <v>114.00000000000091</v>
      </c>
      <c r="W219" s="22">
        <f t="shared" si="51"/>
        <v>92.400000000000091</v>
      </c>
      <c r="X219" s="22">
        <f t="shared" si="51"/>
        <v>101.99999999999909</v>
      </c>
      <c r="Y219" s="22">
        <f t="shared" si="51"/>
        <v>108</v>
      </c>
      <c r="Z219" s="23">
        <f t="shared" si="51"/>
        <v>86.399999999999181</v>
      </c>
      <c r="AA219" s="23">
        <f t="shared" si="51"/>
        <v>95.999999999999218</v>
      </c>
      <c r="AB219" s="23">
        <f t="shared" si="51"/>
        <v>101.99999999999909</v>
      </c>
      <c r="AC219" s="24">
        <f t="shared" si="51"/>
        <v>80.400000000000091</v>
      </c>
      <c r="AD219" s="24">
        <f t="shared" si="51"/>
        <v>90.000000000000057</v>
      </c>
      <c r="AE219" s="24">
        <f t="shared" si="51"/>
        <v>95.999999999999218</v>
      </c>
      <c r="AF219" s="25">
        <f t="shared" si="51"/>
        <v>74.399999999999409</v>
      </c>
      <c r="AG219" s="25">
        <f t="shared" si="51"/>
        <v>84.000000000000455</v>
      </c>
      <c r="AH219" s="25">
        <f t="shared" si="51"/>
        <v>90.000000000000057</v>
      </c>
      <c r="AI219" s="26">
        <f t="shared" si="51"/>
        <v>68.400000000000546</v>
      </c>
      <c r="AJ219" s="26">
        <f t="shared" si="59"/>
        <v>77.999999999999545</v>
      </c>
      <c r="AK219" s="26">
        <f t="shared" si="49"/>
        <v>84.000000000000455</v>
      </c>
    </row>
    <row r="220" spans="4:37" ht="20.100000000000001" customHeight="1">
      <c r="D220" s="27">
        <f t="shared" si="48"/>
        <v>0.60277777777777619</v>
      </c>
      <c r="E220" s="16">
        <f t="shared" si="57"/>
        <v>172.3944444444445</v>
      </c>
      <c r="F220" s="16">
        <f t="shared" si="57"/>
        <v>182.0388888888869</v>
      </c>
      <c r="G220" s="16">
        <f t="shared" si="57"/>
        <v>188.06666666666558</v>
      </c>
      <c r="H220" s="17">
        <f t="shared" si="57"/>
        <v>160.33888888889015</v>
      </c>
      <c r="I220" s="17">
        <f t="shared" si="57"/>
        <v>169.98333333333267</v>
      </c>
      <c r="J220" s="17">
        <f t="shared" si="57"/>
        <v>176.01111111111103</v>
      </c>
      <c r="K220" s="18">
        <f t="shared" si="57"/>
        <v>148.28333333333279</v>
      </c>
      <c r="L220" s="18">
        <f t="shared" si="57"/>
        <v>157.92777777777647</v>
      </c>
      <c r="M220" s="18">
        <f t="shared" si="57"/>
        <v>163.95555555555552</v>
      </c>
      <c r="N220" s="19">
        <f t="shared" si="57"/>
        <v>110.91111111111033</v>
      </c>
      <c r="O220" s="19">
        <f t="shared" si="57"/>
        <v>120.55555555555716</v>
      </c>
      <c r="P220" s="19">
        <f t="shared" si="57"/>
        <v>126.58333333333202</v>
      </c>
      <c r="Q220" s="20">
        <f t="shared" si="57"/>
        <v>104.88333333333455</v>
      </c>
      <c r="R220" s="20">
        <f t="shared" si="57"/>
        <v>114.52777777777868</v>
      </c>
      <c r="S220" s="20">
        <f t="shared" si="57"/>
        <v>120.55555555555716</v>
      </c>
      <c r="T220" s="21">
        <f t="shared" si="57"/>
        <v>98.855555555556549</v>
      </c>
      <c r="U220" s="21">
        <f t="shared" si="51"/>
        <v>108.5</v>
      </c>
      <c r="V220" s="21">
        <f t="shared" si="51"/>
        <v>114.52777777777868</v>
      </c>
      <c r="W220" s="22">
        <f t="shared" si="51"/>
        <v>92.827777777777868</v>
      </c>
      <c r="X220" s="22">
        <f t="shared" si="51"/>
        <v>102.47222222222132</v>
      </c>
      <c r="Y220" s="22">
        <f t="shared" si="51"/>
        <v>108.5</v>
      </c>
      <c r="Z220" s="23">
        <f t="shared" si="51"/>
        <v>86.799999999999187</v>
      </c>
      <c r="AA220" s="23">
        <f t="shared" si="51"/>
        <v>96.444444444443661</v>
      </c>
      <c r="AB220" s="23">
        <f t="shared" si="51"/>
        <v>102.47222222222132</v>
      </c>
      <c r="AC220" s="24">
        <f t="shared" si="51"/>
        <v>80.772222222222311</v>
      </c>
      <c r="AD220" s="24">
        <f t="shared" si="51"/>
        <v>90.416666666666728</v>
      </c>
      <c r="AE220" s="24">
        <f t="shared" si="51"/>
        <v>96.444444444443661</v>
      </c>
      <c r="AF220" s="25">
        <f t="shared" si="51"/>
        <v>74.744444444443857</v>
      </c>
      <c r="AG220" s="25">
        <f t="shared" si="51"/>
        <v>84.38888888888934</v>
      </c>
      <c r="AH220" s="25">
        <f t="shared" si="51"/>
        <v>90.416666666666728</v>
      </c>
      <c r="AI220" s="26">
        <f t="shared" si="51"/>
        <v>68.716666666667209</v>
      </c>
      <c r="AJ220" s="26">
        <f t="shared" si="59"/>
        <v>78.36111111111066</v>
      </c>
      <c r="AK220" s="26">
        <f t="shared" si="49"/>
        <v>84.38888888888934</v>
      </c>
    </row>
    <row r="221" spans="4:37" ht="20.100000000000001" customHeight="1">
      <c r="D221" s="27">
        <f t="shared" si="48"/>
        <v>0.60555555555555396</v>
      </c>
      <c r="E221" s="16">
        <f t="shared" si="57"/>
        <v>173.18888888888895</v>
      </c>
      <c r="F221" s="16">
        <f t="shared" si="57"/>
        <v>182.8777777777758</v>
      </c>
      <c r="G221" s="16">
        <f t="shared" si="57"/>
        <v>188.93333333333226</v>
      </c>
      <c r="H221" s="17">
        <f t="shared" si="57"/>
        <v>161.07777777777903</v>
      </c>
      <c r="I221" s="17">
        <f t="shared" si="57"/>
        <v>170.766666666666</v>
      </c>
      <c r="J221" s="17">
        <f t="shared" si="57"/>
        <v>176.82222222222214</v>
      </c>
      <c r="K221" s="18">
        <f t="shared" si="57"/>
        <v>148.96666666666613</v>
      </c>
      <c r="L221" s="18">
        <f t="shared" si="57"/>
        <v>158.65555555555426</v>
      </c>
      <c r="M221" s="18">
        <f t="shared" si="57"/>
        <v>164.71111111111108</v>
      </c>
      <c r="N221" s="19">
        <f t="shared" si="57"/>
        <v>111.42222222222144</v>
      </c>
      <c r="O221" s="19">
        <f t="shared" si="57"/>
        <v>121.11111111111272</v>
      </c>
      <c r="P221" s="19">
        <f t="shared" si="57"/>
        <v>127.16666666666535</v>
      </c>
      <c r="Q221" s="20">
        <f t="shared" si="57"/>
        <v>105.36666666666788</v>
      </c>
      <c r="R221" s="20">
        <f t="shared" si="57"/>
        <v>115.05555555555645</v>
      </c>
      <c r="S221" s="20">
        <f t="shared" si="57"/>
        <v>121.11111111111272</v>
      </c>
      <c r="T221" s="21">
        <f t="shared" si="57"/>
        <v>99.311111111112098</v>
      </c>
      <c r="U221" s="21">
        <f t="shared" si="51"/>
        <v>109</v>
      </c>
      <c r="V221" s="21">
        <f t="shared" si="51"/>
        <v>115.05555555555645</v>
      </c>
      <c r="W221" s="22">
        <f t="shared" si="51"/>
        <v>93.255555555555645</v>
      </c>
      <c r="X221" s="22">
        <f t="shared" si="51"/>
        <v>102.94444444444355</v>
      </c>
      <c r="Y221" s="22">
        <f t="shared" si="51"/>
        <v>109</v>
      </c>
      <c r="Z221" s="23">
        <f t="shared" si="51"/>
        <v>87.199999999999193</v>
      </c>
      <c r="AA221" s="23">
        <f t="shared" si="51"/>
        <v>96.888888888888104</v>
      </c>
      <c r="AB221" s="23">
        <f t="shared" si="51"/>
        <v>102.94444444444355</v>
      </c>
      <c r="AC221" s="24">
        <f t="shared" si="51"/>
        <v>81.144444444444531</v>
      </c>
      <c r="AD221" s="24">
        <f t="shared" si="51"/>
        <v>90.8333333333334</v>
      </c>
      <c r="AE221" s="24">
        <f t="shared" si="51"/>
        <v>96.888888888888104</v>
      </c>
      <c r="AF221" s="25">
        <f t="shared" si="51"/>
        <v>75.088888888888306</v>
      </c>
      <c r="AG221" s="25">
        <f t="shared" si="51"/>
        <v>84.777777777778226</v>
      </c>
      <c r="AH221" s="25">
        <f t="shared" si="51"/>
        <v>90.8333333333334</v>
      </c>
      <c r="AI221" s="26">
        <f t="shared" si="51"/>
        <v>69.033333333333871</v>
      </c>
      <c r="AJ221" s="26">
        <f t="shared" si="59"/>
        <v>78.722222222221774</v>
      </c>
      <c r="AK221" s="26">
        <f t="shared" si="49"/>
        <v>84.777777777778226</v>
      </c>
    </row>
    <row r="222" spans="4:37" ht="20.100000000000001" customHeight="1">
      <c r="D222" s="27">
        <f t="shared" si="48"/>
        <v>0.60833333333333173</v>
      </c>
      <c r="E222" s="16">
        <f t="shared" si="57"/>
        <v>173.98333333333341</v>
      </c>
      <c r="F222" s="16">
        <f t="shared" si="57"/>
        <v>183.71666666666471</v>
      </c>
      <c r="G222" s="16">
        <f t="shared" si="57"/>
        <v>189.79999999999893</v>
      </c>
      <c r="H222" s="17">
        <f t="shared" si="57"/>
        <v>161.81666666666791</v>
      </c>
      <c r="I222" s="17">
        <f t="shared" si="57"/>
        <v>171.54999999999933</v>
      </c>
      <c r="J222" s="17">
        <f t="shared" si="57"/>
        <v>177.63333333333324</v>
      </c>
      <c r="K222" s="18">
        <f t="shared" si="57"/>
        <v>149.64999999999947</v>
      </c>
      <c r="L222" s="18">
        <f t="shared" si="57"/>
        <v>159.38333333333205</v>
      </c>
      <c r="M222" s="18">
        <f t="shared" si="57"/>
        <v>165.46666666666664</v>
      </c>
      <c r="N222" s="19">
        <f t="shared" si="57"/>
        <v>111.93333333333254</v>
      </c>
      <c r="O222" s="19">
        <f t="shared" si="57"/>
        <v>121.66666666666828</v>
      </c>
      <c r="P222" s="19">
        <f t="shared" si="57"/>
        <v>127.74999999999868</v>
      </c>
      <c r="Q222" s="20">
        <f t="shared" si="57"/>
        <v>105.85000000000122</v>
      </c>
      <c r="R222" s="20">
        <f t="shared" si="57"/>
        <v>115.58333333333422</v>
      </c>
      <c r="S222" s="20">
        <f t="shared" si="57"/>
        <v>121.66666666666828</v>
      </c>
      <c r="T222" s="21">
        <f t="shared" si="57"/>
        <v>99.766666666667646</v>
      </c>
      <c r="U222" s="21">
        <f t="shared" si="51"/>
        <v>109.5</v>
      </c>
      <c r="V222" s="21">
        <f t="shared" si="51"/>
        <v>115.58333333333422</v>
      </c>
      <c r="W222" s="22">
        <f t="shared" si="51"/>
        <v>93.683333333333422</v>
      </c>
      <c r="X222" s="22">
        <f t="shared" si="51"/>
        <v>103.41666666666578</v>
      </c>
      <c r="Y222" s="22">
        <f t="shared" si="51"/>
        <v>109.5</v>
      </c>
      <c r="Z222" s="23">
        <f t="shared" si="51"/>
        <v>87.599999999999199</v>
      </c>
      <c r="AA222" s="23">
        <f t="shared" si="51"/>
        <v>97.333333333332547</v>
      </c>
      <c r="AB222" s="23">
        <f t="shared" si="51"/>
        <v>103.41666666666578</v>
      </c>
      <c r="AC222" s="24">
        <f t="shared" si="51"/>
        <v>81.516666666666751</v>
      </c>
      <c r="AD222" s="24">
        <f t="shared" si="51"/>
        <v>91.250000000000071</v>
      </c>
      <c r="AE222" s="24">
        <f t="shared" si="51"/>
        <v>97.333333333332547</v>
      </c>
      <c r="AF222" s="25">
        <f t="shared" si="51"/>
        <v>75.433333333332754</v>
      </c>
      <c r="AG222" s="25">
        <f t="shared" si="51"/>
        <v>85.166666666667112</v>
      </c>
      <c r="AH222" s="25">
        <f t="shared" si="51"/>
        <v>91.250000000000071</v>
      </c>
      <c r="AI222" s="26">
        <f t="shared" si="51"/>
        <v>69.350000000000534</v>
      </c>
      <c r="AJ222" s="26">
        <f t="shared" si="59"/>
        <v>79.083333333332888</v>
      </c>
      <c r="AK222" s="26">
        <f t="shared" si="49"/>
        <v>85.166666666667112</v>
      </c>
    </row>
    <row r="223" spans="4:37" ht="20.100000000000001" customHeight="1">
      <c r="D223" s="27">
        <f t="shared" si="48"/>
        <v>0.6111111111111095</v>
      </c>
      <c r="E223" s="16">
        <f t="shared" si="57"/>
        <v>174.77777777777786</v>
      </c>
      <c r="F223" s="16">
        <f t="shared" si="57"/>
        <v>184.55555555555361</v>
      </c>
      <c r="G223" s="16">
        <f t="shared" si="57"/>
        <v>190.66666666666561</v>
      </c>
      <c r="H223" s="17">
        <f t="shared" si="57"/>
        <v>162.55555555555679</v>
      </c>
      <c r="I223" s="17">
        <f t="shared" si="57"/>
        <v>172.33333333333266</v>
      </c>
      <c r="J223" s="17">
        <f t="shared" si="57"/>
        <v>178.44444444444434</v>
      </c>
      <c r="K223" s="18">
        <f t="shared" si="57"/>
        <v>150.3333333333328</v>
      </c>
      <c r="L223" s="18">
        <f t="shared" si="57"/>
        <v>160.11111111110984</v>
      </c>
      <c r="M223" s="18">
        <f t="shared" si="57"/>
        <v>166.2222222222222</v>
      </c>
      <c r="N223" s="19">
        <f t="shared" si="57"/>
        <v>112.44444444444365</v>
      </c>
      <c r="O223" s="19">
        <f t="shared" si="57"/>
        <v>122.22222222222383</v>
      </c>
      <c r="P223" s="19">
        <f t="shared" si="57"/>
        <v>128.33333333333201</v>
      </c>
      <c r="Q223" s="20">
        <f t="shared" si="57"/>
        <v>106.33333333333455</v>
      </c>
      <c r="R223" s="20">
        <f t="shared" si="57"/>
        <v>116.111111111112</v>
      </c>
      <c r="S223" s="20">
        <f t="shared" si="57"/>
        <v>122.22222222222383</v>
      </c>
      <c r="T223" s="21">
        <f t="shared" si="57"/>
        <v>100.22222222222319</v>
      </c>
      <c r="U223" s="21">
        <f t="shared" si="51"/>
        <v>110</v>
      </c>
      <c r="V223" s="21">
        <f t="shared" si="51"/>
        <v>116.111111111112</v>
      </c>
      <c r="W223" s="22">
        <f t="shared" si="51"/>
        <v>94.1111111111112</v>
      </c>
      <c r="X223" s="22">
        <f t="shared" si="51"/>
        <v>103.888888888888</v>
      </c>
      <c r="Y223" s="22">
        <f t="shared" si="51"/>
        <v>110</v>
      </c>
      <c r="Z223" s="23">
        <f t="shared" si="51"/>
        <v>87.999999999999204</v>
      </c>
      <c r="AA223" s="23">
        <f t="shared" si="51"/>
        <v>97.77777777777699</v>
      </c>
      <c r="AB223" s="23">
        <f t="shared" ref="AB223:AI223" si="60">AB224-(AB$363/360)</f>
        <v>103.888888888888</v>
      </c>
      <c r="AC223" s="24">
        <f t="shared" si="60"/>
        <v>81.888888888888971</v>
      </c>
      <c r="AD223" s="24">
        <f t="shared" si="60"/>
        <v>91.666666666666742</v>
      </c>
      <c r="AE223" s="24">
        <f t="shared" si="60"/>
        <v>97.77777777777699</v>
      </c>
      <c r="AF223" s="25">
        <f t="shared" si="60"/>
        <v>75.777777777777203</v>
      </c>
      <c r="AG223" s="25">
        <f t="shared" si="60"/>
        <v>85.555555555555998</v>
      </c>
      <c r="AH223" s="25">
        <f t="shared" si="60"/>
        <v>91.666666666666742</v>
      </c>
      <c r="AI223" s="26">
        <f t="shared" si="60"/>
        <v>69.666666666667197</v>
      </c>
      <c r="AJ223" s="26">
        <f t="shared" si="59"/>
        <v>79.444444444444002</v>
      </c>
      <c r="AK223" s="26">
        <f t="shared" si="49"/>
        <v>85.555555555555998</v>
      </c>
    </row>
    <row r="224" spans="4:37" ht="20.100000000000001" customHeight="1">
      <c r="D224" s="27">
        <f t="shared" si="48"/>
        <v>0.61388888888888726</v>
      </c>
      <c r="E224" s="16">
        <f t="shared" si="57"/>
        <v>175.57222222222231</v>
      </c>
      <c r="F224" s="16">
        <f t="shared" si="57"/>
        <v>185.39444444444251</v>
      </c>
      <c r="G224" s="16">
        <f t="shared" si="57"/>
        <v>191.53333333333228</v>
      </c>
      <c r="H224" s="17">
        <f t="shared" si="57"/>
        <v>163.29444444444567</v>
      </c>
      <c r="I224" s="17">
        <f t="shared" si="57"/>
        <v>173.11666666666599</v>
      </c>
      <c r="J224" s="17">
        <f t="shared" si="57"/>
        <v>179.25555555555545</v>
      </c>
      <c r="K224" s="18">
        <f t="shared" si="57"/>
        <v>151.01666666666614</v>
      </c>
      <c r="L224" s="18">
        <f t="shared" si="57"/>
        <v>160.83888888888762</v>
      </c>
      <c r="M224" s="18">
        <f t="shared" si="57"/>
        <v>166.97777777777776</v>
      </c>
      <c r="N224" s="19">
        <f t="shared" si="57"/>
        <v>112.95555555555475</v>
      </c>
      <c r="O224" s="19">
        <f t="shared" si="57"/>
        <v>122.77777777777939</v>
      </c>
      <c r="P224" s="19">
        <f t="shared" si="57"/>
        <v>128.91666666666535</v>
      </c>
      <c r="Q224" s="20">
        <f t="shared" si="57"/>
        <v>106.81666666666789</v>
      </c>
      <c r="R224" s="20">
        <f t="shared" si="57"/>
        <v>116.63888888888977</v>
      </c>
      <c r="S224" s="20">
        <f t="shared" si="57"/>
        <v>122.77777777777939</v>
      </c>
      <c r="T224" s="21">
        <f t="shared" si="57"/>
        <v>100.67777777777874</v>
      </c>
      <c r="U224" s="21">
        <f t="shared" ref="U224:AI224" si="61">U225-(U$363/360)</f>
        <v>110.5</v>
      </c>
      <c r="V224" s="21">
        <f t="shared" si="61"/>
        <v>116.63888888888977</v>
      </c>
      <c r="W224" s="22">
        <f t="shared" si="61"/>
        <v>94.538888888888977</v>
      </c>
      <c r="X224" s="22">
        <f t="shared" si="61"/>
        <v>104.36111111111023</v>
      </c>
      <c r="Y224" s="22">
        <f t="shared" si="61"/>
        <v>110.5</v>
      </c>
      <c r="Z224" s="23">
        <f t="shared" si="61"/>
        <v>88.39999999999921</v>
      </c>
      <c r="AA224" s="23">
        <f t="shared" si="61"/>
        <v>98.222222222221433</v>
      </c>
      <c r="AB224" s="23">
        <f t="shared" si="61"/>
        <v>104.36111111111023</v>
      </c>
      <c r="AC224" s="24">
        <f t="shared" si="61"/>
        <v>82.261111111111191</v>
      </c>
      <c r="AD224" s="24">
        <f t="shared" si="61"/>
        <v>92.083333333333414</v>
      </c>
      <c r="AE224" s="24">
        <f t="shared" si="61"/>
        <v>98.222222222221433</v>
      </c>
      <c r="AF224" s="25">
        <f t="shared" si="61"/>
        <v>76.122222222221652</v>
      </c>
      <c r="AG224" s="25">
        <f t="shared" si="61"/>
        <v>85.944444444444883</v>
      </c>
      <c r="AH224" s="25">
        <f t="shared" si="61"/>
        <v>92.083333333333414</v>
      </c>
      <c r="AI224" s="26">
        <f t="shared" si="61"/>
        <v>69.98333333333386</v>
      </c>
      <c r="AJ224" s="26">
        <f t="shared" si="59"/>
        <v>79.805555555555117</v>
      </c>
      <c r="AK224" s="26">
        <f t="shared" si="49"/>
        <v>85.944444444444883</v>
      </c>
    </row>
    <row r="225" spans="4:37" ht="20.100000000000001" customHeight="1">
      <c r="D225" s="27">
        <f t="shared" si="48"/>
        <v>0.61666666666666503</v>
      </c>
      <c r="E225" s="16">
        <f t="shared" si="57"/>
        <v>176.36666666666676</v>
      </c>
      <c r="F225" s="16">
        <f t="shared" si="57"/>
        <v>186.23333333333142</v>
      </c>
      <c r="G225" s="16">
        <f t="shared" si="57"/>
        <v>192.39999999999895</v>
      </c>
      <c r="H225" s="17">
        <f t="shared" si="57"/>
        <v>164.03333333333455</v>
      </c>
      <c r="I225" s="17">
        <f t="shared" si="57"/>
        <v>173.89999999999932</v>
      </c>
      <c r="J225" s="17">
        <f t="shared" si="57"/>
        <v>180.06666666666655</v>
      </c>
      <c r="K225" s="18">
        <f t="shared" si="57"/>
        <v>151.69999999999948</v>
      </c>
      <c r="L225" s="18">
        <f t="shared" si="57"/>
        <v>161.56666666666541</v>
      </c>
      <c r="M225" s="18">
        <f t="shared" si="57"/>
        <v>167.73333333333332</v>
      </c>
      <c r="N225" s="19">
        <f t="shared" si="57"/>
        <v>113.46666666666586</v>
      </c>
      <c r="O225" s="19">
        <f t="shared" si="57"/>
        <v>123.33333333333495</v>
      </c>
      <c r="P225" s="19">
        <f t="shared" si="57"/>
        <v>129.49999999999869</v>
      </c>
      <c r="Q225" s="20">
        <f t="shared" si="57"/>
        <v>107.30000000000122</v>
      </c>
      <c r="R225" s="20">
        <f t="shared" si="57"/>
        <v>117.16666666666754</v>
      </c>
      <c r="S225" s="20">
        <f t="shared" si="57"/>
        <v>123.33333333333495</v>
      </c>
      <c r="T225" s="21">
        <f t="shared" ref="T225:AI240" si="62">T226-(T$363/360)</f>
        <v>101.13333333333429</v>
      </c>
      <c r="U225" s="21">
        <f t="shared" si="62"/>
        <v>111</v>
      </c>
      <c r="V225" s="21">
        <f t="shared" si="62"/>
        <v>117.16666666666754</v>
      </c>
      <c r="W225" s="22">
        <f t="shared" si="62"/>
        <v>94.966666666666754</v>
      </c>
      <c r="X225" s="22">
        <f t="shared" si="62"/>
        <v>104.83333333333246</v>
      </c>
      <c r="Y225" s="22">
        <f t="shared" si="62"/>
        <v>111</v>
      </c>
      <c r="Z225" s="23">
        <f t="shared" si="62"/>
        <v>88.799999999999216</v>
      </c>
      <c r="AA225" s="23">
        <f t="shared" si="62"/>
        <v>98.666666666665876</v>
      </c>
      <c r="AB225" s="23">
        <f t="shared" si="62"/>
        <v>104.83333333333246</v>
      </c>
      <c r="AC225" s="24">
        <f t="shared" si="62"/>
        <v>82.633333333333411</v>
      </c>
      <c r="AD225" s="24">
        <f t="shared" si="62"/>
        <v>92.500000000000085</v>
      </c>
      <c r="AE225" s="24">
        <f t="shared" si="62"/>
        <v>98.666666666665876</v>
      </c>
      <c r="AF225" s="25">
        <f t="shared" si="62"/>
        <v>76.4666666666661</v>
      </c>
      <c r="AG225" s="25">
        <f t="shared" si="62"/>
        <v>86.333333333333769</v>
      </c>
      <c r="AH225" s="25">
        <f t="shared" si="62"/>
        <v>92.500000000000085</v>
      </c>
      <c r="AI225" s="26">
        <f t="shared" si="62"/>
        <v>70.300000000000523</v>
      </c>
      <c r="AJ225" s="26">
        <f t="shared" si="59"/>
        <v>80.166666666666231</v>
      </c>
      <c r="AK225" s="26">
        <f t="shared" si="49"/>
        <v>86.333333333333769</v>
      </c>
    </row>
    <row r="226" spans="4:37" ht="20.100000000000001" customHeight="1">
      <c r="D226" s="27">
        <f t="shared" si="48"/>
        <v>0.6194444444444428</v>
      </c>
      <c r="E226" s="16">
        <f t="shared" ref="E226:T242" si="63">E227-(E$363/360)</f>
        <v>177.16111111111121</v>
      </c>
      <c r="F226" s="16">
        <f t="shared" si="63"/>
        <v>187.07222222222032</v>
      </c>
      <c r="G226" s="16">
        <f t="shared" si="63"/>
        <v>193.26666666666563</v>
      </c>
      <c r="H226" s="17">
        <f t="shared" si="63"/>
        <v>164.77222222222343</v>
      </c>
      <c r="I226" s="17">
        <f t="shared" si="63"/>
        <v>174.68333333333266</v>
      </c>
      <c r="J226" s="17">
        <f t="shared" si="63"/>
        <v>180.87777777777765</v>
      </c>
      <c r="K226" s="18">
        <f t="shared" si="63"/>
        <v>152.38333333333281</v>
      </c>
      <c r="L226" s="18">
        <f t="shared" si="63"/>
        <v>162.2944444444432</v>
      </c>
      <c r="M226" s="18">
        <f t="shared" si="63"/>
        <v>168.48888888888888</v>
      </c>
      <c r="N226" s="19">
        <f t="shared" si="63"/>
        <v>113.97777777777696</v>
      </c>
      <c r="O226" s="19">
        <f t="shared" si="63"/>
        <v>123.88888888889051</v>
      </c>
      <c r="P226" s="19">
        <f t="shared" si="63"/>
        <v>130.08333333333204</v>
      </c>
      <c r="Q226" s="20">
        <f t="shared" si="63"/>
        <v>107.78333333333455</v>
      </c>
      <c r="R226" s="20">
        <f t="shared" si="63"/>
        <v>117.69444444444531</v>
      </c>
      <c r="S226" s="20">
        <f t="shared" si="63"/>
        <v>123.88888888889051</v>
      </c>
      <c r="T226" s="21">
        <f t="shared" si="62"/>
        <v>101.58888888888984</v>
      </c>
      <c r="U226" s="21">
        <f t="shared" si="62"/>
        <v>111.5</v>
      </c>
      <c r="V226" s="21">
        <f t="shared" si="62"/>
        <v>117.69444444444531</v>
      </c>
      <c r="W226" s="22">
        <f t="shared" si="62"/>
        <v>95.394444444444531</v>
      </c>
      <c r="X226" s="22">
        <f t="shared" si="62"/>
        <v>105.30555555555469</v>
      </c>
      <c r="Y226" s="22">
        <f t="shared" si="62"/>
        <v>111.5</v>
      </c>
      <c r="Z226" s="23">
        <f t="shared" si="62"/>
        <v>89.199999999999221</v>
      </c>
      <c r="AA226" s="23">
        <f t="shared" si="62"/>
        <v>99.111111111110318</v>
      </c>
      <c r="AB226" s="23">
        <f t="shared" si="62"/>
        <v>105.30555555555469</v>
      </c>
      <c r="AC226" s="24">
        <f t="shared" si="62"/>
        <v>83.005555555555631</v>
      </c>
      <c r="AD226" s="24">
        <f t="shared" si="62"/>
        <v>92.916666666666757</v>
      </c>
      <c r="AE226" s="24">
        <f t="shared" si="62"/>
        <v>99.111111111110318</v>
      </c>
      <c r="AF226" s="25">
        <f t="shared" si="62"/>
        <v>76.811111111110549</v>
      </c>
      <c r="AG226" s="25">
        <f t="shared" si="62"/>
        <v>86.722222222222655</v>
      </c>
      <c r="AH226" s="25">
        <f t="shared" si="62"/>
        <v>92.916666666666757</v>
      </c>
      <c r="AI226" s="26">
        <f t="shared" si="62"/>
        <v>70.616666666667186</v>
      </c>
      <c r="AJ226" s="26">
        <f t="shared" si="59"/>
        <v>80.527777777777345</v>
      </c>
      <c r="AK226" s="26">
        <f t="shared" si="49"/>
        <v>86.722222222222655</v>
      </c>
    </row>
    <row r="227" spans="4:37" ht="20.100000000000001" customHeight="1">
      <c r="D227" s="27">
        <f t="shared" si="48"/>
        <v>0.62222222222222057</v>
      </c>
      <c r="E227" s="16">
        <f t="shared" si="63"/>
        <v>177.95555555555566</v>
      </c>
      <c r="F227" s="16">
        <f t="shared" si="63"/>
        <v>187.91111111110922</v>
      </c>
      <c r="G227" s="16">
        <f t="shared" si="63"/>
        <v>194.1333333333323</v>
      </c>
      <c r="H227" s="17">
        <f t="shared" si="63"/>
        <v>165.51111111111231</v>
      </c>
      <c r="I227" s="17">
        <f t="shared" si="63"/>
        <v>175.46666666666599</v>
      </c>
      <c r="J227" s="17">
        <f t="shared" si="63"/>
        <v>181.68888888888875</v>
      </c>
      <c r="K227" s="18">
        <f t="shared" si="63"/>
        <v>153.06666666666615</v>
      </c>
      <c r="L227" s="18">
        <f t="shared" si="63"/>
        <v>163.02222222222099</v>
      </c>
      <c r="M227" s="18">
        <f t="shared" si="63"/>
        <v>169.24444444444444</v>
      </c>
      <c r="N227" s="19">
        <f t="shared" si="63"/>
        <v>114.48888888888807</v>
      </c>
      <c r="O227" s="19">
        <f t="shared" si="63"/>
        <v>124.44444444444606</v>
      </c>
      <c r="P227" s="19">
        <f t="shared" si="63"/>
        <v>130.66666666666538</v>
      </c>
      <c r="Q227" s="20">
        <f t="shared" si="63"/>
        <v>108.26666666666789</v>
      </c>
      <c r="R227" s="20">
        <f t="shared" si="63"/>
        <v>118.22222222222308</v>
      </c>
      <c r="S227" s="20">
        <f t="shared" si="63"/>
        <v>124.44444444444606</v>
      </c>
      <c r="T227" s="21">
        <f t="shared" si="62"/>
        <v>102.04444444444539</v>
      </c>
      <c r="U227" s="21">
        <f t="shared" si="62"/>
        <v>112</v>
      </c>
      <c r="V227" s="21">
        <f t="shared" si="62"/>
        <v>118.22222222222308</v>
      </c>
      <c r="W227" s="22">
        <f t="shared" si="62"/>
        <v>95.822222222222308</v>
      </c>
      <c r="X227" s="22">
        <f t="shared" si="62"/>
        <v>105.77777777777692</v>
      </c>
      <c r="Y227" s="22">
        <f t="shared" si="62"/>
        <v>112</v>
      </c>
      <c r="Z227" s="23">
        <f t="shared" si="62"/>
        <v>89.599999999999227</v>
      </c>
      <c r="AA227" s="23">
        <f t="shared" si="62"/>
        <v>99.555555555554761</v>
      </c>
      <c r="AB227" s="23">
        <f t="shared" si="62"/>
        <v>105.77777777777692</v>
      </c>
      <c r="AC227" s="24">
        <f t="shared" si="62"/>
        <v>83.377777777777851</v>
      </c>
      <c r="AD227" s="24">
        <f t="shared" si="62"/>
        <v>93.333333333333428</v>
      </c>
      <c r="AE227" s="24">
        <f t="shared" si="62"/>
        <v>99.555555555554761</v>
      </c>
      <c r="AF227" s="25">
        <f t="shared" si="62"/>
        <v>77.155555555554997</v>
      </c>
      <c r="AG227" s="25">
        <f t="shared" si="62"/>
        <v>87.111111111111541</v>
      </c>
      <c r="AH227" s="25">
        <f t="shared" si="62"/>
        <v>93.333333333333428</v>
      </c>
      <c r="AI227" s="26">
        <f t="shared" si="62"/>
        <v>70.933333333333849</v>
      </c>
      <c r="AJ227" s="26">
        <f t="shared" si="59"/>
        <v>80.888888888888459</v>
      </c>
      <c r="AK227" s="26">
        <f t="shared" si="49"/>
        <v>87.111111111111541</v>
      </c>
    </row>
    <row r="228" spans="4:37" ht="20.100000000000001" customHeight="1">
      <c r="D228" s="27">
        <f t="shared" si="48"/>
        <v>0.62499999999999833</v>
      </c>
      <c r="E228" s="16">
        <f t="shared" si="63"/>
        <v>178.75000000000011</v>
      </c>
      <c r="F228" s="16">
        <f t="shared" si="63"/>
        <v>188.74999999999812</v>
      </c>
      <c r="G228" s="16">
        <f t="shared" si="63"/>
        <v>194.99999999999898</v>
      </c>
      <c r="H228" s="17">
        <f t="shared" si="63"/>
        <v>166.25000000000119</v>
      </c>
      <c r="I228" s="17">
        <f t="shared" si="63"/>
        <v>176.24999999999932</v>
      </c>
      <c r="J228" s="17">
        <f t="shared" si="63"/>
        <v>182.49999999999986</v>
      </c>
      <c r="K228" s="18">
        <f t="shared" si="63"/>
        <v>153.74999999999949</v>
      </c>
      <c r="L228" s="18">
        <f t="shared" si="63"/>
        <v>163.74999999999878</v>
      </c>
      <c r="M228" s="18">
        <f t="shared" si="63"/>
        <v>170</v>
      </c>
      <c r="N228" s="19">
        <f t="shared" si="63"/>
        <v>114.99999999999918</v>
      </c>
      <c r="O228" s="19">
        <f t="shared" si="63"/>
        <v>125.00000000000162</v>
      </c>
      <c r="P228" s="19">
        <f t="shared" si="63"/>
        <v>131.24999999999872</v>
      </c>
      <c r="Q228" s="20">
        <f t="shared" si="63"/>
        <v>108.75000000000122</v>
      </c>
      <c r="R228" s="20">
        <f t="shared" si="63"/>
        <v>118.75000000000085</v>
      </c>
      <c r="S228" s="20">
        <f t="shared" si="63"/>
        <v>125.00000000000162</v>
      </c>
      <c r="T228" s="21">
        <f t="shared" si="62"/>
        <v>102.50000000000094</v>
      </c>
      <c r="U228" s="21">
        <f t="shared" si="62"/>
        <v>112.5</v>
      </c>
      <c r="V228" s="21">
        <f t="shared" si="62"/>
        <v>118.75000000000085</v>
      </c>
      <c r="W228" s="22">
        <f t="shared" si="62"/>
        <v>96.250000000000085</v>
      </c>
      <c r="X228" s="22">
        <f t="shared" si="62"/>
        <v>106.24999999999915</v>
      </c>
      <c r="Y228" s="22">
        <f t="shared" si="62"/>
        <v>112.5</v>
      </c>
      <c r="Z228" s="23">
        <f t="shared" si="62"/>
        <v>89.999999999999233</v>
      </c>
      <c r="AA228" s="23">
        <f t="shared" si="62"/>
        <v>99.999999999999204</v>
      </c>
      <c r="AB228" s="23">
        <f t="shared" si="62"/>
        <v>106.24999999999915</v>
      </c>
      <c r="AC228" s="24">
        <f t="shared" si="62"/>
        <v>83.750000000000071</v>
      </c>
      <c r="AD228" s="24">
        <f t="shared" si="62"/>
        <v>93.750000000000099</v>
      </c>
      <c r="AE228" s="24">
        <f t="shared" si="62"/>
        <v>99.999999999999204</v>
      </c>
      <c r="AF228" s="25">
        <f t="shared" si="62"/>
        <v>77.499999999999446</v>
      </c>
      <c r="AG228" s="25">
        <f t="shared" si="62"/>
        <v>87.500000000000426</v>
      </c>
      <c r="AH228" s="25">
        <f t="shared" si="62"/>
        <v>93.750000000000099</v>
      </c>
      <c r="AI228" s="26">
        <f t="shared" si="62"/>
        <v>71.250000000000512</v>
      </c>
      <c r="AJ228" s="26">
        <f t="shared" si="59"/>
        <v>81.249999999999574</v>
      </c>
      <c r="AK228" s="26">
        <f t="shared" si="49"/>
        <v>87.500000000000426</v>
      </c>
    </row>
    <row r="229" spans="4:37" ht="20.100000000000001" customHeight="1">
      <c r="D229" s="27">
        <f t="shared" si="48"/>
        <v>0.6277777777777761</v>
      </c>
      <c r="E229" s="16">
        <f t="shared" si="63"/>
        <v>179.54444444444457</v>
      </c>
      <c r="F229" s="16">
        <f t="shared" si="63"/>
        <v>189.58888888888703</v>
      </c>
      <c r="G229" s="16">
        <f t="shared" si="63"/>
        <v>195.86666666666565</v>
      </c>
      <c r="H229" s="17">
        <f t="shared" si="63"/>
        <v>166.98888888889007</v>
      </c>
      <c r="I229" s="17">
        <f t="shared" si="63"/>
        <v>177.03333333333265</v>
      </c>
      <c r="J229" s="17">
        <f t="shared" si="63"/>
        <v>183.31111111111096</v>
      </c>
      <c r="K229" s="18">
        <f t="shared" si="63"/>
        <v>154.43333333333283</v>
      </c>
      <c r="L229" s="18">
        <f t="shared" si="63"/>
        <v>164.47777777777657</v>
      </c>
      <c r="M229" s="18">
        <f t="shared" si="63"/>
        <v>170.75555555555556</v>
      </c>
      <c r="N229" s="19">
        <f t="shared" si="63"/>
        <v>115.51111111111028</v>
      </c>
      <c r="O229" s="19">
        <f t="shared" si="63"/>
        <v>125.55555555555718</v>
      </c>
      <c r="P229" s="19">
        <f t="shared" si="63"/>
        <v>131.83333333333206</v>
      </c>
      <c r="Q229" s="20">
        <f t="shared" si="63"/>
        <v>109.23333333333456</v>
      </c>
      <c r="R229" s="20">
        <f t="shared" si="63"/>
        <v>119.27777777777862</v>
      </c>
      <c r="S229" s="20">
        <f t="shared" si="63"/>
        <v>125.55555555555718</v>
      </c>
      <c r="T229" s="21">
        <f t="shared" si="63"/>
        <v>102.95555555555649</v>
      </c>
      <c r="U229" s="21">
        <f t="shared" si="62"/>
        <v>113</v>
      </c>
      <c r="V229" s="21">
        <f t="shared" si="62"/>
        <v>119.27777777777862</v>
      </c>
      <c r="W229" s="22">
        <f t="shared" si="62"/>
        <v>96.677777777777862</v>
      </c>
      <c r="X229" s="22">
        <f t="shared" si="62"/>
        <v>106.72222222222138</v>
      </c>
      <c r="Y229" s="22">
        <f t="shared" si="62"/>
        <v>113</v>
      </c>
      <c r="Z229" s="23">
        <f t="shared" si="62"/>
        <v>90.399999999999238</v>
      </c>
      <c r="AA229" s="23">
        <f t="shared" si="62"/>
        <v>100.44444444444365</v>
      </c>
      <c r="AB229" s="23">
        <f t="shared" si="62"/>
        <v>106.72222222222138</v>
      </c>
      <c r="AC229" s="24">
        <f t="shared" si="62"/>
        <v>84.122222222222291</v>
      </c>
      <c r="AD229" s="24">
        <f t="shared" si="62"/>
        <v>94.166666666666771</v>
      </c>
      <c r="AE229" s="24">
        <f t="shared" si="62"/>
        <v>100.44444444444365</v>
      </c>
      <c r="AF229" s="25">
        <f t="shared" si="62"/>
        <v>77.844444444443894</v>
      </c>
      <c r="AG229" s="25">
        <f t="shared" si="62"/>
        <v>87.888888888889312</v>
      </c>
      <c r="AH229" s="25">
        <f t="shared" si="62"/>
        <v>94.166666666666771</v>
      </c>
      <c r="AI229" s="26">
        <f t="shared" si="62"/>
        <v>71.566666666667174</v>
      </c>
      <c r="AJ229" s="26">
        <f t="shared" si="59"/>
        <v>81.611111111110688</v>
      </c>
      <c r="AK229" s="26">
        <f t="shared" si="49"/>
        <v>87.888888888889312</v>
      </c>
    </row>
    <row r="230" spans="4:37" ht="20.100000000000001" customHeight="1">
      <c r="D230" s="27">
        <f t="shared" si="48"/>
        <v>0.63055555555555387</v>
      </c>
      <c r="E230" s="16">
        <f t="shared" si="63"/>
        <v>180.33888888888902</v>
      </c>
      <c r="F230" s="16">
        <f t="shared" si="63"/>
        <v>190.42777777777593</v>
      </c>
      <c r="G230" s="16">
        <f t="shared" si="63"/>
        <v>196.73333333333233</v>
      </c>
      <c r="H230" s="17">
        <f t="shared" si="63"/>
        <v>167.72777777777895</v>
      </c>
      <c r="I230" s="17">
        <f t="shared" si="63"/>
        <v>177.81666666666598</v>
      </c>
      <c r="J230" s="17">
        <f t="shared" si="63"/>
        <v>184.12222222222206</v>
      </c>
      <c r="K230" s="18">
        <f t="shared" si="63"/>
        <v>155.11666666666616</v>
      </c>
      <c r="L230" s="18">
        <f t="shared" si="63"/>
        <v>165.20555555555435</v>
      </c>
      <c r="M230" s="18">
        <f t="shared" si="63"/>
        <v>171.51111111111112</v>
      </c>
      <c r="N230" s="19">
        <f t="shared" si="63"/>
        <v>116.02222222222139</v>
      </c>
      <c r="O230" s="19">
        <f t="shared" si="63"/>
        <v>126.11111111111273</v>
      </c>
      <c r="P230" s="19">
        <f t="shared" si="63"/>
        <v>132.41666666666541</v>
      </c>
      <c r="Q230" s="20">
        <f t="shared" si="63"/>
        <v>109.71666666666789</v>
      </c>
      <c r="R230" s="20">
        <f t="shared" si="63"/>
        <v>119.8055555555564</v>
      </c>
      <c r="S230" s="20">
        <f t="shared" si="63"/>
        <v>126.11111111111273</v>
      </c>
      <c r="T230" s="21">
        <f t="shared" si="63"/>
        <v>103.41111111111204</v>
      </c>
      <c r="U230" s="21">
        <f t="shared" si="62"/>
        <v>113.5</v>
      </c>
      <c r="V230" s="21">
        <f t="shared" si="62"/>
        <v>119.8055555555564</v>
      </c>
      <c r="W230" s="22">
        <f t="shared" si="62"/>
        <v>97.10555555555564</v>
      </c>
      <c r="X230" s="22">
        <f t="shared" si="62"/>
        <v>107.1944444444436</v>
      </c>
      <c r="Y230" s="22">
        <f t="shared" si="62"/>
        <v>113.5</v>
      </c>
      <c r="Z230" s="23">
        <f t="shared" si="62"/>
        <v>90.799999999999244</v>
      </c>
      <c r="AA230" s="23">
        <f t="shared" si="62"/>
        <v>100.88888888888809</v>
      </c>
      <c r="AB230" s="23">
        <f t="shared" si="62"/>
        <v>107.1944444444436</v>
      </c>
      <c r="AC230" s="24">
        <f t="shared" si="62"/>
        <v>84.494444444444511</v>
      </c>
      <c r="AD230" s="24">
        <f t="shared" si="62"/>
        <v>94.583333333333442</v>
      </c>
      <c r="AE230" s="24">
        <f t="shared" si="62"/>
        <v>100.88888888888809</v>
      </c>
      <c r="AF230" s="25">
        <f t="shared" si="62"/>
        <v>78.188888888888343</v>
      </c>
      <c r="AG230" s="25">
        <f t="shared" si="62"/>
        <v>88.277777777778198</v>
      </c>
      <c r="AH230" s="25">
        <f t="shared" ref="AH230:AI233" si="64">AH231-(AH$363/360)</f>
        <v>94.583333333333442</v>
      </c>
      <c r="AI230" s="26">
        <f t="shared" si="64"/>
        <v>71.883333333333837</v>
      </c>
      <c r="AJ230" s="26">
        <f t="shared" si="59"/>
        <v>81.972222222221802</v>
      </c>
      <c r="AK230" s="26">
        <f t="shared" si="49"/>
        <v>88.277777777778198</v>
      </c>
    </row>
    <row r="231" spans="4:37" ht="20.100000000000001" customHeight="1">
      <c r="D231" s="27">
        <f t="shared" si="48"/>
        <v>0.63333333333333164</v>
      </c>
      <c r="E231" s="16">
        <f t="shared" si="63"/>
        <v>181.13333333333347</v>
      </c>
      <c r="F231" s="16">
        <f t="shared" si="63"/>
        <v>191.26666666666483</v>
      </c>
      <c r="G231" s="16">
        <f t="shared" si="63"/>
        <v>197.599999999999</v>
      </c>
      <c r="H231" s="17">
        <f t="shared" si="63"/>
        <v>168.46666666666783</v>
      </c>
      <c r="I231" s="17">
        <f t="shared" si="63"/>
        <v>178.59999999999931</v>
      </c>
      <c r="J231" s="17">
        <f t="shared" si="63"/>
        <v>184.93333333333317</v>
      </c>
      <c r="K231" s="18">
        <f t="shared" si="63"/>
        <v>155.7999999999995</v>
      </c>
      <c r="L231" s="18">
        <f t="shared" si="63"/>
        <v>165.93333333333214</v>
      </c>
      <c r="M231" s="18">
        <f t="shared" si="63"/>
        <v>172.26666666666668</v>
      </c>
      <c r="N231" s="19">
        <f t="shared" si="63"/>
        <v>116.53333333333249</v>
      </c>
      <c r="O231" s="19">
        <f t="shared" si="63"/>
        <v>126.66666666666829</v>
      </c>
      <c r="P231" s="19">
        <f t="shared" si="63"/>
        <v>132.99999999999875</v>
      </c>
      <c r="Q231" s="20">
        <f t="shared" si="63"/>
        <v>110.20000000000122</v>
      </c>
      <c r="R231" s="20">
        <f t="shared" si="63"/>
        <v>120.33333333333417</v>
      </c>
      <c r="S231" s="20">
        <f t="shared" si="63"/>
        <v>126.66666666666829</v>
      </c>
      <c r="T231" s="21">
        <f t="shared" si="62"/>
        <v>103.86666666666758</v>
      </c>
      <c r="U231" s="21">
        <f t="shared" si="62"/>
        <v>114</v>
      </c>
      <c r="V231" s="21">
        <f t="shared" si="62"/>
        <v>120.33333333333417</v>
      </c>
      <c r="W231" s="22">
        <f t="shared" si="62"/>
        <v>97.533333333333417</v>
      </c>
      <c r="X231" s="22">
        <f t="shared" si="62"/>
        <v>107.66666666666583</v>
      </c>
      <c r="Y231" s="22">
        <f t="shared" si="62"/>
        <v>114</v>
      </c>
      <c r="Z231" s="23">
        <f t="shared" si="62"/>
        <v>91.19999999999925</v>
      </c>
      <c r="AA231" s="23">
        <f t="shared" si="62"/>
        <v>101.33333333333253</v>
      </c>
      <c r="AB231" s="23">
        <f t="shared" si="62"/>
        <v>107.66666666666583</v>
      </c>
      <c r="AC231" s="24">
        <f t="shared" si="62"/>
        <v>84.866666666666731</v>
      </c>
      <c r="AD231" s="24">
        <f t="shared" si="62"/>
        <v>95.000000000000114</v>
      </c>
      <c r="AE231" s="24">
        <f t="shared" si="62"/>
        <v>101.33333333333253</v>
      </c>
      <c r="AF231" s="25">
        <f t="shared" si="62"/>
        <v>78.533333333332791</v>
      </c>
      <c r="AG231" s="25">
        <f t="shared" si="62"/>
        <v>88.666666666667084</v>
      </c>
      <c r="AH231" s="25">
        <f t="shared" si="64"/>
        <v>95.000000000000114</v>
      </c>
      <c r="AI231" s="26">
        <f t="shared" si="64"/>
        <v>72.2000000000005</v>
      </c>
      <c r="AJ231" s="26">
        <f t="shared" si="59"/>
        <v>82.333333333332916</v>
      </c>
      <c r="AK231" s="26">
        <f t="shared" si="49"/>
        <v>88.666666666667084</v>
      </c>
    </row>
    <row r="232" spans="4:37" ht="20.100000000000001" customHeight="1">
      <c r="D232" s="27">
        <f t="shared" si="48"/>
        <v>0.63611111111110941</v>
      </c>
      <c r="E232" s="16">
        <f t="shared" si="63"/>
        <v>181.92777777777792</v>
      </c>
      <c r="F232" s="16">
        <f t="shared" si="63"/>
        <v>192.10555555555374</v>
      </c>
      <c r="G232" s="16">
        <f t="shared" si="63"/>
        <v>198.46666666666567</v>
      </c>
      <c r="H232" s="17">
        <f t="shared" si="63"/>
        <v>169.20555555555671</v>
      </c>
      <c r="I232" s="17">
        <f t="shared" si="63"/>
        <v>179.38333333333264</v>
      </c>
      <c r="J232" s="17">
        <f t="shared" si="63"/>
        <v>185.74444444444427</v>
      </c>
      <c r="K232" s="18">
        <f t="shared" si="63"/>
        <v>156.48333333333284</v>
      </c>
      <c r="L232" s="18">
        <f t="shared" si="63"/>
        <v>166.66111111110993</v>
      </c>
      <c r="M232" s="18">
        <f t="shared" si="63"/>
        <v>173.02222222222224</v>
      </c>
      <c r="N232" s="19">
        <f t="shared" si="63"/>
        <v>117.0444444444436</v>
      </c>
      <c r="O232" s="19">
        <f t="shared" si="63"/>
        <v>127.22222222222385</v>
      </c>
      <c r="P232" s="19">
        <f t="shared" si="63"/>
        <v>133.58333333333209</v>
      </c>
      <c r="Q232" s="20">
        <f t="shared" si="63"/>
        <v>110.68333333333456</v>
      </c>
      <c r="R232" s="20">
        <f t="shared" si="63"/>
        <v>120.86111111111194</v>
      </c>
      <c r="S232" s="20">
        <f t="shared" si="63"/>
        <v>127.22222222222385</v>
      </c>
      <c r="T232" s="21">
        <f t="shared" si="62"/>
        <v>104.32222222222313</v>
      </c>
      <c r="U232" s="21">
        <f t="shared" si="62"/>
        <v>114.5</v>
      </c>
      <c r="V232" s="21">
        <f t="shared" si="62"/>
        <v>120.86111111111194</v>
      </c>
      <c r="W232" s="22">
        <f t="shared" si="62"/>
        <v>97.961111111111194</v>
      </c>
      <c r="X232" s="22">
        <f t="shared" si="62"/>
        <v>108.13888888888806</v>
      </c>
      <c r="Y232" s="22">
        <f t="shared" si="62"/>
        <v>114.5</v>
      </c>
      <c r="Z232" s="23">
        <f t="shared" si="62"/>
        <v>91.599999999999255</v>
      </c>
      <c r="AA232" s="23">
        <f t="shared" si="62"/>
        <v>101.77777777777698</v>
      </c>
      <c r="AB232" s="23">
        <f t="shared" si="62"/>
        <v>108.13888888888806</v>
      </c>
      <c r="AC232" s="24">
        <f t="shared" si="62"/>
        <v>85.238888888888951</v>
      </c>
      <c r="AD232" s="24">
        <f t="shared" si="62"/>
        <v>95.416666666666785</v>
      </c>
      <c r="AE232" s="24">
        <f t="shared" si="62"/>
        <v>101.77777777777698</v>
      </c>
      <c r="AF232" s="25">
        <f t="shared" si="62"/>
        <v>78.87777777777724</v>
      </c>
      <c r="AG232" s="25">
        <f t="shared" si="62"/>
        <v>89.055555555555969</v>
      </c>
      <c r="AH232" s="25">
        <f t="shared" si="64"/>
        <v>95.416666666666785</v>
      </c>
      <c r="AI232" s="26">
        <f t="shared" si="64"/>
        <v>72.516666666667163</v>
      </c>
      <c r="AJ232" s="26">
        <f t="shared" si="59"/>
        <v>82.694444444444031</v>
      </c>
      <c r="AK232" s="26">
        <f t="shared" si="49"/>
        <v>89.055555555555969</v>
      </c>
    </row>
    <row r="233" spans="4:37" ht="20.100000000000001" customHeight="1">
      <c r="D233" s="27">
        <f t="shared" si="48"/>
        <v>0.63888888888888717</v>
      </c>
      <c r="E233" s="16">
        <f t="shared" si="63"/>
        <v>182.72222222222237</v>
      </c>
      <c r="F233" s="16">
        <f t="shared" si="63"/>
        <v>192.94444444444264</v>
      </c>
      <c r="G233" s="16">
        <f t="shared" si="63"/>
        <v>199.33333333333235</v>
      </c>
      <c r="H233" s="17">
        <f t="shared" si="63"/>
        <v>169.94444444444559</v>
      </c>
      <c r="I233" s="17">
        <f t="shared" si="63"/>
        <v>180.16666666666598</v>
      </c>
      <c r="J233" s="17">
        <f t="shared" si="63"/>
        <v>186.55555555555537</v>
      </c>
      <c r="K233" s="18">
        <f t="shared" si="63"/>
        <v>157.16666666666617</v>
      </c>
      <c r="L233" s="18">
        <f t="shared" si="63"/>
        <v>167.38888888888772</v>
      </c>
      <c r="M233" s="18">
        <f t="shared" si="63"/>
        <v>173.7777777777778</v>
      </c>
      <c r="N233" s="19">
        <f t="shared" si="63"/>
        <v>117.5555555555547</v>
      </c>
      <c r="O233" s="19">
        <f t="shared" si="63"/>
        <v>127.77777777777941</v>
      </c>
      <c r="P233" s="19">
        <f t="shared" si="63"/>
        <v>134.16666666666544</v>
      </c>
      <c r="Q233" s="20">
        <f t="shared" si="63"/>
        <v>111.16666666666789</v>
      </c>
      <c r="R233" s="20">
        <f t="shared" si="63"/>
        <v>121.38888888888971</v>
      </c>
      <c r="S233" s="20">
        <f t="shared" si="63"/>
        <v>127.77777777777941</v>
      </c>
      <c r="T233" s="21">
        <f t="shared" si="62"/>
        <v>104.77777777777868</v>
      </c>
      <c r="U233" s="21">
        <f t="shared" si="62"/>
        <v>115</v>
      </c>
      <c r="V233" s="21">
        <f t="shared" si="62"/>
        <v>121.38888888888971</v>
      </c>
      <c r="W233" s="22">
        <f t="shared" si="62"/>
        <v>98.388888888888971</v>
      </c>
      <c r="X233" s="22">
        <f t="shared" si="62"/>
        <v>108.61111111111029</v>
      </c>
      <c r="Y233" s="22">
        <f t="shared" si="62"/>
        <v>115</v>
      </c>
      <c r="Z233" s="23">
        <f t="shared" si="62"/>
        <v>91.999999999999261</v>
      </c>
      <c r="AA233" s="23">
        <f t="shared" si="62"/>
        <v>102.22222222222142</v>
      </c>
      <c r="AB233" s="23">
        <f t="shared" si="62"/>
        <v>108.61111111111029</v>
      </c>
      <c r="AC233" s="24">
        <f t="shared" si="62"/>
        <v>85.611111111111171</v>
      </c>
      <c r="AD233" s="24">
        <f t="shared" si="62"/>
        <v>95.833333333333456</v>
      </c>
      <c r="AE233" s="24">
        <f t="shared" si="62"/>
        <v>102.22222222222142</v>
      </c>
      <c r="AF233" s="25">
        <f t="shared" si="62"/>
        <v>79.222222222221689</v>
      </c>
      <c r="AG233" s="25">
        <f t="shared" si="62"/>
        <v>89.444444444444855</v>
      </c>
      <c r="AH233" s="25">
        <f t="shared" si="64"/>
        <v>95.833333333333456</v>
      </c>
      <c r="AI233" s="26">
        <f t="shared" si="64"/>
        <v>72.833333333333826</v>
      </c>
      <c r="AJ233" s="26">
        <f t="shared" si="59"/>
        <v>83.055555555555145</v>
      </c>
      <c r="AK233" s="26">
        <f t="shared" si="49"/>
        <v>89.444444444444855</v>
      </c>
    </row>
    <row r="234" spans="4:37" ht="20.100000000000001" customHeight="1">
      <c r="D234" s="27">
        <f t="shared" si="48"/>
        <v>0.64166666666666494</v>
      </c>
      <c r="E234" s="16">
        <f t="shared" si="63"/>
        <v>183.51666666666682</v>
      </c>
      <c r="F234" s="16">
        <f t="shared" si="63"/>
        <v>193.78333333333154</v>
      </c>
      <c r="G234" s="16">
        <f t="shared" si="63"/>
        <v>200.19999999999902</v>
      </c>
      <c r="H234" s="17">
        <f t="shared" si="63"/>
        <v>170.68333333333447</v>
      </c>
      <c r="I234" s="17">
        <f t="shared" si="63"/>
        <v>180.94999999999931</v>
      </c>
      <c r="J234" s="17">
        <f t="shared" si="63"/>
        <v>187.36666666666648</v>
      </c>
      <c r="K234" s="18">
        <f t="shared" si="63"/>
        <v>157.84999999999951</v>
      </c>
      <c r="L234" s="18">
        <f t="shared" si="63"/>
        <v>168.11666666666551</v>
      </c>
      <c r="M234" s="18">
        <f t="shared" si="63"/>
        <v>174.53333333333336</v>
      </c>
      <c r="N234" s="19">
        <f t="shared" si="63"/>
        <v>118.06666666666581</v>
      </c>
      <c r="O234" s="19">
        <f t="shared" si="63"/>
        <v>128.33333333333496</v>
      </c>
      <c r="P234" s="19">
        <f t="shared" si="63"/>
        <v>134.74999999999878</v>
      </c>
      <c r="Q234" s="20">
        <f t="shared" si="63"/>
        <v>111.65000000000123</v>
      </c>
      <c r="R234" s="20">
        <f t="shared" si="63"/>
        <v>121.91666666666748</v>
      </c>
      <c r="S234" s="20">
        <f t="shared" si="63"/>
        <v>128.33333333333496</v>
      </c>
      <c r="T234" s="21">
        <f t="shared" si="62"/>
        <v>105.23333333333423</v>
      </c>
      <c r="U234" s="21">
        <f t="shared" si="62"/>
        <v>115.5</v>
      </c>
      <c r="V234" s="21">
        <f t="shared" si="62"/>
        <v>121.91666666666748</v>
      </c>
      <c r="W234" s="22">
        <f t="shared" si="62"/>
        <v>98.816666666666748</v>
      </c>
      <c r="X234" s="22">
        <f t="shared" si="62"/>
        <v>109.08333333333252</v>
      </c>
      <c r="Y234" s="22">
        <f t="shared" si="62"/>
        <v>115.5</v>
      </c>
      <c r="Z234" s="23">
        <f t="shared" si="62"/>
        <v>92.399999999999267</v>
      </c>
      <c r="AA234" s="23">
        <f t="shared" si="62"/>
        <v>102.66666666666586</v>
      </c>
      <c r="AB234" s="23">
        <f t="shared" si="62"/>
        <v>109.08333333333252</v>
      </c>
      <c r="AC234" s="24">
        <f t="shared" si="62"/>
        <v>85.983333333333391</v>
      </c>
      <c r="AD234" s="24">
        <f t="shared" si="62"/>
        <v>96.250000000000128</v>
      </c>
      <c r="AE234" s="24">
        <f t="shared" si="62"/>
        <v>102.66666666666586</v>
      </c>
      <c r="AF234" s="25">
        <f t="shared" si="62"/>
        <v>79.566666666666137</v>
      </c>
      <c r="AG234" s="25">
        <f t="shared" si="62"/>
        <v>89.833333333333741</v>
      </c>
      <c r="AH234" s="25">
        <f t="shared" si="62"/>
        <v>96.250000000000128</v>
      </c>
      <c r="AI234" s="26">
        <f t="shared" si="62"/>
        <v>73.150000000000489</v>
      </c>
      <c r="AJ234" s="26">
        <f t="shared" ref="AJ234:AK276" si="65">AJ235-(AJ$363/360)</f>
        <v>83.416666666666259</v>
      </c>
      <c r="AK234" s="26">
        <f t="shared" si="65"/>
        <v>89.833333333333741</v>
      </c>
    </row>
    <row r="235" spans="4:37" ht="20.100000000000001" customHeight="1">
      <c r="D235" s="27">
        <f t="shared" si="48"/>
        <v>0.64444444444444271</v>
      </c>
      <c r="E235" s="16">
        <f t="shared" si="63"/>
        <v>184.31111111111127</v>
      </c>
      <c r="F235" s="16">
        <f t="shared" si="63"/>
        <v>194.62222222222044</v>
      </c>
      <c r="G235" s="16">
        <f t="shared" si="63"/>
        <v>201.0666666666657</v>
      </c>
      <c r="H235" s="17">
        <f t="shared" si="63"/>
        <v>171.42222222222335</v>
      </c>
      <c r="I235" s="17">
        <f t="shared" si="63"/>
        <v>181.73333333333264</v>
      </c>
      <c r="J235" s="17">
        <f t="shared" si="63"/>
        <v>188.17777777777758</v>
      </c>
      <c r="K235" s="18">
        <f t="shared" si="63"/>
        <v>158.53333333333285</v>
      </c>
      <c r="L235" s="18">
        <f t="shared" si="63"/>
        <v>168.8444444444433</v>
      </c>
      <c r="M235" s="18">
        <f t="shared" si="63"/>
        <v>175.28888888888892</v>
      </c>
      <c r="N235" s="19">
        <f t="shared" si="63"/>
        <v>118.57777777777692</v>
      </c>
      <c r="O235" s="19">
        <f t="shared" si="63"/>
        <v>128.88888888889051</v>
      </c>
      <c r="P235" s="19">
        <f t="shared" si="63"/>
        <v>135.33333333333212</v>
      </c>
      <c r="Q235" s="20">
        <f t="shared" si="63"/>
        <v>112.13333333333456</v>
      </c>
      <c r="R235" s="20">
        <f t="shared" si="63"/>
        <v>122.44444444444525</v>
      </c>
      <c r="S235" s="20">
        <f t="shared" si="63"/>
        <v>128.88888888889051</v>
      </c>
      <c r="T235" s="21">
        <f t="shared" si="62"/>
        <v>105.68888888888978</v>
      </c>
      <c r="U235" s="21">
        <f t="shared" si="62"/>
        <v>116</v>
      </c>
      <c r="V235" s="21">
        <f t="shared" si="62"/>
        <v>122.44444444444525</v>
      </c>
      <c r="W235" s="22">
        <f t="shared" si="62"/>
        <v>99.244444444444525</v>
      </c>
      <c r="X235" s="22">
        <f t="shared" si="62"/>
        <v>109.55555555555475</v>
      </c>
      <c r="Y235" s="22">
        <f t="shared" si="62"/>
        <v>116</v>
      </c>
      <c r="Z235" s="23">
        <f t="shared" si="62"/>
        <v>92.799999999999272</v>
      </c>
      <c r="AA235" s="23">
        <f t="shared" si="62"/>
        <v>103.1111111111103</v>
      </c>
      <c r="AB235" s="23">
        <f t="shared" si="62"/>
        <v>109.55555555555475</v>
      </c>
      <c r="AC235" s="24">
        <f t="shared" si="62"/>
        <v>86.355555555555611</v>
      </c>
      <c r="AD235" s="24">
        <f t="shared" si="62"/>
        <v>96.666666666666799</v>
      </c>
      <c r="AE235" s="24">
        <f t="shared" si="62"/>
        <v>103.1111111111103</v>
      </c>
      <c r="AF235" s="25">
        <f t="shared" si="62"/>
        <v>79.911111111110586</v>
      </c>
      <c r="AG235" s="25">
        <f t="shared" si="62"/>
        <v>90.222222222222626</v>
      </c>
      <c r="AH235" s="25">
        <f t="shared" si="62"/>
        <v>96.666666666666799</v>
      </c>
      <c r="AI235" s="26">
        <f t="shared" si="62"/>
        <v>73.466666666667152</v>
      </c>
      <c r="AJ235" s="26">
        <f t="shared" si="65"/>
        <v>83.777777777777374</v>
      </c>
      <c r="AK235" s="26">
        <f t="shared" si="65"/>
        <v>90.222222222222626</v>
      </c>
    </row>
    <row r="236" spans="4:37" ht="20.100000000000001" customHeight="1">
      <c r="D236" s="27">
        <f t="shared" si="48"/>
        <v>0.64722222222222048</v>
      </c>
      <c r="E236" s="16">
        <f t="shared" si="63"/>
        <v>185.10555555555572</v>
      </c>
      <c r="F236" s="16">
        <f t="shared" si="63"/>
        <v>195.46111111110935</v>
      </c>
      <c r="G236" s="16">
        <f t="shared" si="63"/>
        <v>201.93333333333237</v>
      </c>
      <c r="H236" s="17">
        <f t="shared" si="63"/>
        <v>172.16111111111223</v>
      </c>
      <c r="I236" s="17">
        <f t="shared" si="63"/>
        <v>182.51666666666597</v>
      </c>
      <c r="J236" s="17">
        <f t="shared" si="63"/>
        <v>188.98888888888868</v>
      </c>
      <c r="K236" s="18">
        <f t="shared" si="63"/>
        <v>159.21666666666619</v>
      </c>
      <c r="L236" s="18">
        <f t="shared" si="63"/>
        <v>169.57222222222109</v>
      </c>
      <c r="M236" s="18">
        <f t="shared" si="63"/>
        <v>176.04444444444448</v>
      </c>
      <c r="N236" s="19">
        <f t="shared" si="63"/>
        <v>119.08888888888802</v>
      </c>
      <c r="O236" s="19">
        <f t="shared" si="63"/>
        <v>129.44444444444605</v>
      </c>
      <c r="P236" s="19">
        <f t="shared" si="63"/>
        <v>135.91666666666546</v>
      </c>
      <c r="Q236" s="20">
        <f t="shared" si="63"/>
        <v>112.6166666666679</v>
      </c>
      <c r="R236" s="20">
        <f t="shared" si="63"/>
        <v>122.97222222222302</v>
      </c>
      <c r="S236" s="20">
        <f t="shared" si="63"/>
        <v>129.44444444444605</v>
      </c>
      <c r="T236" s="21">
        <f t="shared" si="62"/>
        <v>106.14444444444533</v>
      </c>
      <c r="U236" s="21">
        <f t="shared" si="62"/>
        <v>116.5</v>
      </c>
      <c r="V236" s="21">
        <f t="shared" si="62"/>
        <v>122.97222222222302</v>
      </c>
      <c r="W236" s="22">
        <f t="shared" si="62"/>
        <v>99.672222222222302</v>
      </c>
      <c r="X236" s="22">
        <f t="shared" si="62"/>
        <v>110.02777777777698</v>
      </c>
      <c r="Y236" s="22">
        <f t="shared" si="62"/>
        <v>116.5</v>
      </c>
      <c r="Z236" s="23">
        <f t="shared" si="62"/>
        <v>93.199999999999278</v>
      </c>
      <c r="AA236" s="23">
        <f t="shared" si="62"/>
        <v>103.55555555555475</v>
      </c>
      <c r="AB236" s="23">
        <f t="shared" si="62"/>
        <v>110.02777777777698</v>
      </c>
      <c r="AC236" s="24">
        <f t="shared" si="62"/>
        <v>86.727777777777831</v>
      </c>
      <c r="AD236" s="24">
        <f t="shared" si="62"/>
        <v>97.083333333333471</v>
      </c>
      <c r="AE236" s="24">
        <f t="shared" si="62"/>
        <v>103.55555555555475</v>
      </c>
      <c r="AF236" s="25">
        <f t="shared" si="62"/>
        <v>80.255555555555034</v>
      </c>
      <c r="AG236" s="25">
        <f t="shared" si="62"/>
        <v>90.611111111111512</v>
      </c>
      <c r="AH236" s="25">
        <f t="shared" si="62"/>
        <v>97.083333333333471</v>
      </c>
      <c r="AI236" s="26">
        <f t="shared" si="62"/>
        <v>73.783333333333815</v>
      </c>
      <c r="AJ236" s="26">
        <f t="shared" si="65"/>
        <v>84.138888888888488</v>
      </c>
      <c r="AK236" s="26">
        <f t="shared" si="65"/>
        <v>90.611111111111512</v>
      </c>
    </row>
    <row r="237" spans="4:37" ht="20.100000000000001" customHeight="1">
      <c r="D237" s="27">
        <f t="shared" si="48"/>
        <v>0.64999999999999825</v>
      </c>
      <c r="E237" s="16">
        <f t="shared" si="63"/>
        <v>185.90000000000018</v>
      </c>
      <c r="F237" s="16">
        <f t="shared" si="63"/>
        <v>196.29999999999825</v>
      </c>
      <c r="G237" s="16">
        <f t="shared" si="63"/>
        <v>202.79999999999905</v>
      </c>
      <c r="H237" s="17">
        <f t="shared" si="63"/>
        <v>172.90000000000111</v>
      </c>
      <c r="I237" s="17">
        <f t="shared" si="63"/>
        <v>183.2999999999993</v>
      </c>
      <c r="J237" s="17">
        <f t="shared" si="63"/>
        <v>189.79999999999978</v>
      </c>
      <c r="K237" s="18">
        <f t="shared" si="63"/>
        <v>159.89999999999952</v>
      </c>
      <c r="L237" s="18">
        <f t="shared" si="63"/>
        <v>170.29999999999887</v>
      </c>
      <c r="M237" s="18">
        <f t="shared" si="63"/>
        <v>176.80000000000004</v>
      </c>
      <c r="N237" s="19">
        <f t="shared" si="63"/>
        <v>119.59999999999913</v>
      </c>
      <c r="O237" s="19">
        <f t="shared" si="63"/>
        <v>130.00000000000159</v>
      </c>
      <c r="P237" s="19">
        <f t="shared" si="63"/>
        <v>136.49999999999881</v>
      </c>
      <c r="Q237" s="20">
        <f t="shared" si="63"/>
        <v>113.10000000000123</v>
      </c>
      <c r="R237" s="20">
        <f t="shared" si="63"/>
        <v>123.5000000000008</v>
      </c>
      <c r="S237" s="20">
        <f t="shared" si="63"/>
        <v>130.00000000000159</v>
      </c>
      <c r="T237" s="21">
        <f t="shared" si="62"/>
        <v>106.60000000000088</v>
      </c>
      <c r="U237" s="21">
        <f t="shared" si="62"/>
        <v>117</v>
      </c>
      <c r="V237" s="21">
        <f t="shared" si="62"/>
        <v>123.5000000000008</v>
      </c>
      <c r="W237" s="22">
        <f t="shared" si="62"/>
        <v>100.10000000000008</v>
      </c>
      <c r="X237" s="22">
        <f t="shared" si="62"/>
        <v>110.4999999999992</v>
      </c>
      <c r="Y237" s="22">
        <f t="shared" si="62"/>
        <v>117</v>
      </c>
      <c r="Z237" s="23">
        <f t="shared" si="62"/>
        <v>93.599999999999284</v>
      </c>
      <c r="AA237" s="23">
        <f t="shared" si="62"/>
        <v>103.99999999999919</v>
      </c>
      <c r="AB237" s="23">
        <f t="shared" si="62"/>
        <v>110.4999999999992</v>
      </c>
      <c r="AC237" s="24">
        <f t="shared" si="62"/>
        <v>87.100000000000051</v>
      </c>
      <c r="AD237" s="24">
        <f t="shared" si="62"/>
        <v>97.500000000000142</v>
      </c>
      <c r="AE237" s="24">
        <f t="shared" si="62"/>
        <v>103.99999999999919</v>
      </c>
      <c r="AF237" s="25">
        <f t="shared" si="62"/>
        <v>80.599999999999483</v>
      </c>
      <c r="AG237" s="25">
        <f t="shared" si="62"/>
        <v>91.000000000000398</v>
      </c>
      <c r="AH237" s="25">
        <f t="shared" si="62"/>
        <v>97.500000000000142</v>
      </c>
      <c r="AI237" s="26">
        <f t="shared" si="62"/>
        <v>74.100000000000477</v>
      </c>
      <c r="AJ237" s="26">
        <f t="shared" si="65"/>
        <v>84.499999999999602</v>
      </c>
      <c r="AK237" s="26">
        <f t="shared" si="65"/>
        <v>91.000000000000398</v>
      </c>
    </row>
    <row r="238" spans="4:37" ht="20.100000000000001" customHeight="1">
      <c r="D238" s="27">
        <f t="shared" si="48"/>
        <v>0.65277777777777601</v>
      </c>
      <c r="E238" s="16">
        <f t="shared" si="63"/>
        <v>186.69444444444463</v>
      </c>
      <c r="F238" s="16">
        <f t="shared" si="63"/>
        <v>197.13888888888715</v>
      </c>
      <c r="G238" s="16">
        <f t="shared" si="63"/>
        <v>203.66666666666572</v>
      </c>
      <c r="H238" s="17">
        <f t="shared" si="63"/>
        <v>173.63888888888999</v>
      </c>
      <c r="I238" s="17">
        <f t="shared" si="63"/>
        <v>184.08333333333263</v>
      </c>
      <c r="J238" s="17">
        <f t="shared" si="63"/>
        <v>190.61111111111089</v>
      </c>
      <c r="K238" s="18">
        <f t="shared" si="63"/>
        <v>160.58333333333286</v>
      </c>
      <c r="L238" s="18">
        <f t="shared" si="63"/>
        <v>171.02777777777666</v>
      </c>
      <c r="M238" s="18">
        <f t="shared" si="63"/>
        <v>177.5555555555556</v>
      </c>
      <c r="N238" s="19">
        <f t="shared" si="63"/>
        <v>120.11111111111023</v>
      </c>
      <c r="O238" s="19">
        <f t="shared" si="63"/>
        <v>130.55555555555713</v>
      </c>
      <c r="P238" s="19">
        <f t="shared" si="63"/>
        <v>137.08333333333215</v>
      </c>
      <c r="Q238" s="20">
        <f t="shared" si="63"/>
        <v>113.58333333333456</v>
      </c>
      <c r="R238" s="20">
        <f t="shared" si="63"/>
        <v>124.02777777777857</v>
      </c>
      <c r="S238" s="20">
        <f t="shared" si="63"/>
        <v>130.55555555555713</v>
      </c>
      <c r="T238" s="21">
        <f t="shared" si="62"/>
        <v>107.05555555555642</v>
      </c>
      <c r="U238" s="21">
        <f t="shared" si="62"/>
        <v>117.5</v>
      </c>
      <c r="V238" s="21">
        <f t="shared" si="62"/>
        <v>124.02777777777857</v>
      </c>
      <c r="W238" s="22">
        <f t="shared" si="62"/>
        <v>100.52777777777786</v>
      </c>
      <c r="X238" s="22">
        <f t="shared" si="62"/>
        <v>110.97222222222143</v>
      </c>
      <c r="Y238" s="22">
        <f t="shared" si="62"/>
        <v>117.5</v>
      </c>
      <c r="Z238" s="23">
        <f t="shared" si="62"/>
        <v>93.999999999999289</v>
      </c>
      <c r="AA238" s="23">
        <f t="shared" si="62"/>
        <v>104.44444444444363</v>
      </c>
      <c r="AB238" s="23">
        <f t="shared" si="62"/>
        <v>110.97222222222143</v>
      </c>
      <c r="AC238" s="24">
        <f t="shared" si="62"/>
        <v>87.472222222222271</v>
      </c>
      <c r="AD238" s="24">
        <f t="shared" si="62"/>
        <v>97.916666666666814</v>
      </c>
      <c r="AE238" s="24">
        <f t="shared" si="62"/>
        <v>104.44444444444363</v>
      </c>
      <c r="AF238" s="25">
        <f t="shared" si="62"/>
        <v>80.944444444443931</v>
      </c>
      <c r="AG238" s="25">
        <f t="shared" si="62"/>
        <v>91.388888888889284</v>
      </c>
      <c r="AH238" s="25">
        <f t="shared" si="62"/>
        <v>97.916666666666814</v>
      </c>
      <c r="AI238" s="26">
        <f t="shared" si="62"/>
        <v>74.41666666666714</v>
      </c>
      <c r="AJ238" s="26">
        <f t="shared" si="65"/>
        <v>84.861111111110716</v>
      </c>
      <c r="AK238" s="26">
        <f t="shared" si="65"/>
        <v>91.388888888889284</v>
      </c>
    </row>
    <row r="239" spans="4:37" ht="20.100000000000001" customHeight="1">
      <c r="D239" s="27">
        <f t="shared" si="48"/>
        <v>0.65555555555555378</v>
      </c>
      <c r="E239" s="16">
        <f t="shared" si="63"/>
        <v>187.48888888888908</v>
      </c>
      <c r="F239" s="16">
        <f t="shared" si="63"/>
        <v>197.97777777777605</v>
      </c>
      <c r="G239" s="16">
        <f t="shared" si="63"/>
        <v>204.53333333333239</v>
      </c>
      <c r="H239" s="17">
        <f t="shared" si="63"/>
        <v>174.37777777777887</v>
      </c>
      <c r="I239" s="17">
        <f t="shared" si="63"/>
        <v>184.86666666666596</v>
      </c>
      <c r="J239" s="17">
        <f t="shared" si="63"/>
        <v>191.42222222222199</v>
      </c>
      <c r="K239" s="18">
        <f t="shared" si="63"/>
        <v>161.2666666666662</v>
      </c>
      <c r="L239" s="18">
        <f t="shared" si="63"/>
        <v>171.75555555555445</v>
      </c>
      <c r="M239" s="18">
        <f t="shared" si="63"/>
        <v>178.31111111111116</v>
      </c>
      <c r="N239" s="19">
        <f t="shared" si="63"/>
        <v>120.62222222222134</v>
      </c>
      <c r="O239" s="19">
        <f t="shared" si="63"/>
        <v>131.11111111111268</v>
      </c>
      <c r="P239" s="19">
        <f t="shared" si="63"/>
        <v>137.66666666666549</v>
      </c>
      <c r="Q239" s="20">
        <f t="shared" si="63"/>
        <v>114.0666666666679</v>
      </c>
      <c r="R239" s="20">
        <f t="shared" si="63"/>
        <v>124.55555555555634</v>
      </c>
      <c r="S239" s="20">
        <f t="shared" si="63"/>
        <v>131.11111111111268</v>
      </c>
      <c r="T239" s="21">
        <f t="shared" si="62"/>
        <v>107.51111111111197</v>
      </c>
      <c r="U239" s="21">
        <f t="shared" si="62"/>
        <v>118</v>
      </c>
      <c r="V239" s="21">
        <f t="shared" si="62"/>
        <v>124.55555555555634</v>
      </c>
      <c r="W239" s="22">
        <f t="shared" si="62"/>
        <v>100.95555555555563</v>
      </c>
      <c r="X239" s="22">
        <f t="shared" si="62"/>
        <v>111.44444444444366</v>
      </c>
      <c r="Y239" s="22">
        <f t="shared" si="62"/>
        <v>118</v>
      </c>
      <c r="Z239" s="23">
        <f t="shared" si="62"/>
        <v>94.399999999999295</v>
      </c>
      <c r="AA239" s="23">
        <f t="shared" si="62"/>
        <v>104.88888888888808</v>
      </c>
      <c r="AB239" s="23">
        <f t="shared" si="62"/>
        <v>111.44444444444366</v>
      </c>
      <c r="AC239" s="24">
        <f t="shared" si="62"/>
        <v>87.844444444444491</v>
      </c>
      <c r="AD239" s="24">
        <f t="shared" si="62"/>
        <v>98.333333333333485</v>
      </c>
      <c r="AE239" s="24">
        <f t="shared" si="62"/>
        <v>104.88888888888808</v>
      </c>
      <c r="AF239" s="25">
        <f t="shared" si="62"/>
        <v>81.28888888888838</v>
      </c>
      <c r="AG239" s="25">
        <f t="shared" si="62"/>
        <v>91.777777777778169</v>
      </c>
      <c r="AH239" s="25">
        <f t="shared" si="62"/>
        <v>98.333333333333485</v>
      </c>
      <c r="AI239" s="26">
        <f t="shared" si="62"/>
        <v>74.733333333333803</v>
      </c>
      <c r="AJ239" s="26">
        <f t="shared" si="65"/>
        <v>85.222222222221831</v>
      </c>
      <c r="AK239" s="26">
        <f t="shared" si="65"/>
        <v>91.777777777778169</v>
      </c>
    </row>
    <row r="240" spans="4:37" ht="20.100000000000001" customHeight="1">
      <c r="D240" s="27">
        <f t="shared" si="48"/>
        <v>0.65833333333333155</v>
      </c>
      <c r="E240" s="16">
        <f t="shared" si="63"/>
        <v>188.28333333333353</v>
      </c>
      <c r="F240" s="16">
        <f t="shared" si="63"/>
        <v>198.81666666666496</v>
      </c>
      <c r="G240" s="16">
        <f t="shared" si="63"/>
        <v>205.39999999999907</v>
      </c>
      <c r="H240" s="17">
        <f t="shared" si="63"/>
        <v>175.11666666666775</v>
      </c>
      <c r="I240" s="17">
        <f t="shared" si="63"/>
        <v>185.6499999999993</v>
      </c>
      <c r="J240" s="17">
        <f t="shared" si="63"/>
        <v>192.23333333333309</v>
      </c>
      <c r="K240" s="18">
        <f t="shared" si="63"/>
        <v>161.94999999999953</v>
      </c>
      <c r="L240" s="18">
        <f t="shared" si="63"/>
        <v>172.48333333333224</v>
      </c>
      <c r="M240" s="18">
        <f t="shared" si="63"/>
        <v>179.06666666666672</v>
      </c>
      <c r="N240" s="19">
        <f t="shared" si="63"/>
        <v>121.13333333333244</v>
      </c>
      <c r="O240" s="19">
        <f t="shared" si="63"/>
        <v>131.66666666666822</v>
      </c>
      <c r="P240" s="19">
        <f t="shared" si="63"/>
        <v>138.24999999999883</v>
      </c>
      <c r="Q240" s="20">
        <f t="shared" si="63"/>
        <v>114.55000000000123</v>
      </c>
      <c r="R240" s="20">
        <f t="shared" si="63"/>
        <v>125.08333333333411</v>
      </c>
      <c r="S240" s="20">
        <f t="shared" si="63"/>
        <v>131.66666666666822</v>
      </c>
      <c r="T240" s="21">
        <f t="shared" si="62"/>
        <v>107.96666666666752</v>
      </c>
      <c r="U240" s="21">
        <f t="shared" si="62"/>
        <v>118.5</v>
      </c>
      <c r="V240" s="21">
        <f t="shared" si="62"/>
        <v>125.08333333333411</v>
      </c>
      <c r="W240" s="22">
        <f t="shared" si="62"/>
        <v>101.38333333333341</v>
      </c>
      <c r="X240" s="22">
        <f t="shared" si="62"/>
        <v>111.91666666666589</v>
      </c>
      <c r="Y240" s="22">
        <f t="shared" si="62"/>
        <v>118.5</v>
      </c>
      <c r="Z240" s="23">
        <f t="shared" si="62"/>
        <v>94.799999999999301</v>
      </c>
      <c r="AA240" s="23">
        <f t="shared" si="62"/>
        <v>105.33333333333252</v>
      </c>
      <c r="AB240" s="23">
        <f t="shared" si="62"/>
        <v>111.91666666666589</v>
      </c>
      <c r="AC240" s="24">
        <f t="shared" si="62"/>
        <v>88.216666666666711</v>
      </c>
      <c r="AD240" s="24">
        <f t="shared" si="62"/>
        <v>98.750000000000156</v>
      </c>
      <c r="AE240" s="24">
        <f t="shared" si="62"/>
        <v>105.33333333333252</v>
      </c>
      <c r="AF240" s="25">
        <f t="shared" si="62"/>
        <v>81.633333333332828</v>
      </c>
      <c r="AG240" s="25">
        <f t="shared" si="62"/>
        <v>92.166666666667055</v>
      </c>
      <c r="AH240" s="25">
        <f t="shared" si="62"/>
        <v>98.750000000000156</v>
      </c>
      <c r="AI240" s="26">
        <f t="shared" si="62"/>
        <v>75.050000000000466</v>
      </c>
      <c r="AJ240" s="26">
        <f t="shared" si="65"/>
        <v>85.583333333332945</v>
      </c>
      <c r="AK240" s="26">
        <f t="shared" si="65"/>
        <v>92.166666666667055</v>
      </c>
    </row>
    <row r="241" spans="4:37" ht="20.100000000000001" customHeight="1">
      <c r="D241" s="27">
        <f t="shared" si="48"/>
        <v>0.66111111111110932</v>
      </c>
      <c r="E241" s="16">
        <f t="shared" si="63"/>
        <v>189.07777777777798</v>
      </c>
      <c r="F241" s="16">
        <f t="shared" si="63"/>
        <v>199.65555555555386</v>
      </c>
      <c r="G241" s="16">
        <f t="shared" si="63"/>
        <v>206.26666666666574</v>
      </c>
      <c r="H241" s="17">
        <f t="shared" si="63"/>
        <v>175.85555555555663</v>
      </c>
      <c r="I241" s="17">
        <f t="shared" si="63"/>
        <v>186.43333333333263</v>
      </c>
      <c r="J241" s="17">
        <f t="shared" si="63"/>
        <v>193.0444444444442</v>
      </c>
      <c r="K241" s="18">
        <f t="shared" si="63"/>
        <v>162.63333333333287</v>
      </c>
      <c r="L241" s="18">
        <f t="shared" si="63"/>
        <v>173.21111111111003</v>
      </c>
      <c r="M241" s="18">
        <f t="shared" si="63"/>
        <v>179.82222222222228</v>
      </c>
      <c r="N241" s="19">
        <f t="shared" si="63"/>
        <v>121.64444444444355</v>
      </c>
      <c r="O241" s="19">
        <f t="shared" si="63"/>
        <v>132.22222222222376</v>
      </c>
      <c r="P241" s="19">
        <f t="shared" si="63"/>
        <v>138.83333333333218</v>
      </c>
      <c r="Q241" s="20">
        <f t="shared" si="63"/>
        <v>115.03333333333457</v>
      </c>
      <c r="R241" s="20">
        <f t="shared" si="63"/>
        <v>125.61111111111188</v>
      </c>
      <c r="S241" s="20">
        <f t="shared" si="63"/>
        <v>132.22222222222376</v>
      </c>
      <c r="T241" s="21">
        <f t="shared" si="63"/>
        <v>108.42222222222307</v>
      </c>
      <c r="U241" s="21">
        <f t="shared" ref="U241:AJ257" si="66">U242-(U$363/360)</f>
        <v>119</v>
      </c>
      <c r="V241" s="21">
        <f t="shared" si="66"/>
        <v>125.61111111111188</v>
      </c>
      <c r="W241" s="22">
        <f t="shared" si="66"/>
        <v>101.81111111111119</v>
      </c>
      <c r="X241" s="22">
        <f t="shared" si="66"/>
        <v>112.38888888888812</v>
      </c>
      <c r="Y241" s="22">
        <f t="shared" si="66"/>
        <v>119</v>
      </c>
      <c r="Z241" s="23">
        <f t="shared" si="66"/>
        <v>95.199999999999307</v>
      </c>
      <c r="AA241" s="23">
        <f t="shared" si="66"/>
        <v>105.77777777777696</v>
      </c>
      <c r="AB241" s="23">
        <f t="shared" si="66"/>
        <v>112.38888888888812</v>
      </c>
      <c r="AC241" s="24">
        <f t="shared" si="66"/>
        <v>88.588888888888931</v>
      </c>
      <c r="AD241" s="24">
        <f t="shared" si="66"/>
        <v>99.166666666666828</v>
      </c>
      <c r="AE241" s="24">
        <f t="shared" si="66"/>
        <v>105.77777777777696</v>
      </c>
      <c r="AF241" s="25">
        <f t="shared" si="66"/>
        <v>81.977777777777277</v>
      </c>
      <c r="AG241" s="25">
        <f t="shared" si="66"/>
        <v>92.555555555555941</v>
      </c>
      <c r="AH241" s="25">
        <f t="shared" si="66"/>
        <v>99.166666666666828</v>
      </c>
      <c r="AI241" s="26">
        <f t="shared" si="66"/>
        <v>75.366666666667129</v>
      </c>
      <c r="AJ241" s="26">
        <f t="shared" si="66"/>
        <v>85.944444444444059</v>
      </c>
      <c r="AK241" s="26">
        <f t="shared" si="65"/>
        <v>92.555555555555941</v>
      </c>
    </row>
    <row r="242" spans="4:37" ht="20.100000000000001" customHeight="1">
      <c r="D242" s="27">
        <f t="shared" si="48"/>
        <v>0.66388888888888709</v>
      </c>
      <c r="E242" s="16">
        <f t="shared" si="63"/>
        <v>189.87222222222243</v>
      </c>
      <c r="F242" s="16">
        <f t="shared" si="63"/>
        <v>200.49444444444276</v>
      </c>
      <c r="G242" s="16">
        <f t="shared" si="63"/>
        <v>207.13333333333242</v>
      </c>
      <c r="H242" s="17">
        <f t="shared" si="63"/>
        <v>176.59444444444551</v>
      </c>
      <c r="I242" s="17">
        <f t="shared" si="63"/>
        <v>187.21666666666596</v>
      </c>
      <c r="J242" s="17">
        <f t="shared" si="63"/>
        <v>193.8555555555553</v>
      </c>
      <c r="K242" s="18">
        <f t="shared" si="63"/>
        <v>163.31666666666621</v>
      </c>
      <c r="L242" s="18">
        <f t="shared" si="63"/>
        <v>173.93888888888782</v>
      </c>
      <c r="M242" s="18">
        <f t="shared" si="63"/>
        <v>180.57777777777784</v>
      </c>
      <c r="N242" s="19">
        <f t="shared" si="63"/>
        <v>122.15555555555466</v>
      </c>
      <c r="O242" s="19">
        <f t="shared" si="63"/>
        <v>132.77777777777931</v>
      </c>
      <c r="P242" s="19">
        <f t="shared" si="63"/>
        <v>139.41666666666552</v>
      </c>
      <c r="Q242" s="20">
        <f t="shared" ref="Q242:AF244" si="67">Q243-(Q$363/360)</f>
        <v>115.5166666666679</v>
      </c>
      <c r="R242" s="20">
        <f t="shared" si="67"/>
        <v>126.13888888888965</v>
      </c>
      <c r="S242" s="20">
        <f t="shared" si="67"/>
        <v>132.77777777777931</v>
      </c>
      <c r="T242" s="21">
        <f t="shared" si="67"/>
        <v>108.87777777777862</v>
      </c>
      <c r="U242" s="21">
        <f t="shared" si="67"/>
        <v>119.5</v>
      </c>
      <c r="V242" s="21">
        <f t="shared" si="67"/>
        <v>126.13888888888965</v>
      </c>
      <c r="W242" s="22">
        <f t="shared" si="67"/>
        <v>102.23888888888897</v>
      </c>
      <c r="X242" s="22">
        <f t="shared" si="67"/>
        <v>112.86111111111035</v>
      </c>
      <c r="Y242" s="22">
        <f t="shared" si="67"/>
        <v>119.5</v>
      </c>
      <c r="Z242" s="23">
        <f t="shared" si="67"/>
        <v>95.599999999999312</v>
      </c>
      <c r="AA242" s="23">
        <f t="shared" si="67"/>
        <v>106.2222222222214</v>
      </c>
      <c r="AB242" s="23">
        <f t="shared" si="67"/>
        <v>112.86111111111035</v>
      </c>
      <c r="AC242" s="24">
        <f t="shared" si="67"/>
        <v>88.961111111111151</v>
      </c>
      <c r="AD242" s="24">
        <f t="shared" si="67"/>
        <v>99.583333333333499</v>
      </c>
      <c r="AE242" s="24">
        <f t="shared" si="67"/>
        <v>106.2222222222214</v>
      </c>
      <c r="AF242" s="25">
        <f t="shared" si="67"/>
        <v>82.322222222221725</v>
      </c>
      <c r="AG242" s="25">
        <f t="shared" si="66"/>
        <v>92.944444444444827</v>
      </c>
      <c r="AH242" s="25">
        <f t="shared" si="66"/>
        <v>99.583333333333499</v>
      </c>
      <c r="AI242" s="26">
        <f t="shared" si="66"/>
        <v>75.683333333333792</v>
      </c>
      <c r="AJ242" s="26">
        <f t="shared" si="66"/>
        <v>86.305555555555173</v>
      </c>
      <c r="AK242" s="26">
        <f t="shared" si="65"/>
        <v>92.944444444444827</v>
      </c>
    </row>
    <row r="243" spans="4:37" ht="20.100000000000001" customHeight="1">
      <c r="D243" s="27">
        <f t="shared" si="48"/>
        <v>0.66666666666666485</v>
      </c>
      <c r="E243" s="16">
        <f t="shared" ref="E243:T259" si="68">E244-(E$363/360)</f>
        <v>190.66666666666688</v>
      </c>
      <c r="F243" s="16">
        <f t="shared" si="68"/>
        <v>201.33333333333167</v>
      </c>
      <c r="G243" s="16">
        <f t="shared" si="68"/>
        <v>207.99999999999909</v>
      </c>
      <c r="H243" s="17">
        <f t="shared" si="68"/>
        <v>177.33333333333439</v>
      </c>
      <c r="I243" s="17">
        <f t="shared" si="68"/>
        <v>187.99999999999929</v>
      </c>
      <c r="J243" s="17">
        <f t="shared" si="68"/>
        <v>194.6666666666664</v>
      </c>
      <c r="K243" s="18">
        <f t="shared" si="68"/>
        <v>163.99999999999955</v>
      </c>
      <c r="L243" s="18">
        <f t="shared" si="68"/>
        <v>174.66666666666561</v>
      </c>
      <c r="M243" s="18">
        <f t="shared" si="68"/>
        <v>181.3333333333334</v>
      </c>
      <c r="N243" s="19">
        <f t="shared" si="68"/>
        <v>122.66666666666576</v>
      </c>
      <c r="O243" s="19">
        <f t="shared" si="68"/>
        <v>133.33333333333485</v>
      </c>
      <c r="P243" s="19">
        <f t="shared" si="68"/>
        <v>139.99999999999886</v>
      </c>
      <c r="Q243" s="20">
        <f t="shared" si="68"/>
        <v>116.00000000000124</v>
      </c>
      <c r="R243" s="20">
        <f t="shared" si="68"/>
        <v>126.66666666666742</v>
      </c>
      <c r="S243" s="20">
        <f t="shared" si="68"/>
        <v>133.33333333333485</v>
      </c>
      <c r="T243" s="21">
        <f t="shared" si="67"/>
        <v>109.33333333333417</v>
      </c>
      <c r="U243" s="21">
        <f t="shared" si="67"/>
        <v>120</v>
      </c>
      <c r="V243" s="21">
        <f t="shared" si="67"/>
        <v>126.66666666666742</v>
      </c>
      <c r="W243" s="22">
        <f t="shared" si="67"/>
        <v>102.66666666666674</v>
      </c>
      <c r="X243" s="22">
        <f t="shared" si="67"/>
        <v>113.33333333333258</v>
      </c>
      <c r="Y243" s="22">
        <f t="shared" si="67"/>
        <v>120</v>
      </c>
      <c r="Z243" s="23">
        <f t="shared" si="67"/>
        <v>95.999999999999318</v>
      </c>
      <c r="AA243" s="23">
        <f t="shared" si="67"/>
        <v>106.66666666666585</v>
      </c>
      <c r="AB243" s="23">
        <f t="shared" si="67"/>
        <v>113.33333333333258</v>
      </c>
      <c r="AC243" s="24">
        <f t="shared" si="67"/>
        <v>89.333333333333371</v>
      </c>
      <c r="AD243" s="24">
        <f t="shared" si="67"/>
        <v>100.00000000000017</v>
      </c>
      <c r="AE243" s="24">
        <f t="shared" si="67"/>
        <v>106.66666666666585</v>
      </c>
      <c r="AF243" s="25">
        <f t="shared" si="67"/>
        <v>82.666666666666174</v>
      </c>
      <c r="AG243" s="25">
        <f t="shared" si="66"/>
        <v>93.333333333333712</v>
      </c>
      <c r="AH243" s="25">
        <f t="shared" si="66"/>
        <v>100.00000000000017</v>
      </c>
      <c r="AI243" s="26">
        <f t="shared" si="66"/>
        <v>76.000000000000455</v>
      </c>
      <c r="AJ243" s="26">
        <f t="shared" si="66"/>
        <v>86.666666666666288</v>
      </c>
      <c r="AK243" s="26">
        <f t="shared" si="65"/>
        <v>93.333333333333712</v>
      </c>
    </row>
    <row r="244" spans="4:37" ht="20.100000000000001" customHeight="1">
      <c r="D244" s="27">
        <f t="shared" si="48"/>
        <v>0.66944444444444262</v>
      </c>
      <c r="E244" s="16">
        <f t="shared" si="68"/>
        <v>191.46111111111134</v>
      </c>
      <c r="F244" s="16">
        <f t="shared" si="68"/>
        <v>202.17222222222057</v>
      </c>
      <c r="G244" s="16">
        <f t="shared" si="68"/>
        <v>208.86666666666576</v>
      </c>
      <c r="H244" s="17">
        <f t="shared" si="68"/>
        <v>178.07222222222327</v>
      </c>
      <c r="I244" s="17">
        <f t="shared" si="68"/>
        <v>188.78333333333262</v>
      </c>
      <c r="J244" s="17">
        <f t="shared" si="68"/>
        <v>195.4777777777775</v>
      </c>
      <c r="K244" s="18">
        <f t="shared" si="68"/>
        <v>164.68333333333288</v>
      </c>
      <c r="L244" s="18">
        <f t="shared" si="68"/>
        <v>175.39444444444339</v>
      </c>
      <c r="M244" s="18">
        <f t="shared" si="68"/>
        <v>182.08888888888896</v>
      </c>
      <c r="N244" s="19">
        <f t="shared" si="68"/>
        <v>123.17777777777687</v>
      </c>
      <c r="O244" s="19">
        <f t="shared" si="68"/>
        <v>133.88888888889039</v>
      </c>
      <c r="P244" s="19">
        <f t="shared" si="68"/>
        <v>140.58333333333221</v>
      </c>
      <c r="Q244" s="20">
        <f t="shared" si="68"/>
        <v>116.48333333333457</v>
      </c>
      <c r="R244" s="20">
        <f t="shared" si="68"/>
        <v>127.1944444444452</v>
      </c>
      <c r="S244" s="20">
        <f t="shared" si="68"/>
        <v>133.88888888889039</v>
      </c>
      <c r="T244" s="21">
        <f t="shared" si="67"/>
        <v>109.78888888888972</v>
      </c>
      <c r="U244" s="21">
        <f t="shared" si="67"/>
        <v>120.5</v>
      </c>
      <c r="V244" s="21">
        <f t="shared" si="67"/>
        <v>127.1944444444452</v>
      </c>
      <c r="W244" s="22">
        <f t="shared" si="67"/>
        <v>103.09444444444452</v>
      </c>
      <c r="X244" s="22">
        <f t="shared" si="67"/>
        <v>113.8055555555548</v>
      </c>
      <c r="Y244" s="22">
        <f t="shared" si="67"/>
        <v>120.5</v>
      </c>
      <c r="Z244" s="23">
        <f t="shared" si="67"/>
        <v>96.399999999999324</v>
      </c>
      <c r="AA244" s="23">
        <f t="shared" si="67"/>
        <v>107.11111111111029</v>
      </c>
      <c r="AB244" s="23">
        <f t="shared" si="67"/>
        <v>113.8055555555548</v>
      </c>
      <c r="AC244" s="24">
        <f t="shared" si="67"/>
        <v>89.705555555555591</v>
      </c>
      <c r="AD244" s="24">
        <f t="shared" si="67"/>
        <v>100.41666666666684</v>
      </c>
      <c r="AE244" s="24">
        <f t="shared" si="67"/>
        <v>107.11111111111029</v>
      </c>
      <c r="AF244" s="25">
        <f t="shared" si="67"/>
        <v>83.011111111110623</v>
      </c>
      <c r="AG244" s="25">
        <f t="shared" si="66"/>
        <v>93.722222222222598</v>
      </c>
      <c r="AH244" s="25">
        <f t="shared" si="66"/>
        <v>100.41666666666684</v>
      </c>
      <c r="AI244" s="26">
        <f t="shared" si="66"/>
        <v>76.316666666667118</v>
      </c>
      <c r="AJ244" s="26">
        <f t="shared" si="66"/>
        <v>87.027777777777402</v>
      </c>
      <c r="AK244" s="26">
        <f t="shared" si="65"/>
        <v>93.722222222222598</v>
      </c>
    </row>
    <row r="245" spans="4:37" ht="20.100000000000001" customHeight="1">
      <c r="D245" s="27">
        <f t="shared" si="48"/>
        <v>0.67222222222222039</v>
      </c>
      <c r="E245" s="16">
        <f t="shared" si="68"/>
        <v>192.25555555555579</v>
      </c>
      <c r="F245" s="16">
        <f t="shared" si="68"/>
        <v>203.01111111110947</v>
      </c>
      <c r="G245" s="16">
        <f t="shared" si="68"/>
        <v>209.73333333333244</v>
      </c>
      <c r="H245" s="17">
        <f t="shared" si="68"/>
        <v>178.81111111111215</v>
      </c>
      <c r="I245" s="17">
        <f t="shared" si="68"/>
        <v>189.56666666666595</v>
      </c>
      <c r="J245" s="17">
        <f t="shared" si="68"/>
        <v>196.28888888888861</v>
      </c>
      <c r="K245" s="18">
        <f t="shared" si="68"/>
        <v>165.36666666666622</v>
      </c>
      <c r="L245" s="18">
        <f t="shared" si="68"/>
        <v>176.12222222222118</v>
      </c>
      <c r="M245" s="18">
        <f t="shared" si="68"/>
        <v>182.84444444444452</v>
      </c>
      <c r="N245" s="19">
        <f t="shared" si="68"/>
        <v>123.68888888888797</v>
      </c>
      <c r="O245" s="19">
        <f t="shared" si="68"/>
        <v>134.44444444444594</v>
      </c>
      <c r="P245" s="19">
        <f t="shared" si="68"/>
        <v>141.16666666666555</v>
      </c>
      <c r="Q245" s="20">
        <f t="shared" si="68"/>
        <v>116.9666666666679</v>
      </c>
      <c r="R245" s="20">
        <f t="shared" si="68"/>
        <v>127.72222222222297</v>
      </c>
      <c r="S245" s="20">
        <f t="shared" si="68"/>
        <v>134.44444444444594</v>
      </c>
      <c r="T245" s="21">
        <f t="shared" si="68"/>
        <v>110.24444444444526</v>
      </c>
      <c r="U245" s="21">
        <f t="shared" si="66"/>
        <v>121</v>
      </c>
      <c r="V245" s="21">
        <f t="shared" si="66"/>
        <v>127.72222222222297</v>
      </c>
      <c r="W245" s="22">
        <f t="shared" si="66"/>
        <v>103.5222222222223</v>
      </c>
      <c r="X245" s="22">
        <f t="shared" si="66"/>
        <v>114.27777777777703</v>
      </c>
      <c r="Y245" s="22">
        <f t="shared" si="66"/>
        <v>121</v>
      </c>
      <c r="Z245" s="23">
        <f t="shared" si="66"/>
        <v>96.799999999999329</v>
      </c>
      <c r="AA245" s="23">
        <f t="shared" si="66"/>
        <v>107.55555555555473</v>
      </c>
      <c r="AB245" s="23">
        <f t="shared" si="66"/>
        <v>114.27777777777703</v>
      </c>
      <c r="AC245" s="24">
        <f t="shared" si="66"/>
        <v>90.077777777777811</v>
      </c>
      <c r="AD245" s="24">
        <f t="shared" si="66"/>
        <v>100.83333333333351</v>
      </c>
      <c r="AE245" s="24">
        <f t="shared" si="66"/>
        <v>107.55555555555473</v>
      </c>
      <c r="AF245" s="25">
        <f t="shared" si="66"/>
        <v>83.355555555555071</v>
      </c>
      <c r="AG245" s="25">
        <f t="shared" si="66"/>
        <v>94.111111111111484</v>
      </c>
      <c r="AH245" s="25">
        <f t="shared" si="66"/>
        <v>100.83333333333351</v>
      </c>
      <c r="AI245" s="26">
        <f t="shared" si="66"/>
        <v>76.633333333333781</v>
      </c>
      <c r="AJ245" s="26">
        <f t="shared" si="66"/>
        <v>87.388888888888516</v>
      </c>
      <c r="AK245" s="26">
        <f t="shared" si="65"/>
        <v>94.111111111111484</v>
      </c>
    </row>
    <row r="246" spans="4:37" ht="20.100000000000001" customHeight="1">
      <c r="D246" s="27">
        <f t="shared" si="48"/>
        <v>0.67499999999999816</v>
      </c>
      <c r="E246" s="16">
        <f t="shared" si="68"/>
        <v>193.05000000000024</v>
      </c>
      <c r="F246" s="16">
        <f t="shared" si="68"/>
        <v>203.84999999999837</v>
      </c>
      <c r="G246" s="16">
        <f t="shared" si="68"/>
        <v>210.59999999999911</v>
      </c>
      <c r="H246" s="17">
        <f t="shared" si="68"/>
        <v>179.55000000000103</v>
      </c>
      <c r="I246" s="17">
        <f t="shared" si="68"/>
        <v>190.34999999999928</v>
      </c>
      <c r="J246" s="17">
        <f t="shared" si="68"/>
        <v>197.09999999999971</v>
      </c>
      <c r="K246" s="18">
        <f t="shared" si="68"/>
        <v>166.04999999999956</v>
      </c>
      <c r="L246" s="18">
        <f t="shared" si="68"/>
        <v>176.84999999999897</v>
      </c>
      <c r="M246" s="18">
        <f t="shared" si="68"/>
        <v>183.60000000000008</v>
      </c>
      <c r="N246" s="19">
        <f t="shared" si="68"/>
        <v>124.19999999999908</v>
      </c>
      <c r="O246" s="19">
        <f t="shared" si="68"/>
        <v>135.00000000000148</v>
      </c>
      <c r="P246" s="19">
        <f t="shared" si="68"/>
        <v>141.74999999999889</v>
      </c>
      <c r="Q246" s="20">
        <f t="shared" si="68"/>
        <v>117.45000000000124</v>
      </c>
      <c r="R246" s="20">
        <f t="shared" si="68"/>
        <v>128.25000000000074</v>
      </c>
      <c r="S246" s="20">
        <f t="shared" si="68"/>
        <v>135.00000000000148</v>
      </c>
      <c r="T246" s="21">
        <f t="shared" si="68"/>
        <v>110.70000000000081</v>
      </c>
      <c r="U246" s="21">
        <f t="shared" si="66"/>
        <v>121.5</v>
      </c>
      <c r="V246" s="21">
        <f t="shared" si="66"/>
        <v>128.25000000000074</v>
      </c>
      <c r="W246" s="22">
        <f t="shared" si="66"/>
        <v>103.95000000000007</v>
      </c>
      <c r="X246" s="22">
        <f t="shared" si="66"/>
        <v>114.74999999999926</v>
      </c>
      <c r="Y246" s="22">
        <f t="shared" si="66"/>
        <v>121.5</v>
      </c>
      <c r="Z246" s="23">
        <f t="shared" si="66"/>
        <v>97.199999999999335</v>
      </c>
      <c r="AA246" s="23">
        <f t="shared" si="66"/>
        <v>107.99999999999918</v>
      </c>
      <c r="AB246" s="23">
        <f t="shared" si="66"/>
        <v>114.74999999999926</v>
      </c>
      <c r="AC246" s="24">
        <f t="shared" si="66"/>
        <v>90.450000000000031</v>
      </c>
      <c r="AD246" s="24">
        <f t="shared" si="66"/>
        <v>101.25000000000018</v>
      </c>
      <c r="AE246" s="24">
        <f t="shared" si="66"/>
        <v>107.99999999999918</v>
      </c>
      <c r="AF246" s="25">
        <f t="shared" si="66"/>
        <v>83.69999999999952</v>
      </c>
      <c r="AG246" s="25">
        <f t="shared" si="66"/>
        <v>94.500000000000369</v>
      </c>
      <c r="AH246" s="25">
        <f t="shared" si="66"/>
        <v>101.25000000000018</v>
      </c>
      <c r="AI246" s="26">
        <f t="shared" si="66"/>
        <v>76.950000000000443</v>
      </c>
      <c r="AJ246" s="26">
        <f t="shared" si="66"/>
        <v>87.749999999999631</v>
      </c>
      <c r="AK246" s="26">
        <f t="shared" si="65"/>
        <v>94.500000000000369</v>
      </c>
    </row>
    <row r="247" spans="4:37" ht="20.100000000000001" customHeight="1">
      <c r="D247" s="27">
        <f t="shared" si="48"/>
        <v>0.67777777777777592</v>
      </c>
      <c r="E247" s="16">
        <f t="shared" si="68"/>
        <v>193.84444444444469</v>
      </c>
      <c r="F247" s="16">
        <f t="shared" si="68"/>
        <v>204.68888888888728</v>
      </c>
      <c r="G247" s="16">
        <f t="shared" si="68"/>
        <v>211.46666666666579</v>
      </c>
      <c r="H247" s="17">
        <f t="shared" si="68"/>
        <v>180.28888888888991</v>
      </c>
      <c r="I247" s="17">
        <f t="shared" si="68"/>
        <v>191.13333333333262</v>
      </c>
      <c r="J247" s="17">
        <f t="shared" si="68"/>
        <v>197.91111111111081</v>
      </c>
      <c r="K247" s="18">
        <f t="shared" si="68"/>
        <v>166.73333333333289</v>
      </c>
      <c r="L247" s="18">
        <f t="shared" si="68"/>
        <v>177.57777777777676</v>
      </c>
      <c r="M247" s="18">
        <f t="shared" si="68"/>
        <v>184.35555555555564</v>
      </c>
      <c r="N247" s="19">
        <f t="shared" si="68"/>
        <v>124.71111111111018</v>
      </c>
      <c r="O247" s="19">
        <f t="shared" si="68"/>
        <v>135.55555555555702</v>
      </c>
      <c r="P247" s="19">
        <f t="shared" si="68"/>
        <v>142.33333333333223</v>
      </c>
      <c r="Q247" s="20">
        <f t="shared" si="68"/>
        <v>117.93333333333457</v>
      </c>
      <c r="R247" s="20">
        <f t="shared" si="68"/>
        <v>128.77777777777851</v>
      </c>
      <c r="S247" s="20">
        <f t="shared" si="68"/>
        <v>135.55555555555702</v>
      </c>
      <c r="T247" s="21">
        <f t="shared" si="68"/>
        <v>111.15555555555636</v>
      </c>
      <c r="U247" s="21">
        <f t="shared" si="66"/>
        <v>122</v>
      </c>
      <c r="V247" s="21">
        <f t="shared" si="66"/>
        <v>128.77777777777851</v>
      </c>
      <c r="W247" s="22">
        <f t="shared" si="66"/>
        <v>104.37777777777785</v>
      </c>
      <c r="X247" s="22">
        <f t="shared" si="66"/>
        <v>115.22222222222149</v>
      </c>
      <c r="Y247" s="22">
        <f t="shared" si="66"/>
        <v>122</v>
      </c>
      <c r="Z247" s="23">
        <f t="shared" si="66"/>
        <v>97.599999999999341</v>
      </c>
      <c r="AA247" s="23">
        <f t="shared" si="66"/>
        <v>108.44444444444362</v>
      </c>
      <c r="AB247" s="23">
        <f t="shared" si="66"/>
        <v>115.22222222222149</v>
      </c>
      <c r="AC247" s="24">
        <f t="shared" si="66"/>
        <v>90.822222222222251</v>
      </c>
      <c r="AD247" s="24">
        <f t="shared" si="66"/>
        <v>101.66666666666686</v>
      </c>
      <c r="AE247" s="24">
        <f t="shared" si="66"/>
        <v>108.44444444444362</v>
      </c>
      <c r="AF247" s="25">
        <f t="shared" si="66"/>
        <v>84.044444444443968</v>
      </c>
      <c r="AG247" s="25">
        <f t="shared" si="66"/>
        <v>94.888888888889255</v>
      </c>
      <c r="AH247" s="25">
        <f t="shared" si="66"/>
        <v>101.66666666666686</v>
      </c>
      <c r="AI247" s="26">
        <f t="shared" si="66"/>
        <v>77.266666666667106</v>
      </c>
      <c r="AJ247" s="26">
        <f t="shared" si="66"/>
        <v>88.111111111110745</v>
      </c>
      <c r="AK247" s="26">
        <f t="shared" si="65"/>
        <v>94.888888888889255</v>
      </c>
    </row>
    <row r="248" spans="4:37" ht="20.100000000000001" customHeight="1">
      <c r="D248" s="27">
        <f t="shared" si="48"/>
        <v>0.68055555555555369</v>
      </c>
      <c r="E248" s="16">
        <f t="shared" si="68"/>
        <v>194.63888888888914</v>
      </c>
      <c r="F248" s="16">
        <f t="shared" si="68"/>
        <v>205.52777777777618</v>
      </c>
      <c r="G248" s="16">
        <f t="shared" si="68"/>
        <v>212.33333333333246</v>
      </c>
      <c r="H248" s="17">
        <f t="shared" si="68"/>
        <v>181.02777777777879</v>
      </c>
      <c r="I248" s="17">
        <f t="shared" si="68"/>
        <v>191.91666666666595</v>
      </c>
      <c r="J248" s="17">
        <f t="shared" si="68"/>
        <v>198.72222222222192</v>
      </c>
      <c r="K248" s="18">
        <f t="shared" si="68"/>
        <v>167.41666666666623</v>
      </c>
      <c r="L248" s="18">
        <f t="shared" si="68"/>
        <v>178.30555555555455</v>
      </c>
      <c r="M248" s="18">
        <f t="shared" si="68"/>
        <v>185.1111111111112</v>
      </c>
      <c r="N248" s="19">
        <f t="shared" si="68"/>
        <v>125.22222222222129</v>
      </c>
      <c r="O248" s="19">
        <f t="shared" si="68"/>
        <v>136.11111111111256</v>
      </c>
      <c r="P248" s="19">
        <f t="shared" si="68"/>
        <v>142.91666666666558</v>
      </c>
      <c r="Q248" s="20">
        <f t="shared" si="68"/>
        <v>118.41666666666791</v>
      </c>
      <c r="R248" s="20">
        <f t="shared" si="68"/>
        <v>129.30555555555628</v>
      </c>
      <c r="S248" s="20">
        <f t="shared" si="68"/>
        <v>136.11111111111256</v>
      </c>
      <c r="T248" s="21">
        <f t="shared" si="68"/>
        <v>111.61111111111191</v>
      </c>
      <c r="U248" s="21">
        <f t="shared" si="66"/>
        <v>122.5</v>
      </c>
      <c r="V248" s="21">
        <f t="shared" si="66"/>
        <v>129.30555555555628</v>
      </c>
      <c r="W248" s="22">
        <f t="shared" si="66"/>
        <v>104.80555555555563</v>
      </c>
      <c r="X248" s="22">
        <f t="shared" si="66"/>
        <v>115.69444444444372</v>
      </c>
      <c r="Y248" s="22">
        <f t="shared" si="66"/>
        <v>122.5</v>
      </c>
      <c r="Z248" s="23">
        <f t="shared" si="66"/>
        <v>97.999999999999346</v>
      </c>
      <c r="AA248" s="23">
        <f t="shared" si="66"/>
        <v>108.88888888888806</v>
      </c>
      <c r="AB248" s="23">
        <f t="shared" si="66"/>
        <v>115.69444444444372</v>
      </c>
      <c r="AC248" s="24">
        <f t="shared" si="66"/>
        <v>91.194444444444471</v>
      </c>
      <c r="AD248" s="24">
        <f t="shared" si="66"/>
        <v>102.08333333333353</v>
      </c>
      <c r="AE248" s="24">
        <f t="shared" si="66"/>
        <v>108.88888888888806</v>
      </c>
      <c r="AF248" s="25">
        <f t="shared" si="66"/>
        <v>84.388888888888417</v>
      </c>
      <c r="AG248" s="25">
        <f t="shared" si="66"/>
        <v>95.277777777778141</v>
      </c>
      <c r="AH248" s="25">
        <f t="shared" si="66"/>
        <v>102.08333333333353</v>
      </c>
      <c r="AI248" s="26">
        <f t="shared" si="66"/>
        <v>77.583333333333769</v>
      </c>
      <c r="AJ248" s="26">
        <f t="shared" si="66"/>
        <v>88.472222222221859</v>
      </c>
      <c r="AK248" s="26">
        <f t="shared" si="65"/>
        <v>95.277777777778141</v>
      </c>
    </row>
    <row r="249" spans="4:37" ht="20.100000000000001" customHeight="1">
      <c r="D249" s="27">
        <f t="shared" si="48"/>
        <v>0.68333333333333146</v>
      </c>
      <c r="E249" s="16">
        <f t="shared" si="68"/>
        <v>195.43333333333359</v>
      </c>
      <c r="F249" s="16">
        <f t="shared" si="68"/>
        <v>206.36666666666508</v>
      </c>
      <c r="G249" s="16">
        <f t="shared" si="68"/>
        <v>213.19999999999914</v>
      </c>
      <c r="H249" s="17">
        <f t="shared" si="68"/>
        <v>181.76666666666767</v>
      </c>
      <c r="I249" s="17">
        <f t="shared" si="68"/>
        <v>192.69999999999928</v>
      </c>
      <c r="J249" s="17">
        <f t="shared" si="68"/>
        <v>199.53333333333302</v>
      </c>
      <c r="K249" s="18">
        <f t="shared" si="68"/>
        <v>168.09999999999957</v>
      </c>
      <c r="L249" s="18">
        <f t="shared" si="68"/>
        <v>179.03333333333234</v>
      </c>
      <c r="M249" s="18">
        <f t="shared" si="68"/>
        <v>185.86666666666676</v>
      </c>
      <c r="N249" s="19">
        <f t="shared" si="68"/>
        <v>125.7333333333324</v>
      </c>
      <c r="O249" s="19">
        <f t="shared" si="68"/>
        <v>136.66666666666811</v>
      </c>
      <c r="P249" s="19">
        <f t="shared" si="68"/>
        <v>143.49999999999892</v>
      </c>
      <c r="Q249" s="20">
        <f t="shared" si="68"/>
        <v>118.90000000000124</v>
      </c>
      <c r="R249" s="20">
        <f t="shared" si="68"/>
        <v>129.83333333333405</v>
      </c>
      <c r="S249" s="20">
        <f t="shared" si="68"/>
        <v>136.66666666666811</v>
      </c>
      <c r="T249" s="21">
        <f t="shared" si="68"/>
        <v>112.06666666666746</v>
      </c>
      <c r="U249" s="21">
        <f t="shared" si="66"/>
        <v>123</v>
      </c>
      <c r="V249" s="21">
        <f t="shared" si="66"/>
        <v>129.83333333333405</v>
      </c>
      <c r="W249" s="22">
        <f t="shared" si="66"/>
        <v>105.23333333333341</v>
      </c>
      <c r="X249" s="22">
        <f t="shared" si="66"/>
        <v>116.16666666666595</v>
      </c>
      <c r="Y249" s="22">
        <f t="shared" si="66"/>
        <v>123</v>
      </c>
      <c r="Z249" s="23">
        <f t="shared" si="66"/>
        <v>98.399999999999352</v>
      </c>
      <c r="AA249" s="23">
        <f t="shared" si="66"/>
        <v>109.3333333333325</v>
      </c>
      <c r="AB249" s="23">
        <f t="shared" si="66"/>
        <v>116.16666666666595</v>
      </c>
      <c r="AC249" s="24">
        <f t="shared" si="66"/>
        <v>91.566666666666691</v>
      </c>
      <c r="AD249" s="24">
        <f t="shared" si="66"/>
        <v>102.5000000000002</v>
      </c>
      <c r="AE249" s="24">
        <f t="shared" si="66"/>
        <v>109.3333333333325</v>
      </c>
      <c r="AF249" s="25">
        <f t="shared" si="66"/>
        <v>84.733333333332865</v>
      </c>
      <c r="AG249" s="25">
        <f t="shared" si="66"/>
        <v>95.666666666667027</v>
      </c>
      <c r="AH249" s="25">
        <f t="shared" si="66"/>
        <v>102.5000000000002</v>
      </c>
      <c r="AI249" s="26">
        <f t="shared" si="66"/>
        <v>77.900000000000432</v>
      </c>
      <c r="AJ249" s="26">
        <f t="shared" si="66"/>
        <v>88.833333333332973</v>
      </c>
      <c r="AK249" s="26">
        <f t="shared" si="65"/>
        <v>95.666666666667027</v>
      </c>
    </row>
    <row r="250" spans="4:37" ht="20.100000000000001" customHeight="1">
      <c r="D250" s="27">
        <f t="shared" si="48"/>
        <v>0.68611111111110923</v>
      </c>
      <c r="E250" s="16">
        <f t="shared" si="68"/>
        <v>196.22777777777804</v>
      </c>
      <c r="F250" s="16">
        <f t="shared" si="68"/>
        <v>207.20555555555399</v>
      </c>
      <c r="G250" s="16">
        <f t="shared" si="68"/>
        <v>214.06666666666581</v>
      </c>
      <c r="H250" s="17">
        <f t="shared" si="68"/>
        <v>182.50555555555655</v>
      </c>
      <c r="I250" s="17">
        <f t="shared" si="68"/>
        <v>193.48333333333261</v>
      </c>
      <c r="J250" s="17">
        <f t="shared" si="68"/>
        <v>200.34444444444412</v>
      </c>
      <c r="K250" s="18">
        <f t="shared" si="68"/>
        <v>168.78333333333291</v>
      </c>
      <c r="L250" s="18">
        <f t="shared" si="68"/>
        <v>179.76111111111013</v>
      </c>
      <c r="M250" s="18">
        <f t="shared" si="68"/>
        <v>186.62222222222232</v>
      </c>
      <c r="N250" s="19">
        <f t="shared" si="68"/>
        <v>126.2444444444435</v>
      </c>
      <c r="O250" s="19">
        <f t="shared" si="68"/>
        <v>137.22222222222365</v>
      </c>
      <c r="P250" s="19">
        <f t="shared" si="68"/>
        <v>144.08333333333226</v>
      </c>
      <c r="Q250" s="20">
        <f t="shared" si="68"/>
        <v>119.38333333333458</v>
      </c>
      <c r="R250" s="20">
        <f t="shared" si="68"/>
        <v>130.36111111111182</v>
      </c>
      <c r="S250" s="20">
        <f t="shared" si="68"/>
        <v>137.22222222222365</v>
      </c>
      <c r="T250" s="21">
        <f t="shared" si="68"/>
        <v>112.52222222222301</v>
      </c>
      <c r="U250" s="21">
        <f t="shared" si="66"/>
        <v>123.5</v>
      </c>
      <c r="V250" s="21">
        <f t="shared" si="66"/>
        <v>130.36111111111182</v>
      </c>
      <c r="W250" s="22">
        <f t="shared" si="66"/>
        <v>105.66111111111118</v>
      </c>
      <c r="X250" s="22">
        <f t="shared" si="66"/>
        <v>116.63888888888818</v>
      </c>
      <c r="Y250" s="22">
        <f t="shared" si="66"/>
        <v>123.5</v>
      </c>
      <c r="Z250" s="23">
        <f t="shared" si="66"/>
        <v>98.799999999999358</v>
      </c>
      <c r="AA250" s="23">
        <f t="shared" si="66"/>
        <v>109.77777777777695</v>
      </c>
      <c r="AB250" s="23">
        <f t="shared" si="66"/>
        <v>116.63888888888818</v>
      </c>
      <c r="AC250" s="24">
        <f t="shared" si="66"/>
        <v>91.938888888888911</v>
      </c>
      <c r="AD250" s="24">
        <f t="shared" si="66"/>
        <v>102.91666666666687</v>
      </c>
      <c r="AE250" s="24">
        <f t="shared" si="66"/>
        <v>109.77777777777695</v>
      </c>
      <c r="AF250" s="25">
        <f t="shared" si="66"/>
        <v>85.077777777777314</v>
      </c>
      <c r="AG250" s="25">
        <f t="shared" si="66"/>
        <v>96.055555555555912</v>
      </c>
      <c r="AH250" s="25">
        <f t="shared" si="66"/>
        <v>102.91666666666687</v>
      </c>
      <c r="AI250" s="26">
        <f t="shared" si="66"/>
        <v>78.216666666667095</v>
      </c>
      <c r="AJ250" s="26">
        <f t="shared" si="66"/>
        <v>89.194444444444088</v>
      </c>
      <c r="AK250" s="26">
        <f t="shared" si="65"/>
        <v>96.055555555555912</v>
      </c>
    </row>
    <row r="251" spans="4:37" ht="20.100000000000001" customHeight="1">
      <c r="D251" s="27">
        <f t="shared" si="48"/>
        <v>0.688888888888887</v>
      </c>
      <c r="E251" s="16">
        <f t="shared" si="68"/>
        <v>197.0222222222225</v>
      </c>
      <c r="F251" s="16">
        <f t="shared" si="68"/>
        <v>208.04444444444289</v>
      </c>
      <c r="G251" s="16">
        <f t="shared" si="68"/>
        <v>214.93333333333248</v>
      </c>
      <c r="H251" s="17">
        <f t="shared" si="68"/>
        <v>183.24444444444543</v>
      </c>
      <c r="I251" s="17">
        <f t="shared" si="68"/>
        <v>194.26666666666594</v>
      </c>
      <c r="J251" s="17">
        <f t="shared" si="68"/>
        <v>201.15555555555522</v>
      </c>
      <c r="K251" s="18">
        <f t="shared" si="68"/>
        <v>169.46666666666624</v>
      </c>
      <c r="L251" s="18">
        <f t="shared" si="68"/>
        <v>180.48888888888791</v>
      </c>
      <c r="M251" s="18">
        <f t="shared" si="68"/>
        <v>187.37777777777788</v>
      </c>
      <c r="N251" s="19">
        <f t="shared" si="68"/>
        <v>126.75555555555461</v>
      </c>
      <c r="O251" s="19">
        <f t="shared" si="68"/>
        <v>137.77777777777919</v>
      </c>
      <c r="P251" s="19">
        <f t="shared" si="68"/>
        <v>144.66666666666561</v>
      </c>
      <c r="Q251" s="20">
        <f t="shared" si="68"/>
        <v>119.86666666666791</v>
      </c>
      <c r="R251" s="20">
        <f t="shared" si="68"/>
        <v>130.8888888888896</v>
      </c>
      <c r="S251" s="20">
        <f t="shared" si="68"/>
        <v>137.77777777777919</v>
      </c>
      <c r="T251" s="21">
        <f t="shared" si="68"/>
        <v>112.97777777777856</v>
      </c>
      <c r="U251" s="21">
        <f t="shared" si="66"/>
        <v>124</v>
      </c>
      <c r="V251" s="21">
        <f t="shared" si="66"/>
        <v>130.8888888888896</v>
      </c>
      <c r="W251" s="22">
        <f t="shared" si="66"/>
        <v>106.08888888888896</v>
      </c>
      <c r="X251" s="22">
        <f t="shared" si="66"/>
        <v>117.1111111111104</v>
      </c>
      <c r="Y251" s="22">
        <f t="shared" si="66"/>
        <v>124</v>
      </c>
      <c r="Z251" s="23">
        <f t="shared" si="66"/>
        <v>99.199999999999363</v>
      </c>
      <c r="AA251" s="23">
        <f t="shared" si="66"/>
        <v>110.22222222222139</v>
      </c>
      <c r="AB251" s="23">
        <f t="shared" si="66"/>
        <v>117.1111111111104</v>
      </c>
      <c r="AC251" s="24">
        <f t="shared" si="66"/>
        <v>92.311111111111131</v>
      </c>
      <c r="AD251" s="24">
        <f t="shared" si="66"/>
        <v>103.33333333333354</v>
      </c>
      <c r="AE251" s="24">
        <f t="shared" si="66"/>
        <v>110.22222222222139</v>
      </c>
      <c r="AF251" s="25">
        <f t="shared" si="66"/>
        <v>85.422222222221762</v>
      </c>
      <c r="AG251" s="25">
        <f t="shared" si="66"/>
        <v>96.444444444444798</v>
      </c>
      <c r="AH251" s="25">
        <f t="shared" si="66"/>
        <v>103.33333333333354</v>
      </c>
      <c r="AI251" s="26">
        <f t="shared" si="66"/>
        <v>78.533333333333758</v>
      </c>
      <c r="AJ251" s="26">
        <f t="shared" si="66"/>
        <v>89.555555555555202</v>
      </c>
      <c r="AK251" s="26">
        <f t="shared" si="65"/>
        <v>96.444444444444798</v>
      </c>
    </row>
    <row r="252" spans="4:37" ht="20.100000000000001" customHeight="1">
      <c r="D252" s="27">
        <f t="shared" si="48"/>
        <v>0.69166666666666476</v>
      </c>
      <c r="E252" s="16">
        <f t="shared" si="68"/>
        <v>197.81666666666695</v>
      </c>
      <c r="F252" s="16">
        <f t="shared" si="68"/>
        <v>208.88333333333179</v>
      </c>
      <c r="G252" s="16">
        <f t="shared" si="68"/>
        <v>215.79999999999916</v>
      </c>
      <c r="H252" s="17">
        <f t="shared" si="68"/>
        <v>183.98333333333431</v>
      </c>
      <c r="I252" s="17">
        <f t="shared" si="68"/>
        <v>195.04999999999927</v>
      </c>
      <c r="J252" s="17">
        <f t="shared" si="68"/>
        <v>201.96666666666633</v>
      </c>
      <c r="K252" s="18">
        <f t="shared" si="68"/>
        <v>170.14999999999958</v>
      </c>
      <c r="L252" s="18">
        <f t="shared" si="68"/>
        <v>181.2166666666657</v>
      </c>
      <c r="M252" s="18">
        <f t="shared" si="68"/>
        <v>188.13333333333344</v>
      </c>
      <c r="N252" s="19">
        <f t="shared" si="68"/>
        <v>127.26666666666571</v>
      </c>
      <c r="O252" s="19">
        <f t="shared" si="68"/>
        <v>138.33333333333474</v>
      </c>
      <c r="P252" s="19">
        <f t="shared" si="68"/>
        <v>145.24999999999895</v>
      </c>
      <c r="Q252" s="20">
        <f t="shared" si="68"/>
        <v>120.35000000000124</v>
      </c>
      <c r="R252" s="20">
        <f t="shared" si="68"/>
        <v>131.41666666666737</v>
      </c>
      <c r="S252" s="20">
        <f t="shared" si="68"/>
        <v>138.33333333333474</v>
      </c>
      <c r="T252" s="21">
        <f t="shared" si="68"/>
        <v>113.4333333333341</v>
      </c>
      <c r="U252" s="21">
        <f t="shared" si="66"/>
        <v>124.5</v>
      </c>
      <c r="V252" s="21">
        <f t="shared" si="66"/>
        <v>131.41666666666737</v>
      </c>
      <c r="W252" s="22">
        <f t="shared" si="66"/>
        <v>106.51666666666674</v>
      </c>
      <c r="X252" s="22">
        <f t="shared" si="66"/>
        <v>117.58333333333263</v>
      </c>
      <c r="Y252" s="22">
        <f t="shared" si="66"/>
        <v>124.5</v>
      </c>
      <c r="Z252" s="23">
        <f t="shared" si="66"/>
        <v>99.599999999999369</v>
      </c>
      <c r="AA252" s="23">
        <f t="shared" si="66"/>
        <v>110.66666666666583</v>
      </c>
      <c r="AB252" s="23">
        <f t="shared" si="66"/>
        <v>117.58333333333263</v>
      </c>
      <c r="AC252" s="24">
        <f t="shared" si="66"/>
        <v>92.683333333333351</v>
      </c>
      <c r="AD252" s="24">
        <f t="shared" si="66"/>
        <v>103.75000000000021</v>
      </c>
      <c r="AE252" s="24">
        <f t="shared" si="66"/>
        <v>110.66666666666583</v>
      </c>
      <c r="AF252" s="25">
        <f t="shared" si="66"/>
        <v>85.766666666666211</v>
      </c>
      <c r="AG252" s="25">
        <f t="shared" si="66"/>
        <v>96.833333333333684</v>
      </c>
      <c r="AH252" s="25">
        <f t="shared" si="66"/>
        <v>103.75000000000021</v>
      </c>
      <c r="AI252" s="26">
        <f t="shared" si="66"/>
        <v>78.850000000000421</v>
      </c>
      <c r="AJ252" s="26">
        <f t="shared" si="66"/>
        <v>89.916666666666316</v>
      </c>
      <c r="AK252" s="26">
        <f t="shared" si="65"/>
        <v>96.833333333333684</v>
      </c>
    </row>
    <row r="253" spans="4:37" ht="20.100000000000001" customHeight="1">
      <c r="D253" s="27">
        <f t="shared" si="48"/>
        <v>0.69444444444444253</v>
      </c>
      <c r="E253" s="16">
        <f t="shared" si="68"/>
        <v>198.6111111111114</v>
      </c>
      <c r="F253" s="16">
        <f t="shared" si="68"/>
        <v>209.72222222222069</v>
      </c>
      <c r="G253" s="16">
        <f t="shared" si="68"/>
        <v>216.66666666666583</v>
      </c>
      <c r="H253" s="17">
        <f t="shared" si="68"/>
        <v>184.72222222222319</v>
      </c>
      <c r="I253" s="17">
        <f t="shared" si="68"/>
        <v>195.8333333333326</v>
      </c>
      <c r="J253" s="17">
        <f t="shared" si="68"/>
        <v>202.77777777777743</v>
      </c>
      <c r="K253" s="18">
        <f t="shared" si="68"/>
        <v>170.83333333333292</v>
      </c>
      <c r="L253" s="18">
        <f t="shared" si="68"/>
        <v>181.94444444444349</v>
      </c>
      <c r="M253" s="18">
        <f t="shared" si="68"/>
        <v>188.888888888889</v>
      </c>
      <c r="N253" s="19">
        <f t="shared" si="68"/>
        <v>127.77777777777682</v>
      </c>
      <c r="O253" s="19">
        <f t="shared" si="68"/>
        <v>138.88888888889028</v>
      </c>
      <c r="P253" s="19">
        <f t="shared" si="68"/>
        <v>145.83333333333229</v>
      </c>
      <c r="Q253" s="20">
        <f t="shared" si="68"/>
        <v>120.83333333333458</v>
      </c>
      <c r="R253" s="20">
        <f t="shared" si="68"/>
        <v>131.94444444444514</v>
      </c>
      <c r="S253" s="20">
        <f t="shared" si="68"/>
        <v>138.88888888889028</v>
      </c>
      <c r="T253" s="21">
        <f t="shared" si="68"/>
        <v>113.88888888888965</v>
      </c>
      <c r="U253" s="21">
        <f t="shared" si="66"/>
        <v>125</v>
      </c>
      <c r="V253" s="21">
        <f t="shared" si="66"/>
        <v>131.94444444444514</v>
      </c>
      <c r="W253" s="22">
        <f t="shared" si="66"/>
        <v>106.94444444444451</v>
      </c>
      <c r="X253" s="22">
        <f t="shared" si="66"/>
        <v>118.05555555555486</v>
      </c>
      <c r="Y253" s="22">
        <f t="shared" si="66"/>
        <v>125</v>
      </c>
      <c r="Z253" s="23">
        <f t="shared" si="66"/>
        <v>99.999999999999375</v>
      </c>
      <c r="AA253" s="23">
        <f t="shared" si="66"/>
        <v>111.11111111111028</v>
      </c>
      <c r="AB253" s="23">
        <f t="shared" si="66"/>
        <v>118.05555555555486</v>
      </c>
      <c r="AC253" s="24">
        <f t="shared" si="66"/>
        <v>93.055555555555571</v>
      </c>
      <c r="AD253" s="24">
        <f t="shared" si="66"/>
        <v>104.16666666666688</v>
      </c>
      <c r="AE253" s="24">
        <f t="shared" si="66"/>
        <v>111.11111111111028</v>
      </c>
      <c r="AF253" s="25">
        <f t="shared" si="66"/>
        <v>86.11111111111066</v>
      </c>
      <c r="AG253" s="25">
        <f t="shared" si="66"/>
        <v>97.22222222222257</v>
      </c>
      <c r="AH253" s="25">
        <f t="shared" si="66"/>
        <v>104.16666666666688</v>
      </c>
      <c r="AI253" s="26">
        <f t="shared" si="66"/>
        <v>79.166666666667084</v>
      </c>
      <c r="AJ253" s="26">
        <f t="shared" si="66"/>
        <v>90.27777777777743</v>
      </c>
      <c r="AK253" s="26">
        <f t="shared" si="65"/>
        <v>97.22222222222257</v>
      </c>
    </row>
    <row r="254" spans="4:37" ht="20.100000000000001" customHeight="1">
      <c r="D254" s="27">
        <f t="shared" si="48"/>
        <v>0.6972222222222203</v>
      </c>
      <c r="E254" s="16">
        <f t="shared" si="68"/>
        <v>199.40555555555585</v>
      </c>
      <c r="F254" s="16">
        <f t="shared" si="68"/>
        <v>210.5611111111096</v>
      </c>
      <c r="G254" s="16">
        <f t="shared" si="68"/>
        <v>217.53333333333251</v>
      </c>
      <c r="H254" s="17">
        <f t="shared" si="68"/>
        <v>185.46111111111207</v>
      </c>
      <c r="I254" s="17">
        <f t="shared" si="68"/>
        <v>196.61666666666594</v>
      </c>
      <c r="J254" s="17">
        <f t="shared" si="68"/>
        <v>203.58888888888853</v>
      </c>
      <c r="K254" s="18">
        <f t="shared" si="68"/>
        <v>171.51666666666625</v>
      </c>
      <c r="L254" s="18">
        <f t="shared" si="68"/>
        <v>182.67222222222128</v>
      </c>
      <c r="M254" s="18">
        <f t="shared" si="68"/>
        <v>189.64444444444456</v>
      </c>
      <c r="N254" s="19">
        <f t="shared" si="68"/>
        <v>128.28888888888793</v>
      </c>
      <c r="O254" s="19">
        <f t="shared" si="68"/>
        <v>139.44444444444582</v>
      </c>
      <c r="P254" s="19">
        <f t="shared" si="68"/>
        <v>146.41666666666563</v>
      </c>
      <c r="Q254" s="20">
        <f t="shared" si="68"/>
        <v>121.31666666666791</v>
      </c>
      <c r="R254" s="20">
        <f t="shared" si="68"/>
        <v>132.47222222222291</v>
      </c>
      <c r="S254" s="20">
        <f t="shared" si="68"/>
        <v>139.44444444444582</v>
      </c>
      <c r="T254" s="21">
        <f t="shared" si="68"/>
        <v>114.3444444444452</v>
      </c>
      <c r="U254" s="21">
        <f t="shared" si="66"/>
        <v>125.5</v>
      </c>
      <c r="V254" s="21">
        <f t="shared" si="66"/>
        <v>132.47222222222291</v>
      </c>
      <c r="W254" s="22">
        <f t="shared" si="66"/>
        <v>107.37222222222229</v>
      </c>
      <c r="X254" s="22">
        <f t="shared" si="66"/>
        <v>118.52777777777709</v>
      </c>
      <c r="Y254" s="22">
        <f t="shared" si="66"/>
        <v>125.5</v>
      </c>
      <c r="Z254" s="23">
        <f t="shared" si="66"/>
        <v>100.39999999999938</v>
      </c>
      <c r="AA254" s="23">
        <f t="shared" si="66"/>
        <v>111.55555555555472</v>
      </c>
      <c r="AB254" s="23">
        <f t="shared" si="66"/>
        <v>118.52777777777709</v>
      </c>
      <c r="AC254" s="24">
        <f t="shared" si="66"/>
        <v>93.427777777777791</v>
      </c>
      <c r="AD254" s="24">
        <f t="shared" si="66"/>
        <v>104.58333333333356</v>
      </c>
      <c r="AE254" s="24">
        <f t="shared" si="66"/>
        <v>111.55555555555472</v>
      </c>
      <c r="AF254" s="25">
        <f t="shared" si="66"/>
        <v>86.455555555555108</v>
      </c>
      <c r="AG254" s="25">
        <f t="shared" si="66"/>
        <v>97.611111111111455</v>
      </c>
      <c r="AH254" s="25">
        <f t="shared" si="66"/>
        <v>104.58333333333356</v>
      </c>
      <c r="AI254" s="26">
        <f t="shared" si="66"/>
        <v>79.483333333333746</v>
      </c>
      <c r="AJ254" s="26">
        <f t="shared" si="66"/>
        <v>90.638888888888545</v>
      </c>
      <c r="AK254" s="26">
        <f t="shared" si="65"/>
        <v>97.611111111111455</v>
      </c>
    </row>
    <row r="255" spans="4:37" ht="20.100000000000001" customHeight="1">
      <c r="D255" s="27">
        <f t="shared" si="48"/>
        <v>0.69999999999999807</v>
      </c>
      <c r="E255" s="16">
        <f t="shared" si="68"/>
        <v>200.2000000000003</v>
      </c>
      <c r="F255" s="16">
        <f t="shared" si="68"/>
        <v>211.3999999999985</v>
      </c>
      <c r="G255" s="16">
        <f t="shared" si="68"/>
        <v>218.39999999999918</v>
      </c>
      <c r="H255" s="17">
        <f t="shared" si="68"/>
        <v>186.20000000000095</v>
      </c>
      <c r="I255" s="17">
        <f t="shared" si="68"/>
        <v>197.39999999999927</v>
      </c>
      <c r="J255" s="17">
        <f t="shared" si="68"/>
        <v>204.39999999999964</v>
      </c>
      <c r="K255" s="18">
        <f t="shared" si="68"/>
        <v>172.19999999999959</v>
      </c>
      <c r="L255" s="18">
        <f t="shared" si="68"/>
        <v>183.39999999999907</v>
      </c>
      <c r="M255" s="18">
        <f t="shared" si="68"/>
        <v>190.40000000000012</v>
      </c>
      <c r="N255" s="19">
        <f t="shared" si="68"/>
        <v>128.79999999999905</v>
      </c>
      <c r="O255" s="19">
        <f t="shared" si="68"/>
        <v>140.00000000000136</v>
      </c>
      <c r="P255" s="19">
        <f t="shared" si="68"/>
        <v>146.99999999999898</v>
      </c>
      <c r="Q255" s="20">
        <f t="shared" si="68"/>
        <v>121.80000000000125</v>
      </c>
      <c r="R255" s="20">
        <f t="shared" si="68"/>
        <v>133.00000000000068</v>
      </c>
      <c r="S255" s="20">
        <f t="shared" si="68"/>
        <v>140.00000000000136</v>
      </c>
      <c r="T255" s="21">
        <f t="shared" si="68"/>
        <v>114.80000000000075</v>
      </c>
      <c r="U255" s="21">
        <f t="shared" si="66"/>
        <v>126</v>
      </c>
      <c r="V255" s="21">
        <f t="shared" si="66"/>
        <v>133.00000000000068</v>
      </c>
      <c r="W255" s="22">
        <f t="shared" si="66"/>
        <v>107.80000000000007</v>
      </c>
      <c r="X255" s="22">
        <f t="shared" si="66"/>
        <v>118.99999999999932</v>
      </c>
      <c r="Y255" s="22">
        <f t="shared" si="66"/>
        <v>126</v>
      </c>
      <c r="Z255" s="23">
        <f t="shared" si="66"/>
        <v>100.79999999999939</v>
      </c>
      <c r="AA255" s="23">
        <f t="shared" si="66"/>
        <v>111.99999999999916</v>
      </c>
      <c r="AB255" s="23">
        <f t="shared" si="66"/>
        <v>118.99999999999932</v>
      </c>
      <c r="AC255" s="24">
        <f t="shared" si="66"/>
        <v>93.800000000000011</v>
      </c>
      <c r="AD255" s="24">
        <f t="shared" si="66"/>
        <v>105.00000000000023</v>
      </c>
      <c r="AE255" s="24">
        <f t="shared" si="66"/>
        <v>111.99999999999916</v>
      </c>
      <c r="AF255" s="25">
        <f t="shared" si="66"/>
        <v>86.799999999999557</v>
      </c>
      <c r="AG255" s="25">
        <f t="shared" si="66"/>
        <v>98.000000000000341</v>
      </c>
      <c r="AH255" s="25">
        <f t="shared" si="66"/>
        <v>105.00000000000023</v>
      </c>
      <c r="AI255" s="26">
        <f t="shared" si="66"/>
        <v>79.800000000000409</v>
      </c>
      <c r="AJ255" s="26">
        <f t="shared" si="66"/>
        <v>90.999999999999659</v>
      </c>
      <c r="AK255" s="26">
        <f t="shared" si="65"/>
        <v>98.000000000000341</v>
      </c>
    </row>
    <row r="256" spans="4:37" ht="20.100000000000001" customHeight="1">
      <c r="D256" s="27">
        <f t="shared" si="48"/>
        <v>0.70277777777777584</v>
      </c>
      <c r="E256" s="16">
        <f t="shared" si="68"/>
        <v>200.99444444444475</v>
      </c>
      <c r="F256" s="16">
        <f t="shared" si="68"/>
        <v>212.2388888888874</v>
      </c>
      <c r="G256" s="16">
        <f t="shared" si="68"/>
        <v>219.26666666666586</v>
      </c>
      <c r="H256" s="17">
        <f t="shared" si="68"/>
        <v>186.93888888888984</v>
      </c>
      <c r="I256" s="17">
        <f t="shared" si="68"/>
        <v>198.1833333333326</v>
      </c>
      <c r="J256" s="17">
        <f t="shared" si="68"/>
        <v>205.21111111111074</v>
      </c>
      <c r="K256" s="18">
        <f t="shared" si="68"/>
        <v>172.88333333333293</v>
      </c>
      <c r="L256" s="18">
        <f t="shared" si="68"/>
        <v>184.12777777777686</v>
      </c>
      <c r="M256" s="18">
        <f t="shared" si="68"/>
        <v>191.15555555555568</v>
      </c>
      <c r="N256" s="19">
        <f t="shared" si="68"/>
        <v>129.31111111111016</v>
      </c>
      <c r="O256" s="19">
        <f t="shared" si="68"/>
        <v>140.55555555555691</v>
      </c>
      <c r="P256" s="19">
        <f t="shared" si="68"/>
        <v>147.58333333333232</v>
      </c>
      <c r="Q256" s="20">
        <f t="shared" si="68"/>
        <v>122.28333333333458</v>
      </c>
      <c r="R256" s="20">
        <f t="shared" si="68"/>
        <v>133.52777777777845</v>
      </c>
      <c r="S256" s="20">
        <f t="shared" si="68"/>
        <v>140.55555555555691</v>
      </c>
      <c r="T256" s="21">
        <f t="shared" si="68"/>
        <v>115.2555555555563</v>
      </c>
      <c r="U256" s="21">
        <f t="shared" si="66"/>
        <v>126.5</v>
      </c>
      <c r="V256" s="21">
        <f t="shared" si="66"/>
        <v>133.52777777777845</v>
      </c>
      <c r="W256" s="22">
        <f t="shared" si="66"/>
        <v>108.22777777777785</v>
      </c>
      <c r="X256" s="22">
        <f t="shared" si="66"/>
        <v>119.47222222222155</v>
      </c>
      <c r="Y256" s="22">
        <f t="shared" si="66"/>
        <v>126.5</v>
      </c>
      <c r="Z256" s="23">
        <f t="shared" si="66"/>
        <v>101.19999999999939</v>
      </c>
      <c r="AA256" s="23">
        <f t="shared" si="66"/>
        <v>112.4444444444436</v>
      </c>
      <c r="AB256" s="23">
        <f t="shared" si="66"/>
        <v>119.47222222222155</v>
      </c>
      <c r="AC256" s="24">
        <f t="shared" si="66"/>
        <v>94.172222222222231</v>
      </c>
      <c r="AD256" s="24">
        <f t="shared" si="66"/>
        <v>105.4166666666669</v>
      </c>
      <c r="AE256" s="24">
        <f t="shared" si="66"/>
        <v>112.4444444444436</v>
      </c>
      <c r="AF256" s="25">
        <f t="shared" si="66"/>
        <v>87.144444444444005</v>
      </c>
      <c r="AG256" s="25">
        <f t="shared" si="66"/>
        <v>98.388888888889227</v>
      </c>
      <c r="AH256" s="25">
        <f t="shared" si="66"/>
        <v>105.4166666666669</v>
      </c>
      <c r="AI256" s="26">
        <f t="shared" si="66"/>
        <v>80.116666666667072</v>
      </c>
      <c r="AJ256" s="26">
        <f t="shared" si="66"/>
        <v>91.361111111110773</v>
      </c>
      <c r="AK256" s="26">
        <f t="shared" si="65"/>
        <v>98.388888888889227</v>
      </c>
    </row>
    <row r="257" spans="4:37" ht="20.100000000000001" customHeight="1">
      <c r="D257" s="27">
        <f t="shared" si="48"/>
        <v>0.7055555555555536</v>
      </c>
      <c r="E257" s="16">
        <f t="shared" si="68"/>
        <v>201.7888888888892</v>
      </c>
      <c r="F257" s="16">
        <f t="shared" si="68"/>
        <v>213.0777777777763</v>
      </c>
      <c r="G257" s="16">
        <f t="shared" si="68"/>
        <v>220.13333333333253</v>
      </c>
      <c r="H257" s="17">
        <f t="shared" si="68"/>
        <v>187.67777777777872</v>
      </c>
      <c r="I257" s="17">
        <f t="shared" si="68"/>
        <v>198.96666666666593</v>
      </c>
      <c r="J257" s="17">
        <f t="shared" si="68"/>
        <v>206.02222222222184</v>
      </c>
      <c r="K257" s="18">
        <f t="shared" si="68"/>
        <v>173.56666666666626</v>
      </c>
      <c r="L257" s="18">
        <f t="shared" si="68"/>
        <v>184.85555555555464</v>
      </c>
      <c r="M257" s="18">
        <f t="shared" si="68"/>
        <v>191.91111111111124</v>
      </c>
      <c r="N257" s="19">
        <f t="shared" si="68"/>
        <v>129.82222222222128</v>
      </c>
      <c r="O257" s="19">
        <f t="shared" si="68"/>
        <v>141.11111111111245</v>
      </c>
      <c r="P257" s="19">
        <f t="shared" si="68"/>
        <v>148.16666666666566</v>
      </c>
      <c r="Q257" s="20">
        <f t="shared" si="68"/>
        <v>122.76666666666792</v>
      </c>
      <c r="R257" s="20">
        <f t="shared" si="68"/>
        <v>134.05555555555623</v>
      </c>
      <c r="S257" s="20">
        <f t="shared" si="68"/>
        <v>141.11111111111245</v>
      </c>
      <c r="T257" s="21">
        <f t="shared" si="68"/>
        <v>115.71111111111185</v>
      </c>
      <c r="U257" s="21">
        <f t="shared" si="66"/>
        <v>127</v>
      </c>
      <c r="V257" s="21">
        <f t="shared" si="66"/>
        <v>134.05555555555623</v>
      </c>
      <c r="W257" s="22">
        <f t="shared" si="66"/>
        <v>108.65555555555562</v>
      </c>
      <c r="X257" s="22">
        <f t="shared" si="66"/>
        <v>119.94444444444377</v>
      </c>
      <c r="Y257" s="22">
        <f t="shared" si="66"/>
        <v>127</v>
      </c>
      <c r="Z257" s="23">
        <f t="shared" si="66"/>
        <v>101.5999999999994</v>
      </c>
      <c r="AA257" s="23">
        <f t="shared" si="66"/>
        <v>112.88888888888805</v>
      </c>
      <c r="AB257" s="23">
        <f t="shared" si="66"/>
        <v>119.94444444444377</v>
      </c>
      <c r="AC257" s="24">
        <f t="shared" si="66"/>
        <v>94.544444444444451</v>
      </c>
      <c r="AD257" s="24">
        <f t="shared" si="66"/>
        <v>105.83333333333357</v>
      </c>
      <c r="AE257" s="24">
        <f t="shared" si="66"/>
        <v>112.88888888888805</v>
      </c>
      <c r="AF257" s="25">
        <f t="shared" si="66"/>
        <v>87.488888888888454</v>
      </c>
      <c r="AG257" s="25">
        <f t="shared" si="66"/>
        <v>98.777777777778113</v>
      </c>
      <c r="AH257" s="25">
        <f t="shared" si="66"/>
        <v>105.83333333333357</v>
      </c>
      <c r="AI257" s="26">
        <f t="shared" si="66"/>
        <v>80.433333333333735</v>
      </c>
      <c r="AJ257" s="26">
        <f t="shared" si="66"/>
        <v>91.722222222221887</v>
      </c>
      <c r="AK257" s="26">
        <f t="shared" si="65"/>
        <v>98.777777777778113</v>
      </c>
    </row>
    <row r="258" spans="4:37" ht="20.100000000000001" customHeight="1">
      <c r="D258" s="27">
        <f t="shared" si="48"/>
        <v>0.70833333333333137</v>
      </c>
      <c r="E258" s="16">
        <f t="shared" si="68"/>
        <v>202.58333333333366</v>
      </c>
      <c r="F258" s="16">
        <f t="shared" si="68"/>
        <v>213.91666666666521</v>
      </c>
      <c r="G258" s="16">
        <f t="shared" si="68"/>
        <v>220.9999999999992</v>
      </c>
      <c r="H258" s="17">
        <f t="shared" si="68"/>
        <v>188.4166666666676</v>
      </c>
      <c r="I258" s="17">
        <f t="shared" si="68"/>
        <v>199.74999999999926</v>
      </c>
      <c r="J258" s="17">
        <f t="shared" si="68"/>
        <v>206.83333333333294</v>
      </c>
      <c r="K258" s="18">
        <f t="shared" si="68"/>
        <v>174.2499999999996</v>
      </c>
      <c r="L258" s="18">
        <f t="shared" si="68"/>
        <v>185.58333333333243</v>
      </c>
      <c r="M258" s="18">
        <f t="shared" si="68"/>
        <v>192.6666666666668</v>
      </c>
      <c r="N258" s="19">
        <f t="shared" si="68"/>
        <v>130.3333333333324</v>
      </c>
      <c r="O258" s="19">
        <f t="shared" si="68"/>
        <v>141.66666666666799</v>
      </c>
      <c r="P258" s="19">
        <f t="shared" si="68"/>
        <v>148.74999999999901</v>
      </c>
      <c r="Q258" s="20">
        <f t="shared" si="68"/>
        <v>123.25000000000125</v>
      </c>
      <c r="R258" s="20">
        <f t="shared" si="68"/>
        <v>134.583333333334</v>
      </c>
      <c r="S258" s="20">
        <f t="shared" si="68"/>
        <v>141.66666666666799</v>
      </c>
      <c r="T258" s="21">
        <f t="shared" si="68"/>
        <v>116.1666666666674</v>
      </c>
      <c r="U258" s="21">
        <f t="shared" ref="U258:AJ273" si="69">U259-(U$363/360)</f>
        <v>127.5</v>
      </c>
      <c r="V258" s="21">
        <f t="shared" si="69"/>
        <v>134.583333333334</v>
      </c>
      <c r="W258" s="22">
        <f t="shared" si="69"/>
        <v>109.0833333333334</v>
      </c>
      <c r="X258" s="22">
        <f t="shared" si="69"/>
        <v>120.416666666666</v>
      </c>
      <c r="Y258" s="22">
        <f t="shared" si="69"/>
        <v>127.5</v>
      </c>
      <c r="Z258" s="23">
        <f t="shared" si="69"/>
        <v>101.9999999999994</v>
      </c>
      <c r="AA258" s="23">
        <f t="shared" si="69"/>
        <v>113.33333333333249</v>
      </c>
      <c r="AB258" s="23">
        <f t="shared" si="69"/>
        <v>120.416666666666</v>
      </c>
      <c r="AC258" s="24">
        <f t="shared" si="69"/>
        <v>94.916666666666671</v>
      </c>
      <c r="AD258" s="24">
        <f t="shared" si="69"/>
        <v>106.25000000000024</v>
      </c>
      <c r="AE258" s="24">
        <f t="shared" si="69"/>
        <v>113.33333333333249</v>
      </c>
      <c r="AF258" s="25">
        <f t="shared" si="69"/>
        <v>87.833333333332902</v>
      </c>
      <c r="AG258" s="25">
        <f t="shared" si="69"/>
        <v>99.166666666666998</v>
      </c>
      <c r="AH258" s="25">
        <f t="shared" si="69"/>
        <v>106.25000000000024</v>
      </c>
      <c r="AI258" s="26">
        <f t="shared" si="69"/>
        <v>80.750000000000398</v>
      </c>
      <c r="AJ258" s="26">
        <f t="shared" si="69"/>
        <v>92.083333333333002</v>
      </c>
      <c r="AK258" s="26">
        <f t="shared" si="65"/>
        <v>99.166666666666998</v>
      </c>
    </row>
    <row r="259" spans="4:37" ht="20.100000000000001" customHeight="1">
      <c r="D259" s="27">
        <f t="shared" si="48"/>
        <v>0.71111111111110914</v>
      </c>
      <c r="E259" s="16">
        <f t="shared" si="68"/>
        <v>203.37777777777811</v>
      </c>
      <c r="F259" s="16">
        <f t="shared" ref="F259:T259" si="70">F260-(F$363/360)</f>
        <v>214.75555555555411</v>
      </c>
      <c r="G259" s="16">
        <f t="shared" si="70"/>
        <v>221.86666666666588</v>
      </c>
      <c r="H259" s="17">
        <f t="shared" si="70"/>
        <v>189.15555555555648</v>
      </c>
      <c r="I259" s="17">
        <f t="shared" si="70"/>
        <v>200.53333333333259</v>
      </c>
      <c r="J259" s="17">
        <f t="shared" si="70"/>
        <v>207.64444444444405</v>
      </c>
      <c r="K259" s="18">
        <f t="shared" si="70"/>
        <v>174.93333333333294</v>
      </c>
      <c r="L259" s="18">
        <f t="shared" si="70"/>
        <v>186.31111111111022</v>
      </c>
      <c r="M259" s="18">
        <f t="shared" si="70"/>
        <v>193.42222222222236</v>
      </c>
      <c r="N259" s="19">
        <f t="shared" si="70"/>
        <v>130.84444444444352</v>
      </c>
      <c r="O259" s="19">
        <f t="shared" si="70"/>
        <v>142.22222222222354</v>
      </c>
      <c r="P259" s="19">
        <f t="shared" si="70"/>
        <v>149.33333333333235</v>
      </c>
      <c r="Q259" s="20">
        <f t="shared" si="70"/>
        <v>123.73333333333458</v>
      </c>
      <c r="R259" s="20">
        <f t="shared" si="70"/>
        <v>135.11111111111177</v>
      </c>
      <c r="S259" s="20">
        <f t="shared" si="70"/>
        <v>142.22222222222354</v>
      </c>
      <c r="T259" s="21">
        <f t="shared" si="70"/>
        <v>116.62222222222294</v>
      </c>
      <c r="U259" s="21">
        <f t="shared" si="69"/>
        <v>128</v>
      </c>
      <c r="V259" s="21">
        <f t="shared" si="69"/>
        <v>135.11111111111177</v>
      </c>
      <c r="W259" s="22">
        <f t="shared" si="69"/>
        <v>109.51111111111118</v>
      </c>
      <c r="X259" s="22">
        <f t="shared" si="69"/>
        <v>120.88888888888823</v>
      </c>
      <c r="Y259" s="22">
        <f t="shared" si="69"/>
        <v>128</v>
      </c>
      <c r="Z259" s="23">
        <f t="shared" si="69"/>
        <v>102.39999999999941</v>
      </c>
      <c r="AA259" s="23">
        <f t="shared" si="69"/>
        <v>113.77777777777693</v>
      </c>
      <c r="AB259" s="23">
        <f t="shared" si="69"/>
        <v>120.88888888888823</v>
      </c>
      <c r="AC259" s="24">
        <f t="shared" si="69"/>
        <v>95.288888888888891</v>
      </c>
      <c r="AD259" s="24">
        <f t="shared" si="69"/>
        <v>106.66666666666691</v>
      </c>
      <c r="AE259" s="24">
        <f t="shared" si="69"/>
        <v>113.77777777777693</v>
      </c>
      <c r="AF259" s="25">
        <f t="shared" si="69"/>
        <v>88.177777777777351</v>
      </c>
      <c r="AG259" s="25">
        <f t="shared" si="69"/>
        <v>99.555555555555884</v>
      </c>
      <c r="AH259" s="25">
        <f t="shared" si="69"/>
        <v>106.66666666666691</v>
      </c>
      <c r="AI259" s="26">
        <f t="shared" si="69"/>
        <v>81.066666666667061</v>
      </c>
      <c r="AJ259" s="26">
        <f t="shared" si="69"/>
        <v>92.444444444444116</v>
      </c>
      <c r="AK259" s="26">
        <f t="shared" si="65"/>
        <v>99.555555555555884</v>
      </c>
    </row>
    <row r="260" spans="4:37" ht="20.100000000000001" customHeight="1">
      <c r="D260" s="27">
        <f t="shared" si="48"/>
        <v>0.71388888888888691</v>
      </c>
      <c r="E260" s="16">
        <f t="shared" ref="E260:T275" si="71">E261-(E$363/360)</f>
        <v>204.17222222222256</v>
      </c>
      <c r="F260" s="16">
        <f t="shared" si="71"/>
        <v>215.59444444444301</v>
      </c>
      <c r="G260" s="16">
        <f t="shared" si="71"/>
        <v>222.73333333333255</v>
      </c>
      <c r="H260" s="17">
        <f t="shared" si="71"/>
        <v>189.89444444444536</v>
      </c>
      <c r="I260" s="17">
        <f t="shared" si="71"/>
        <v>201.31666666666592</v>
      </c>
      <c r="J260" s="17">
        <f t="shared" si="71"/>
        <v>208.45555555555515</v>
      </c>
      <c r="K260" s="18">
        <f t="shared" si="71"/>
        <v>175.61666666666628</v>
      </c>
      <c r="L260" s="18">
        <f t="shared" si="71"/>
        <v>187.03888888888801</v>
      </c>
      <c r="M260" s="18">
        <f t="shared" si="71"/>
        <v>194.17777777777792</v>
      </c>
      <c r="N260" s="19">
        <f t="shared" si="71"/>
        <v>131.35555555555464</v>
      </c>
      <c r="O260" s="19">
        <f t="shared" si="71"/>
        <v>142.77777777777908</v>
      </c>
      <c r="P260" s="19">
        <f t="shared" si="71"/>
        <v>149.91666666666569</v>
      </c>
      <c r="Q260" s="20">
        <f t="shared" si="71"/>
        <v>124.21666666666792</v>
      </c>
      <c r="R260" s="20">
        <f t="shared" si="71"/>
        <v>135.63888888888954</v>
      </c>
      <c r="S260" s="20">
        <f t="shared" si="71"/>
        <v>142.77777777777908</v>
      </c>
      <c r="T260" s="21">
        <f t="shared" si="71"/>
        <v>117.07777777777849</v>
      </c>
      <c r="U260" s="21">
        <f t="shared" si="69"/>
        <v>128.5</v>
      </c>
      <c r="V260" s="21">
        <f t="shared" si="69"/>
        <v>135.63888888888954</v>
      </c>
      <c r="W260" s="22">
        <f t="shared" si="69"/>
        <v>109.93888888888895</v>
      </c>
      <c r="X260" s="22">
        <f t="shared" si="69"/>
        <v>121.36111111111046</v>
      </c>
      <c r="Y260" s="22">
        <f t="shared" si="69"/>
        <v>128.5</v>
      </c>
      <c r="Z260" s="23">
        <f t="shared" si="69"/>
        <v>102.79999999999941</v>
      </c>
      <c r="AA260" s="23">
        <f t="shared" si="69"/>
        <v>114.22222222222138</v>
      </c>
      <c r="AB260" s="23">
        <f t="shared" si="69"/>
        <v>121.36111111111046</v>
      </c>
      <c r="AC260" s="24">
        <f t="shared" si="69"/>
        <v>95.661111111111111</v>
      </c>
      <c r="AD260" s="24">
        <f t="shared" si="69"/>
        <v>107.08333333333358</v>
      </c>
      <c r="AE260" s="24">
        <f t="shared" si="69"/>
        <v>114.22222222222138</v>
      </c>
      <c r="AF260" s="25">
        <f t="shared" si="69"/>
        <v>88.522222222221799</v>
      </c>
      <c r="AG260" s="25">
        <f t="shared" si="69"/>
        <v>99.94444444444477</v>
      </c>
      <c r="AH260" s="25">
        <f t="shared" si="69"/>
        <v>107.08333333333358</v>
      </c>
      <c r="AI260" s="26">
        <f t="shared" si="69"/>
        <v>81.383333333333724</v>
      </c>
      <c r="AJ260" s="26">
        <f t="shared" si="69"/>
        <v>92.80555555555523</v>
      </c>
      <c r="AK260" s="26">
        <f t="shared" si="65"/>
        <v>99.94444444444477</v>
      </c>
    </row>
    <row r="261" spans="4:37" ht="20.100000000000001" customHeight="1">
      <c r="D261" s="27">
        <f t="shared" ref="D261:D324" si="72">D260+0.2/72</f>
        <v>0.71666666666666468</v>
      </c>
      <c r="E261" s="16">
        <f t="shared" si="71"/>
        <v>204.96666666666701</v>
      </c>
      <c r="F261" s="16">
        <f t="shared" si="71"/>
        <v>216.43333333333192</v>
      </c>
      <c r="G261" s="16">
        <f t="shared" si="71"/>
        <v>223.59999999999923</v>
      </c>
      <c r="H261" s="17">
        <f t="shared" si="71"/>
        <v>190.63333333333424</v>
      </c>
      <c r="I261" s="17">
        <f t="shared" si="71"/>
        <v>202.09999999999926</v>
      </c>
      <c r="J261" s="17">
        <f t="shared" si="71"/>
        <v>209.26666666666625</v>
      </c>
      <c r="K261" s="18">
        <f t="shared" si="71"/>
        <v>176.29999999999961</v>
      </c>
      <c r="L261" s="18">
        <f t="shared" si="71"/>
        <v>187.7666666666658</v>
      </c>
      <c r="M261" s="18">
        <f t="shared" si="71"/>
        <v>194.93333333333348</v>
      </c>
      <c r="N261" s="19">
        <f t="shared" si="71"/>
        <v>131.86666666666576</v>
      </c>
      <c r="O261" s="19">
        <f t="shared" si="71"/>
        <v>143.33333333333462</v>
      </c>
      <c r="P261" s="19">
        <f t="shared" si="71"/>
        <v>150.49999999999903</v>
      </c>
      <c r="Q261" s="20">
        <f t="shared" si="71"/>
        <v>124.70000000000125</v>
      </c>
      <c r="R261" s="20">
        <f t="shared" si="71"/>
        <v>136.16666666666731</v>
      </c>
      <c r="S261" s="20">
        <f t="shared" si="71"/>
        <v>143.33333333333462</v>
      </c>
      <c r="T261" s="21">
        <f t="shared" si="71"/>
        <v>117.53333333333404</v>
      </c>
      <c r="U261" s="21">
        <f t="shared" si="69"/>
        <v>129</v>
      </c>
      <c r="V261" s="21">
        <f t="shared" si="69"/>
        <v>136.16666666666731</v>
      </c>
      <c r="W261" s="22">
        <f t="shared" si="69"/>
        <v>110.36666666666673</v>
      </c>
      <c r="X261" s="22">
        <f t="shared" si="69"/>
        <v>121.83333333333269</v>
      </c>
      <c r="Y261" s="22">
        <f t="shared" si="69"/>
        <v>129</v>
      </c>
      <c r="Z261" s="23">
        <f t="shared" si="69"/>
        <v>103.19999999999942</v>
      </c>
      <c r="AA261" s="23">
        <f t="shared" si="69"/>
        <v>114.66666666666582</v>
      </c>
      <c r="AB261" s="23">
        <f t="shared" si="69"/>
        <v>121.83333333333269</v>
      </c>
      <c r="AC261" s="24">
        <f t="shared" si="69"/>
        <v>96.033333333333331</v>
      </c>
      <c r="AD261" s="24">
        <f t="shared" si="69"/>
        <v>107.50000000000026</v>
      </c>
      <c r="AE261" s="24">
        <f t="shared" si="69"/>
        <v>114.66666666666582</v>
      </c>
      <c r="AF261" s="25">
        <f t="shared" si="69"/>
        <v>88.866666666666248</v>
      </c>
      <c r="AG261" s="25">
        <f t="shared" si="69"/>
        <v>100.33333333333366</v>
      </c>
      <c r="AH261" s="25">
        <f t="shared" si="69"/>
        <v>107.50000000000026</v>
      </c>
      <c r="AI261" s="26">
        <f t="shared" si="69"/>
        <v>81.700000000000387</v>
      </c>
      <c r="AJ261" s="26">
        <f t="shared" si="69"/>
        <v>93.166666666666345</v>
      </c>
      <c r="AK261" s="26">
        <f t="shared" si="65"/>
        <v>100.33333333333366</v>
      </c>
    </row>
    <row r="262" spans="4:37" ht="20.100000000000001" customHeight="1">
      <c r="D262" s="27">
        <f t="shared" si="72"/>
        <v>0.71944444444444244</v>
      </c>
      <c r="E262" s="16">
        <f t="shared" si="71"/>
        <v>205.76111111111146</v>
      </c>
      <c r="F262" s="16">
        <f t="shared" si="71"/>
        <v>217.27222222222082</v>
      </c>
      <c r="G262" s="16">
        <f t="shared" si="71"/>
        <v>224.4666666666659</v>
      </c>
      <c r="H262" s="17">
        <f t="shared" si="71"/>
        <v>191.37222222222312</v>
      </c>
      <c r="I262" s="17">
        <f t="shared" si="71"/>
        <v>202.88333333333259</v>
      </c>
      <c r="J262" s="17">
        <f t="shared" si="71"/>
        <v>210.07777777777736</v>
      </c>
      <c r="K262" s="18">
        <f t="shared" si="71"/>
        <v>176.98333333333295</v>
      </c>
      <c r="L262" s="18">
        <f t="shared" si="71"/>
        <v>188.49444444444359</v>
      </c>
      <c r="M262" s="18">
        <f t="shared" si="71"/>
        <v>195.68888888888904</v>
      </c>
      <c r="N262" s="19">
        <f t="shared" si="71"/>
        <v>132.37777777777688</v>
      </c>
      <c r="O262" s="19">
        <f t="shared" si="71"/>
        <v>143.88888888889016</v>
      </c>
      <c r="P262" s="19">
        <f t="shared" si="71"/>
        <v>151.08333333333238</v>
      </c>
      <c r="Q262" s="20">
        <f t="shared" si="71"/>
        <v>125.18333333333459</v>
      </c>
      <c r="R262" s="20">
        <f t="shared" si="71"/>
        <v>136.69444444444508</v>
      </c>
      <c r="S262" s="20">
        <f t="shared" si="71"/>
        <v>143.88888888889016</v>
      </c>
      <c r="T262" s="21">
        <f t="shared" si="71"/>
        <v>117.98888888888959</v>
      </c>
      <c r="U262" s="21">
        <f t="shared" si="69"/>
        <v>129.5</v>
      </c>
      <c r="V262" s="21">
        <f t="shared" si="69"/>
        <v>136.69444444444508</v>
      </c>
      <c r="W262" s="22">
        <f t="shared" si="69"/>
        <v>110.79444444444451</v>
      </c>
      <c r="X262" s="22">
        <f t="shared" si="69"/>
        <v>122.30555555555492</v>
      </c>
      <c r="Y262" s="22">
        <f t="shared" si="69"/>
        <v>129.5</v>
      </c>
      <c r="Z262" s="23">
        <f t="shared" si="69"/>
        <v>103.59999999999943</v>
      </c>
      <c r="AA262" s="23">
        <f t="shared" si="69"/>
        <v>115.11111111111026</v>
      </c>
      <c r="AB262" s="23">
        <f t="shared" si="69"/>
        <v>122.30555555555492</v>
      </c>
      <c r="AC262" s="24">
        <f t="shared" si="69"/>
        <v>96.405555555555551</v>
      </c>
      <c r="AD262" s="24">
        <f t="shared" si="69"/>
        <v>107.91666666666693</v>
      </c>
      <c r="AE262" s="24">
        <f t="shared" si="69"/>
        <v>115.11111111111026</v>
      </c>
      <c r="AF262" s="25">
        <f t="shared" si="69"/>
        <v>89.211111111110696</v>
      </c>
      <c r="AG262" s="25">
        <f t="shared" si="69"/>
        <v>100.72222222222254</v>
      </c>
      <c r="AH262" s="25">
        <f t="shared" si="69"/>
        <v>107.91666666666693</v>
      </c>
      <c r="AI262" s="26">
        <f t="shared" si="69"/>
        <v>82.016666666667049</v>
      </c>
      <c r="AJ262" s="26">
        <f t="shared" si="69"/>
        <v>93.527777777777459</v>
      </c>
      <c r="AK262" s="26">
        <f t="shared" si="65"/>
        <v>100.72222222222254</v>
      </c>
    </row>
    <row r="263" spans="4:37" ht="20.100000000000001" customHeight="1">
      <c r="D263" s="27">
        <f t="shared" si="72"/>
        <v>0.72222222222222021</v>
      </c>
      <c r="E263" s="16">
        <f t="shared" si="71"/>
        <v>206.55555555555591</v>
      </c>
      <c r="F263" s="16">
        <f t="shared" si="71"/>
        <v>218.11111111110972</v>
      </c>
      <c r="G263" s="16">
        <f t="shared" si="71"/>
        <v>225.33333333333258</v>
      </c>
      <c r="H263" s="17">
        <f t="shared" si="71"/>
        <v>192.111111111112</v>
      </c>
      <c r="I263" s="17">
        <f t="shared" si="71"/>
        <v>203.66666666666592</v>
      </c>
      <c r="J263" s="17">
        <f t="shared" si="71"/>
        <v>210.88888888888846</v>
      </c>
      <c r="K263" s="18">
        <f t="shared" si="71"/>
        <v>177.66666666666629</v>
      </c>
      <c r="L263" s="18">
        <f t="shared" si="71"/>
        <v>189.22222222222138</v>
      </c>
      <c r="M263" s="18">
        <f t="shared" si="71"/>
        <v>196.4444444444446</v>
      </c>
      <c r="N263" s="19">
        <f t="shared" si="71"/>
        <v>132.888888888888</v>
      </c>
      <c r="O263" s="19">
        <f t="shared" si="71"/>
        <v>144.44444444444571</v>
      </c>
      <c r="P263" s="19">
        <f t="shared" si="71"/>
        <v>151.66666666666572</v>
      </c>
      <c r="Q263" s="20">
        <f t="shared" si="71"/>
        <v>125.66666666666792</v>
      </c>
      <c r="R263" s="20">
        <f t="shared" si="71"/>
        <v>137.22222222222285</v>
      </c>
      <c r="S263" s="20">
        <f t="shared" si="71"/>
        <v>144.44444444444571</v>
      </c>
      <c r="T263" s="21">
        <f t="shared" si="71"/>
        <v>118.44444444444514</v>
      </c>
      <c r="U263" s="21">
        <f t="shared" si="69"/>
        <v>130</v>
      </c>
      <c r="V263" s="21">
        <f t="shared" si="69"/>
        <v>137.22222222222285</v>
      </c>
      <c r="W263" s="22">
        <f t="shared" si="69"/>
        <v>111.22222222222229</v>
      </c>
      <c r="X263" s="22">
        <f t="shared" si="69"/>
        <v>122.77777777777715</v>
      </c>
      <c r="Y263" s="22">
        <f t="shared" si="69"/>
        <v>130</v>
      </c>
      <c r="Z263" s="23">
        <f t="shared" si="69"/>
        <v>103.99999999999943</v>
      </c>
      <c r="AA263" s="23">
        <f t="shared" si="69"/>
        <v>115.5555555555547</v>
      </c>
      <c r="AB263" s="23">
        <f t="shared" si="69"/>
        <v>122.77777777777715</v>
      </c>
      <c r="AC263" s="24">
        <f t="shared" si="69"/>
        <v>96.777777777777771</v>
      </c>
      <c r="AD263" s="24">
        <f t="shared" si="69"/>
        <v>108.3333333333336</v>
      </c>
      <c r="AE263" s="24">
        <f t="shared" si="69"/>
        <v>115.5555555555547</v>
      </c>
      <c r="AF263" s="25">
        <f t="shared" si="69"/>
        <v>89.555555555555145</v>
      </c>
      <c r="AG263" s="25">
        <f t="shared" si="69"/>
        <v>101.11111111111143</v>
      </c>
      <c r="AH263" s="25">
        <f t="shared" si="69"/>
        <v>108.3333333333336</v>
      </c>
      <c r="AI263" s="26">
        <f t="shared" si="69"/>
        <v>82.333333333333712</v>
      </c>
      <c r="AJ263" s="26">
        <f t="shared" si="69"/>
        <v>93.888888888888573</v>
      </c>
      <c r="AK263" s="26">
        <f t="shared" si="65"/>
        <v>101.11111111111143</v>
      </c>
    </row>
    <row r="264" spans="4:37" ht="20.100000000000001" customHeight="1">
      <c r="D264" s="27">
        <f t="shared" si="72"/>
        <v>0.72499999999999798</v>
      </c>
      <c r="E264" s="16">
        <f t="shared" si="71"/>
        <v>207.35000000000036</v>
      </c>
      <c r="F264" s="16">
        <f t="shared" si="71"/>
        <v>218.94999999999862</v>
      </c>
      <c r="G264" s="16">
        <f t="shared" si="71"/>
        <v>226.19999999999925</v>
      </c>
      <c r="H264" s="17">
        <f t="shared" si="71"/>
        <v>192.85000000000088</v>
      </c>
      <c r="I264" s="17">
        <f t="shared" si="71"/>
        <v>204.44999999999925</v>
      </c>
      <c r="J264" s="17">
        <f t="shared" si="71"/>
        <v>211.69999999999956</v>
      </c>
      <c r="K264" s="18">
        <f t="shared" si="71"/>
        <v>178.34999999999962</v>
      </c>
      <c r="L264" s="18">
        <f t="shared" si="71"/>
        <v>189.94999999999916</v>
      </c>
      <c r="M264" s="18">
        <f t="shared" si="71"/>
        <v>197.20000000000016</v>
      </c>
      <c r="N264" s="19">
        <f t="shared" si="71"/>
        <v>133.39999999999912</v>
      </c>
      <c r="O264" s="19">
        <f t="shared" si="71"/>
        <v>145.00000000000125</v>
      </c>
      <c r="P264" s="19">
        <f t="shared" si="71"/>
        <v>152.24999999999906</v>
      </c>
      <c r="Q264" s="20">
        <f t="shared" si="71"/>
        <v>126.15000000000126</v>
      </c>
      <c r="R264" s="20">
        <f t="shared" si="71"/>
        <v>137.75000000000063</v>
      </c>
      <c r="S264" s="20">
        <f t="shared" si="71"/>
        <v>145.00000000000125</v>
      </c>
      <c r="T264" s="21">
        <f t="shared" si="71"/>
        <v>118.90000000000069</v>
      </c>
      <c r="U264" s="21">
        <f t="shared" si="69"/>
        <v>130.5</v>
      </c>
      <c r="V264" s="21">
        <f t="shared" si="69"/>
        <v>137.75000000000063</v>
      </c>
      <c r="W264" s="22">
        <f t="shared" si="69"/>
        <v>111.65000000000006</v>
      </c>
      <c r="X264" s="22">
        <f t="shared" si="69"/>
        <v>123.24999999999937</v>
      </c>
      <c r="Y264" s="22">
        <f t="shared" si="69"/>
        <v>130.5</v>
      </c>
      <c r="Z264" s="23">
        <f t="shared" si="69"/>
        <v>104.39999999999944</v>
      </c>
      <c r="AA264" s="23">
        <f t="shared" si="69"/>
        <v>115.99999999999915</v>
      </c>
      <c r="AB264" s="23">
        <f t="shared" si="69"/>
        <v>123.24999999999937</v>
      </c>
      <c r="AC264" s="24">
        <f t="shared" si="69"/>
        <v>97.149999999999991</v>
      </c>
      <c r="AD264" s="24">
        <f t="shared" si="69"/>
        <v>108.75000000000027</v>
      </c>
      <c r="AE264" s="24">
        <f t="shared" si="69"/>
        <v>115.99999999999915</v>
      </c>
      <c r="AF264" s="25">
        <f t="shared" si="69"/>
        <v>89.899999999999594</v>
      </c>
      <c r="AG264" s="25">
        <f t="shared" si="69"/>
        <v>101.50000000000031</v>
      </c>
      <c r="AH264" s="25">
        <f t="shared" si="69"/>
        <v>108.75000000000027</v>
      </c>
      <c r="AI264" s="26">
        <f t="shared" si="69"/>
        <v>82.650000000000375</v>
      </c>
      <c r="AJ264" s="26">
        <f t="shared" si="69"/>
        <v>94.249999999999687</v>
      </c>
      <c r="AK264" s="26">
        <f t="shared" si="65"/>
        <v>101.50000000000031</v>
      </c>
    </row>
    <row r="265" spans="4:37" ht="20.100000000000001" customHeight="1">
      <c r="D265" s="27">
        <f t="shared" si="72"/>
        <v>0.72777777777777575</v>
      </c>
      <c r="E265" s="16">
        <f t="shared" si="71"/>
        <v>208.14444444444482</v>
      </c>
      <c r="F265" s="16">
        <f t="shared" si="71"/>
        <v>219.78888888888753</v>
      </c>
      <c r="G265" s="16">
        <f t="shared" si="71"/>
        <v>227.06666666666592</v>
      </c>
      <c r="H265" s="17">
        <f t="shared" si="71"/>
        <v>193.58888888888976</v>
      </c>
      <c r="I265" s="17">
        <f t="shared" si="71"/>
        <v>205.23333333333258</v>
      </c>
      <c r="J265" s="17">
        <f t="shared" si="71"/>
        <v>212.51111111111067</v>
      </c>
      <c r="K265" s="18">
        <f t="shared" si="71"/>
        <v>179.03333333333296</v>
      </c>
      <c r="L265" s="18">
        <f t="shared" si="71"/>
        <v>190.67777777777695</v>
      </c>
      <c r="M265" s="18">
        <f t="shared" si="71"/>
        <v>197.95555555555572</v>
      </c>
      <c r="N265" s="19">
        <f t="shared" si="71"/>
        <v>133.91111111111024</v>
      </c>
      <c r="O265" s="19">
        <f t="shared" si="71"/>
        <v>145.55555555555679</v>
      </c>
      <c r="P265" s="19">
        <f t="shared" si="71"/>
        <v>152.8333333333324</v>
      </c>
      <c r="Q265" s="20">
        <f t="shared" si="71"/>
        <v>126.63333333333459</v>
      </c>
      <c r="R265" s="20">
        <f t="shared" si="71"/>
        <v>138.2777777777784</v>
      </c>
      <c r="S265" s="20">
        <f t="shared" si="71"/>
        <v>145.55555555555679</v>
      </c>
      <c r="T265" s="21">
        <f t="shared" si="71"/>
        <v>119.35555555555624</v>
      </c>
      <c r="U265" s="21">
        <f t="shared" si="69"/>
        <v>131</v>
      </c>
      <c r="V265" s="21">
        <f t="shared" si="69"/>
        <v>138.2777777777784</v>
      </c>
      <c r="W265" s="22">
        <f t="shared" si="69"/>
        <v>112.07777777777784</v>
      </c>
      <c r="X265" s="22">
        <f t="shared" si="69"/>
        <v>123.7222222222216</v>
      </c>
      <c r="Y265" s="22">
        <f t="shared" si="69"/>
        <v>131</v>
      </c>
      <c r="Z265" s="23">
        <f t="shared" si="69"/>
        <v>104.79999999999944</v>
      </c>
      <c r="AA265" s="23">
        <f t="shared" si="69"/>
        <v>116.44444444444359</v>
      </c>
      <c r="AB265" s="23">
        <f t="shared" si="69"/>
        <v>123.7222222222216</v>
      </c>
      <c r="AC265" s="24">
        <f t="shared" si="69"/>
        <v>97.522222222222211</v>
      </c>
      <c r="AD265" s="24">
        <f t="shared" si="69"/>
        <v>109.16666666666694</v>
      </c>
      <c r="AE265" s="24">
        <f t="shared" si="69"/>
        <v>116.44444444444359</v>
      </c>
      <c r="AF265" s="25">
        <f t="shared" si="69"/>
        <v>90.244444444444042</v>
      </c>
      <c r="AG265" s="25">
        <f t="shared" si="69"/>
        <v>101.8888888888892</v>
      </c>
      <c r="AH265" s="25">
        <f t="shared" si="69"/>
        <v>109.16666666666694</v>
      </c>
      <c r="AI265" s="26">
        <f t="shared" si="69"/>
        <v>82.966666666667038</v>
      </c>
      <c r="AJ265" s="26">
        <f t="shared" si="69"/>
        <v>94.611111111110802</v>
      </c>
      <c r="AK265" s="26">
        <f t="shared" si="65"/>
        <v>101.8888888888892</v>
      </c>
    </row>
    <row r="266" spans="4:37" ht="20.100000000000001" customHeight="1">
      <c r="D266" s="27">
        <f t="shared" si="72"/>
        <v>0.73055555555555352</v>
      </c>
      <c r="E266" s="16">
        <f t="shared" si="71"/>
        <v>208.93888888888927</v>
      </c>
      <c r="F266" s="16">
        <f t="shared" si="71"/>
        <v>220.62777777777643</v>
      </c>
      <c r="G266" s="16">
        <f t="shared" si="71"/>
        <v>227.9333333333326</v>
      </c>
      <c r="H266" s="17">
        <f t="shared" si="71"/>
        <v>194.32777777777864</v>
      </c>
      <c r="I266" s="17">
        <f t="shared" si="71"/>
        <v>206.01666666666591</v>
      </c>
      <c r="J266" s="17">
        <f t="shared" si="71"/>
        <v>213.32222222222177</v>
      </c>
      <c r="K266" s="18">
        <f t="shared" si="71"/>
        <v>179.7166666666663</v>
      </c>
      <c r="L266" s="18">
        <f t="shared" si="71"/>
        <v>191.40555555555474</v>
      </c>
      <c r="M266" s="18">
        <f t="shared" si="71"/>
        <v>198.71111111111128</v>
      </c>
      <c r="N266" s="19">
        <f t="shared" si="71"/>
        <v>134.42222222222136</v>
      </c>
      <c r="O266" s="19">
        <f t="shared" si="71"/>
        <v>146.11111111111234</v>
      </c>
      <c r="P266" s="19">
        <f t="shared" si="71"/>
        <v>153.41666666666575</v>
      </c>
      <c r="Q266" s="20">
        <f t="shared" si="71"/>
        <v>127.11666666666792</v>
      </c>
      <c r="R266" s="20">
        <f t="shared" si="71"/>
        <v>138.80555555555617</v>
      </c>
      <c r="S266" s="20">
        <f t="shared" si="71"/>
        <v>146.11111111111234</v>
      </c>
      <c r="T266" s="21">
        <f t="shared" si="71"/>
        <v>119.81111111111179</v>
      </c>
      <c r="U266" s="21">
        <f t="shared" si="69"/>
        <v>131.5</v>
      </c>
      <c r="V266" s="21">
        <f t="shared" si="69"/>
        <v>138.80555555555617</v>
      </c>
      <c r="W266" s="22">
        <f t="shared" si="69"/>
        <v>112.50555555555562</v>
      </c>
      <c r="X266" s="22">
        <f t="shared" si="69"/>
        <v>124.19444444444383</v>
      </c>
      <c r="Y266" s="22">
        <f t="shared" si="69"/>
        <v>131.5</v>
      </c>
      <c r="Z266" s="23">
        <f t="shared" si="69"/>
        <v>105.19999999999945</v>
      </c>
      <c r="AA266" s="23">
        <f t="shared" si="69"/>
        <v>116.88888888888803</v>
      </c>
      <c r="AB266" s="23">
        <f t="shared" si="69"/>
        <v>124.19444444444383</v>
      </c>
      <c r="AC266" s="24">
        <f t="shared" si="69"/>
        <v>97.894444444444431</v>
      </c>
      <c r="AD266" s="24">
        <f t="shared" si="69"/>
        <v>109.58333333333361</v>
      </c>
      <c r="AE266" s="24">
        <f t="shared" si="69"/>
        <v>116.88888888888803</v>
      </c>
      <c r="AF266" s="25">
        <f t="shared" si="69"/>
        <v>90.588888888888491</v>
      </c>
      <c r="AG266" s="25">
        <f t="shared" si="69"/>
        <v>102.27777777777808</v>
      </c>
      <c r="AH266" s="25">
        <f t="shared" si="69"/>
        <v>109.58333333333361</v>
      </c>
      <c r="AI266" s="26">
        <f t="shared" si="69"/>
        <v>83.283333333333701</v>
      </c>
      <c r="AJ266" s="26">
        <f t="shared" si="69"/>
        <v>94.972222222221916</v>
      </c>
      <c r="AK266" s="26">
        <f t="shared" si="65"/>
        <v>102.27777777777808</v>
      </c>
    </row>
    <row r="267" spans="4:37" ht="20.100000000000001" customHeight="1">
      <c r="D267" s="27">
        <f t="shared" si="72"/>
        <v>0.73333333333333128</v>
      </c>
      <c r="E267" s="16">
        <f t="shared" si="71"/>
        <v>209.73333333333372</v>
      </c>
      <c r="F267" s="16">
        <f t="shared" si="71"/>
        <v>221.46666666666533</v>
      </c>
      <c r="G267" s="16">
        <f t="shared" si="71"/>
        <v>228.79999999999927</v>
      </c>
      <c r="H267" s="17">
        <f t="shared" si="71"/>
        <v>195.06666666666752</v>
      </c>
      <c r="I267" s="17">
        <f t="shared" si="71"/>
        <v>206.79999999999924</v>
      </c>
      <c r="J267" s="17">
        <f t="shared" si="71"/>
        <v>214.13333333333287</v>
      </c>
      <c r="K267" s="18">
        <f t="shared" si="71"/>
        <v>180.39999999999964</v>
      </c>
      <c r="L267" s="18">
        <f t="shared" si="71"/>
        <v>192.13333333333253</v>
      </c>
      <c r="M267" s="18">
        <f t="shared" si="71"/>
        <v>199.46666666666684</v>
      </c>
      <c r="N267" s="19">
        <f t="shared" si="71"/>
        <v>134.93333333333248</v>
      </c>
      <c r="O267" s="19">
        <f t="shared" si="71"/>
        <v>146.66666666666788</v>
      </c>
      <c r="P267" s="19">
        <f t="shared" si="71"/>
        <v>153.99999999999909</v>
      </c>
      <c r="Q267" s="20">
        <f t="shared" si="71"/>
        <v>127.60000000000126</v>
      </c>
      <c r="R267" s="20">
        <f t="shared" si="71"/>
        <v>139.33333333333394</v>
      </c>
      <c r="S267" s="20">
        <f t="shared" si="71"/>
        <v>146.66666666666788</v>
      </c>
      <c r="T267" s="21">
        <f t="shared" si="71"/>
        <v>120.26666666666733</v>
      </c>
      <c r="U267" s="21">
        <f t="shared" si="69"/>
        <v>132</v>
      </c>
      <c r="V267" s="21">
        <f t="shared" si="69"/>
        <v>139.33333333333394</v>
      </c>
      <c r="W267" s="22">
        <f t="shared" si="69"/>
        <v>112.93333333333339</v>
      </c>
      <c r="X267" s="22">
        <f t="shared" si="69"/>
        <v>124.66666666666606</v>
      </c>
      <c r="Y267" s="22">
        <f t="shared" si="69"/>
        <v>132</v>
      </c>
      <c r="Z267" s="23">
        <f t="shared" si="69"/>
        <v>105.59999999999945</v>
      </c>
      <c r="AA267" s="23">
        <f t="shared" si="69"/>
        <v>117.33333333333248</v>
      </c>
      <c r="AB267" s="23">
        <f t="shared" si="69"/>
        <v>124.66666666666606</v>
      </c>
      <c r="AC267" s="24">
        <f t="shared" si="69"/>
        <v>98.266666666666652</v>
      </c>
      <c r="AD267" s="24">
        <f t="shared" si="69"/>
        <v>110.00000000000028</v>
      </c>
      <c r="AE267" s="24">
        <f t="shared" si="69"/>
        <v>117.33333333333248</v>
      </c>
      <c r="AF267" s="25">
        <f t="shared" si="69"/>
        <v>90.933333333332939</v>
      </c>
      <c r="AG267" s="25">
        <f t="shared" si="69"/>
        <v>102.66666666666697</v>
      </c>
      <c r="AH267" s="25">
        <f t="shared" si="69"/>
        <v>110.00000000000028</v>
      </c>
      <c r="AI267" s="26">
        <f t="shared" si="69"/>
        <v>83.600000000000364</v>
      </c>
      <c r="AJ267" s="26">
        <f t="shared" si="69"/>
        <v>95.33333333333303</v>
      </c>
      <c r="AK267" s="26">
        <f t="shared" si="65"/>
        <v>102.66666666666697</v>
      </c>
    </row>
    <row r="268" spans="4:37" ht="20.100000000000001" customHeight="1">
      <c r="D268" s="27">
        <f t="shared" si="72"/>
        <v>0.73611111111110905</v>
      </c>
      <c r="E268" s="16">
        <f t="shared" si="71"/>
        <v>210.52777777777817</v>
      </c>
      <c r="F268" s="16">
        <f t="shared" si="71"/>
        <v>222.30555555555424</v>
      </c>
      <c r="G268" s="16">
        <f t="shared" si="71"/>
        <v>229.66666666666595</v>
      </c>
      <c r="H268" s="17">
        <f t="shared" si="71"/>
        <v>195.8055555555564</v>
      </c>
      <c r="I268" s="17">
        <f t="shared" si="71"/>
        <v>207.58333333333258</v>
      </c>
      <c r="J268" s="17">
        <f t="shared" si="71"/>
        <v>214.94444444444397</v>
      </c>
      <c r="K268" s="18">
        <f t="shared" si="71"/>
        <v>181.08333333333297</v>
      </c>
      <c r="L268" s="18">
        <f t="shared" si="71"/>
        <v>192.86111111111032</v>
      </c>
      <c r="M268" s="18">
        <f t="shared" si="71"/>
        <v>200.2222222222224</v>
      </c>
      <c r="N268" s="19">
        <f t="shared" si="71"/>
        <v>135.4444444444436</v>
      </c>
      <c r="O268" s="19">
        <f t="shared" si="71"/>
        <v>147.22222222222342</v>
      </c>
      <c r="P268" s="19">
        <f t="shared" si="71"/>
        <v>154.58333333333243</v>
      </c>
      <c r="Q268" s="20">
        <f t="shared" si="71"/>
        <v>128.08333333333459</v>
      </c>
      <c r="R268" s="20">
        <f t="shared" si="71"/>
        <v>139.86111111111171</v>
      </c>
      <c r="S268" s="20">
        <f t="shared" si="71"/>
        <v>147.22222222222342</v>
      </c>
      <c r="T268" s="21">
        <f t="shared" si="71"/>
        <v>120.72222222222288</v>
      </c>
      <c r="U268" s="21">
        <f t="shared" si="69"/>
        <v>132.5</v>
      </c>
      <c r="V268" s="21">
        <f t="shared" si="69"/>
        <v>139.86111111111171</v>
      </c>
      <c r="W268" s="22">
        <f t="shared" si="69"/>
        <v>113.36111111111117</v>
      </c>
      <c r="X268" s="22">
        <f t="shared" si="69"/>
        <v>125.13888888888829</v>
      </c>
      <c r="Y268" s="22">
        <f t="shared" si="69"/>
        <v>132.5</v>
      </c>
      <c r="Z268" s="23">
        <f t="shared" si="69"/>
        <v>105.99999999999946</v>
      </c>
      <c r="AA268" s="23">
        <f t="shared" si="69"/>
        <v>117.77777777777692</v>
      </c>
      <c r="AB268" s="23">
        <f t="shared" si="69"/>
        <v>125.13888888888829</v>
      </c>
      <c r="AC268" s="24">
        <f t="shared" si="69"/>
        <v>98.638888888888872</v>
      </c>
      <c r="AD268" s="24">
        <f t="shared" si="69"/>
        <v>110.41666666666696</v>
      </c>
      <c r="AE268" s="24">
        <f t="shared" si="69"/>
        <v>117.77777777777692</v>
      </c>
      <c r="AF268" s="25">
        <f t="shared" si="69"/>
        <v>91.277777777777388</v>
      </c>
      <c r="AG268" s="25">
        <f t="shared" si="69"/>
        <v>103.05555555555586</v>
      </c>
      <c r="AH268" s="25">
        <f t="shared" si="69"/>
        <v>110.41666666666696</v>
      </c>
      <c r="AI268" s="26">
        <f t="shared" si="69"/>
        <v>83.916666666667027</v>
      </c>
      <c r="AJ268" s="26">
        <f t="shared" si="69"/>
        <v>95.694444444444144</v>
      </c>
      <c r="AK268" s="26">
        <f t="shared" si="65"/>
        <v>103.05555555555586</v>
      </c>
    </row>
    <row r="269" spans="4:37" ht="20.100000000000001" customHeight="1">
      <c r="D269" s="27">
        <f t="shared" si="72"/>
        <v>0.73888888888888682</v>
      </c>
      <c r="E269" s="16">
        <f t="shared" si="71"/>
        <v>211.32222222222262</v>
      </c>
      <c r="F269" s="16">
        <f t="shared" si="71"/>
        <v>223.14444444444314</v>
      </c>
      <c r="G269" s="16">
        <f t="shared" si="71"/>
        <v>230.53333333333262</v>
      </c>
      <c r="H269" s="17">
        <f t="shared" si="71"/>
        <v>196.54444444444528</v>
      </c>
      <c r="I269" s="17">
        <f t="shared" si="71"/>
        <v>208.36666666666591</v>
      </c>
      <c r="J269" s="17">
        <f t="shared" si="71"/>
        <v>215.75555555555508</v>
      </c>
      <c r="K269" s="18">
        <f t="shared" si="71"/>
        <v>181.76666666666631</v>
      </c>
      <c r="L269" s="18">
        <f t="shared" si="71"/>
        <v>193.58888888888811</v>
      </c>
      <c r="M269" s="18">
        <f t="shared" si="71"/>
        <v>200.97777777777796</v>
      </c>
      <c r="N269" s="19">
        <f t="shared" si="71"/>
        <v>135.95555555555472</v>
      </c>
      <c r="O269" s="19">
        <f t="shared" si="71"/>
        <v>147.77777777777897</v>
      </c>
      <c r="P269" s="19">
        <f t="shared" si="71"/>
        <v>155.16666666666578</v>
      </c>
      <c r="Q269" s="20">
        <f t="shared" si="71"/>
        <v>128.56666666666791</v>
      </c>
      <c r="R269" s="20">
        <f t="shared" si="71"/>
        <v>140.38888888888948</v>
      </c>
      <c r="S269" s="20">
        <f t="shared" si="71"/>
        <v>147.77777777777897</v>
      </c>
      <c r="T269" s="21">
        <f t="shared" si="71"/>
        <v>121.17777777777843</v>
      </c>
      <c r="U269" s="21">
        <f t="shared" si="69"/>
        <v>133</v>
      </c>
      <c r="V269" s="21">
        <f t="shared" si="69"/>
        <v>140.38888888888948</v>
      </c>
      <c r="W269" s="22">
        <f t="shared" si="69"/>
        <v>113.78888888888895</v>
      </c>
      <c r="X269" s="22">
        <f t="shared" si="69"/>
        <v>125.61111111111052</v>
      </c>
      <c r="Y269" s="22">
        <f t="shared" si="69"/>
        <v>133</v>
      </c>
      <c r="Z269" s="23">
        <f t="shared" si="69"/>
        <v>106.39999999999947</v>
      </c>
      <c r="AA269" s="23">
        <f t="shared" si="69"/>
        <v>118.22222222222136</v>
      </c>
      <c r="AB269" s="23">
        <f t="shared" si="69"/>
        <v>125.61111111111052</v>
      </c>
      <c r="AC269" s="24">
        <f t="shared" si="69"/>
        <v>99.011111111111092</v>
      </c>
      <c r="AD269" s="24">
        <f t="shared" si="69"/>
        <v>110.83333333333363</v>
      </c>
      <c r="AE269" s="24">
        <f t="shared" si="69"/>
        <v>118.22222222222136</v>
      </c>
      <c r="AF269" s="25">
        <f t="shared" si="69"/>
        <v>91.622222222221836</v>
      </c>
      <c r="AG269" s="25">
        <f t="shared" si="69"/>
        <v>103.44444444444474</v>
      </c>
      <c r="AH269" s="25">
        <f t="shared" si="69"/>
        <v>110.83333333333363</v>
      </c>
      <c r="AI269" s="26">
        <f t="shared" si="69"/>
        <v>84.23333333333369</v>
      </c>
      <c r="AJ269" s="26">
        <f t="shared" si="69"/>
        <v>96.055555555555259</v>
      </c>
      <c r="AK269" s="26">
        <f t="shared" si="65"/>
        <v>103.44444444444474</v>
      </c>
    </row>
    <row r="270" spans="4:37" ht="20.100000000000001" customHeight="1">
      <c r="D270" s="27">
        <f t="shared" si="72"/>
        <v>0.74166666666666459</v>
      </c>
      <c r="E270" s="16">
        <f t="shared" si="71"/>
        <v>212.11666666666707</v>
      </c>
      <c r="F270" s="16">
        <f t="shared" si="71"/>
        <v>223.98333333333204</v>
      </c>
      <c r="G270" s="16">
        <f t="shared" si="71"/>
        <v>231.3999999999993</v>
      </c>
      <c r="H270" s="17">
        <f t="shared" si="71"/>
        <v>197.28333333333416</v>
      </c>
      <c r="I270" s="17">
        <f t="shared" si="71"/>
        <v>209.14999999999924</v>
      </c>
      <c r="J270" s="17">
        <f t="shared" si="71"/>
        <v>216.56666666666618</v>
      </c>
      <c r="K270" s="18">
        <f t="shared" si="71"/>
        <v>182.44999999999965</v>
      </c>
      <c r="L270" s="18">
        <f t="shared" si="71"/>
        <v>194.3166666666659</v>
      </c>
      <c r="M270" s="18">
        <f t="shared" si="71"/>
        <v>201.73333333333352</v>
      </c>
      <c r="N270" s="19">
        <f t="shared" si="71"/>
        <v>136.46666666666584</v>
      </c>
      <c r="O270" s="19">
        <f t="shared" si="71"/>
        <v>148.33333333333451</v>
      </c>
      <c r="P270" s="19">
        <f t="shared" si="71"/>
        <v>155.74999999999912</v>
      </c>
      <c r="Q270" s="20">
        <f t="shared" si="71"/>
        <v>129.05000000000123</v>
      </c>
      <c r="R270" s="20">
        <f t="shared" si="71"/>
        <v>140.91666666666725</v>
      </c>
      <c r="S270" s="20">
        <f t="shared" si="71"/>
        <v>148.33333333333451</v>
      </c>
      <c r="T270" s="21">
        <f t="shared" si="71"/>
        <v>121.63333333333398</v>
      </c>
      <c r="U270" s="21">
        <f t="shared" si="69"/>
        <v>133.5</v>
      </c>
      <c r="V270" s="21">
        <f t="shared" si="69"/>
        <v>140.91666666666725</v>
      </c>
      <c r="W270" s="22">
        <f t="shared" si="69"/>
        <v>114.21666666666673</v>
      </c>
      <c r="X270" s="22">
        <f t="shared" si="69"/>
        <v>126.08333333333275</v>
      </c>
      <c r="Y270" s="22">
        <f t="shared" si="69"/>
        <v>133.5</v>
      </c>
      <c r="Z270" s="23">
        <f t="shared" si="69"/>
        <v>106.79999999999947</v>
      </c>
      <c r="AA270" s="23">
        <f t="shared" si="69"/>
        <v>118.6666666666658</v>
      </c>
      <c r="AB270" s="23">
        <f t="shared" si="69"/>
        <v>126.08333333333275</v>
      </c>
      <c r="AC270" s="24">
        <f t="shared" si="69"/>
        <v>99.383333333333312</v>
      </c>
      <c r="AD270" s="24">
        <f t="shared" si="69"/>
        <v>111.2500000000003</v>
      </c>
      <c r="AE270" s="24">
        <f t="shared" si="69"/>
        <v>118.6666666666658</v>
      </c>
      <c r="AF270" s="25">
        <f t="shared" si="69"/>
        <v>91.966666666666285</v>
      </c>
      <c r="AG270" s="25">
        <f t="shared" si="69"/>
        <v>103.83333333333363</v>
      </c>
      <c r="AH270" s="25">
        <f t="shared" si="69"/>
        <v>111.2500000000003</v>
      </c>
      <c r="AI270" s="26">
        <f t="shared" si="69"/>
        <v>84.550000000000352</v>
      </c>
      <c r="AJ270" s="26">
        <f t="shared" si="69"/>
        <v>96.416666666666373</v>
      </c>
      <c r="AK270" s="26">
        <f t="shared" si="65"/>
        <v>103.83333333333363</v>
      </c>
    </row>
    <row r="271" spans="4:37" ht="20.100000000000001" customHeight="1">
      <c r="D271" s="27">
        <f t="shared" si="72"/>
        <v>0.74444444444444235</v>
      </c>
      <c r="E271" s="16">
        <f t="shared" si="71"/>
        <v>212.91111111111152</v>
      </c>
      <c r="F271" s="16">
        <f t="shared" si="71"/>
        <v>224.82222222222094</v>
      </c>
      <c r="G271" s="16">
        <f t="shared" si="71"/>
        <v>232.26666666666597</v>
      </c>
      <c r="H271" s="17">
        <f t="shared" si="71"/>
        <v>198.02222222222304</v>
      </c>
      <c r="I271" s="17">
        <f t="shared" si="71"/>
        <v>209.93333333333257</v>
      </c>
      <c r="J271" s="17">
        <f t="shared" si="71"/>
        <v>217.37777777777728</v>
      </c>
      <c r="K271" s="18">
        <f t="shared" si="71"/>
        <v>183.13333333333298</v>
      </c>
      <c r="L271" s="18">
        <f t="shared" si="71"/>
        <v>195.04444444444368</v>
      </c>
      <c r="M271" s="18">
        <f t="shared" si="71"/>
        <v>202.48888888888908</v>
      </c>
      <c r="N271" s="19">
        <f t="shared" si="71"/>
        <v>136.97777777777696</v>
      </c>
      <c r="O271" s="19">
        <f t="shared" si="71"/>
        <v>148.88888888889005</v>
      </c>
      <c r="P271" s="19">
        <f t="shared" si="71"/>
        <v>156.33333333333246</v>
      </c>
      <c r="Q271" s="20">
        <f t="shared" si="71"/>
        <v>129.53333333333455</v>
      </c>
      <c r="R271" s="20">
        <f t="shared" si="71"/>
        <v>141.44444444444503</v>
      </c>
      <c r="S271" s="20">
        <f t="shared" si="71"/>
        <v>148.88888888889005</v>
      </c>
      <c r="T271" s="21">
        <f t="shared" si="71"/>
        <v>122.08888888888953</v>
      </c>
      <c r="U271" s="21">
        <f t="shared" si="69"/>
        <v>134</v>
      </c>
      <c r="V271" s="21">
        <f t="shared" si="69"/>
        <v>141.44444444444503</v>
      </c>
      <c r="W271" s="22">
        <f t="shared" si="69"/>
        <v>114.6444444444445</v>
      </c>
      <c r="X271" s="22">
        <f t="shared" si="69"/>
        <v>126.55555555555497</v>
      </c>
      <c r="Y271" s="22">
        <f t="shared" si="69"/>
        <v>134</v>
      </c>
      <c r="Z271" s="23">
        <f t="shared" si="69"/>
        <v>107.19999999999948</v>
      </c>
      <c r="AA271" s="23">
        <f t="shared" si="69"/>
        <v>119.11111111111025</v>
      </c>
      <c r="AB271" s="23">
        <f t="shared" si="69"/>
        <v>126.55555555555497</v>
      </c>
      <c r="AC271" s="24">
        <f t="shared" si="69"/>
        <v>99.755555555555532</v>
      </c>
      <c r="AD271" s="24">
        <f t="shared" si="69"/>
        <v>111.66666666666697</v>
      </c>
      <c r="AE271" s="24">
        <f t="shared" si="69"/>
        <v>119.11111111111025</v>
      </c>
      <c r="AF271" s="25">
        <f t="shared" si="69"/>
        <v>92.311111111110733</v>
      </c>
      <c r="AG271" s="25">
        <f t="shared" si="69"/>
        <v>104.22222222222251</v>
      </c>
      <c r="AH271" s="25">
        <f t="shared" si="69"/>
        <v>111.66666666666697</v>
      </c>
      <c r="AI271" s="26">
        <f t="shared" si="69"/>
        <v>84.866666666667015</v>
      </c>
      <c r="AJ271" s="26">
        <f t="shared" si="69"/>
        <v>96.777777777777487</v>
      </c>
      <c r="AK271" s="26">
        <f t="shared" si="65"/>
        <v>104.22222222222251</v>
      </c>
    </row>
    <row r="272" spans="4:37" ht="20.100000000000001" customHeight="1">
      <c r="D272" s="27">
        <f t="shared" si="72"/>
        <v>0.74722222222222012</v>
      </c>
      <c r="E272" s="16">
        <f t="shared" si="71"/>
        <v>213.70555555555597</v>
      </c>
      <c r="F272" s="16">
        <f t="shared" si="71"/>
        <v>225.66111111110985</v>
      </c>
      <c r="G272" s="16">
        <f t="shared" si="71"/>
        <v>233.13333333333264</v>
      </c>
      <c r="H272" s="17">
        <f t="shared" si="71"/>
        <v>198.76111111111192</v>
      </c>
      <c r="I272" s="17">
        <f t="shared" si="71"/>
        <v>210.7166666666659</v>
      </c>
      <c r="J272" s="17">
        <f t="shared" si="71"/>
        <v>218.18888888888839</v>
      </c>
      <c r="K272" s="18">
        <f t="shared" si="71"/>
        <v>183.81666666666632</v>
      </c>
      <c r="L272" s="18">
        <f t="shared" si="71"/>
        <v>195.77222222222147</v>
      </c>
      <c r="M272" s="18">
        <f t="shared" si="71"/>
        <v>203.24444444444464</v>
      </c>
      <c r="N272" s="19">
        <f t="shared" si="71"/>
        <v>137.48888888888808</v>
      </c>
      <c r="O272" s="19">
        <f t="shared" si="71"/>
        <v>149.44444444444559</v>
      </c>
      <c r="P272" s="19">
        <f t="shared" si="71"/>
        <v>156.9166666666658</v>
      </c>
      <c r="Q272" s="20">
        <f t="shared" si="71"/>
        <v>130.01666666666787</v>
      </c>
      <c r="R272" s="20">
        <f t="shared" si="71"/>
        <v>141.9722222222228</v>
      </c>
      <c r="S272" s="20">
        <f t="shared" si="71"/>
        <v>149.44444444444559</v>
      </c>
      <c r="T272" s="21">
        <f t="shared" si="71"/>
        <v>122.54444444444508</v>
      </c>
      <c r="U272" s="21">
        <f t="shared" si="69"/>
        <v>134.5</v>
      </c>
      <c r="V272" s="21">
        <f t="shared" si="69"/>
        <v>141.9722222222228</v>
      </c>
      <c r="W272" s="22">
        <f t="shared" si="69"/>
        <v>115.07222222222228</v>
      </c>
      <c r="X272" s="22">
        <f t="shared" si="69"/>
        <v>127.0277777777772</v>
      </c>
      <c r="Y272" s="22">
        <f t="shared" si="69"/>
        <v>134.5</v>
      </c>
      <c r="Z272" s="23">
        <f t="shared" si="69"/>
        <v>107.59999999999948</v>
      </c>
      <c r="AA272" s="23">
        <f t="shared" si="69"/>
        <v>119.55555555555469</v>
      </c>
      <c r="AB272" s="23">
        <f t="shared" si="69"/>
        <v>127.0277777777772</v>
      </c>
      <c r="AC272" s="24">
        <f t="shared" si="69"/>
        <v>100.12777777777775</v>
      </c>
      <c r="AD272" s="24">
        <f t="shared" si="69"/>
        <v>112.08333333333364</v>
      </c>
      <c r="AE272" s="24">
        <f t="shared" si="69"/>
        <v>119.55555555555469</v>
      </c>
      <c r="AF272" s="25">
        <f t="shared" si="69"/>
        <v>92.655555555555182</v>
      </c>
      <c r="AG272" s="25">
        <f t="shared" si="69"/>
        <v>104.6111111111114</v>
      </c>
      <c r="AH272" s="25">
        <f t="shared" si="69"/>
        <v>112.08333333333364</v>
      </c>
      <c r="AI272" s="26">
        <f t="shared" si="69"/>
        <v>85.183333333333678</v>
      </c>
      <c r="AJ272" s="26">
        <f t="shared" si="69"/>
        <v>97.138888888888602</v>
      </c>
      <c r="AK272" s="26">
        <f t="shared" si="65"/>
        <v>104.6111111111114</v>
      </c>
    </row>
    <row r="273" spans="4:37" ht="20.100000000000001" customHeight="1">
      <c r="D273" s="27">
        <f t="shared" si="72"/>
        <v>0.74999999999999789</v>
      </c>
      <c r="E273" s="16">
        <f t="shared" si="71"/>
        <v>214.50000000000043</v>
      </c>
      <c r="F273" s="16">
        <f t="shared" si="71"/>
        <v>226.49999999999875</v>
      </c>
      <c r="G273" s="16">
        <f t="shared" si="71"/>
        <v>233.99999999999932</v>
      </c>
      <c r="H273" s="17">
        <f t="shared" si="71"/>
        <v>199.5000000000008</v>
      </c>
      <c r="I273" s="17">
        <f t="shared" si="71"/>
        <v>211.49999999999923</v>
      </c>
      <c r="J273" s="17">
        <f t="shared" si="71"/>
        <v>218.99999999999949</v>
      </c>
      <c r="K273" s="18">
        <f t="shared" si="71"/>
        <v>184.49999999999966</v>
      </c>
      <c r="L273" s="18">
        <f t="shared" si="71"/>
        <v>196.49999999999926</v>
      </c>
      <c r="M273" s="18">
        <f t="shared" si="71"/>
        <v>204.0000000000002</v>
      </c>
      <c r="N273" s="19">
        <f t="shared" si="71"/>
        <v>137.9999999999992</v>
      </c>
      <c r="O273" s="19">
        <f t="shared" si="71"/>
        <v>150.00000000000114</v>
      </c>
      <c r="P273" s="19">
        <f t="shared" si="71"/>
        <v>157.49999999999915</v>
      </c>
      <c r="Q273" s="20">
        <f t="shared" si="71"/>
        <v>130.50000000000119</v>
      </c>
      <c r="R273" s="20">
        <f t="shared" si="71"/>
        <v>142.50000000000057</v>
      </c>
      <c r="S273" s="20">
        <f t="shared" si="71"/>
        <v>150.00000000000114</v>
      </c>
      <c r="T273" s="21">
        <f t="shared" si="71"/>
        <v>123.00000000000063</v>
      </c>
      <c r="U273" s="21">
        <f t="shared" si="69"/>
        <v>135</v>
      </c>
      <c r="V273" s="21">
        <f t="shared" si="69"/>
        <v>142.50000000000057</v>
      </c>
      <c r="W273" s="22">
        <f t="shared" si="69"/>
        <v>115.50000000000006</v>
      </c>
      <c r="X273" s="22">
        <f t="shared" si="69"/>
        <v>127.49999999999943</v>
      </c>
      <c r="Y273" s="22">
        <f t="shared" si="69"/>
        <v>135</v>
      </c>
      <c r="Z273" s="23">
        <f t="shared" si="69"/>
        <v>107.99999999999949</v>
      </c>
      <c r="AA273" s="23">
        <f t="shared" si="69"/>
        <v>119.99999999999913</v>
      </c>
      <c r="AB273" s="23">
        <f t="shared" si="69"/>
        <v>127.49999999999943</v>
      </c>
      <c r="AC273" s="24">
        <f t="shared" si="69"/>
        <v>100.49999999999997</v>
      </c>
      <c r="AD273" s="24">
        <f t="shared" si="69"/>
        <v>112.50000000000031</v>
      </c>
      <c r="AE273" s="24">
        <f t="shared" si="69"/>
        <v>119.99999999999913</v>
      </c>
      <c r="AF273" s="25">
        <f t="shared" si="69"/>
        <v>92.999999999999631</v>
      </c>
      <c r="AG273" s="25">
        <f t="shared" si="69"/>
        <v>105.00000000000028</v>
      </c>
      <c r="AH273" s="25">
        <f t="shared" si="69"/>
        <v>112.50000000000031</v>
      </c>
      <c r="AI273" s="26">
        <f t="shared" si="69"/>
        <v>85.500000000000341</v>
      </c>
      <c r="AJ273" s="26">
        <f t="shared" ref="AJ273:AJ281" si="73">AJ274-(AJ$363/360)</f>
        <v>97.499999999999716</v>
      </c>
      <c r="AK273" s="26">
        <f t="shared" si="65"/>
        <v>105.00000000000028</v>
      </c>
    </row>
    <row r="274" spans="4:37" ht="20.100000000000001" customHeight="1">
      <c r="D274" s="27">
        <f t="shared" si="72"/>
        <v>0.75277777777777566</v>
      </c>
      <c r="E274" s="16">
        <f t="shared" si="71"/>
        <v>215.29444444444488</v>
      </c>
      <c r="F274" s="16">
        <f t="shared" si="71"/>
        <v>227.33888888888765</v>
      </c>
      <c r="G274" s="16">
        <f t="shared" si="71"/>
        <v>234.86666666666599</v>
      </c>
      <c r="H274" s="17">
        <f t="shared" si="71"/>
        <v>200.23888888888968</v>
      </c>
      <c r="I274" s="17">
        <f t="shared" si="71"/>
        <v>212.28333333333256</v>
      </c>
      <c r="J274" s="17">
        <f t="shared" si="71"/>
        <v>219.81111111111059</v>
      </c>
      <c r="K274" s="18">
        <f t="shared" si="71"/>
        <v>185.183333333333</v>
      </c>
      <c r="L274" s="18">
        <f t="shared" si="71"/>
        <v>197.22777777777705</v>
      </c>
      <c r="M274" s="18">
        <f t="shared" si="71"/>
        <v>204.75555555555576</v>
      </c>
      <c r="N274" s="19">
        <f t="shared" si="71"/>
        <v>138.51111111111032</v>
      </c>
      <c r="O274" s="19">
        <f t="shared" si="71"/>
        <v>150.55555555555668</v>
      </c>
      <c r="P274" s="19">
        <f t="shared" si="71"/>
        <v>158.08333333333249</v>
      </c>
      <c r="Q274" s="20">
        <f t="shared" si="71"/>
        <v>130.98333333333451</v>
      </c>
      <c r="R274" s="20">
        <f t="shared" si="71"/>
        <v>143.02777777777834</v>
      </c>
      <c r="S274" s="20">
        <f t="shared" si="71"/>
        <v>150.55555555555668</v>
      </c>
      <c r="T274" s="21">
        <f t="shared" si="71"/>
        <v>123.45555555555617</v>
      </c>
      <c r="U274" s="21">
        <f t="shared" ref="U274:AI274" si="74">U275-(U$363/360)</f>
        <v>135.5</v>
      </c>
      <c r="V274" s="21">
        <f t="shared" si="74"/>
        <v>143.02777777777834</v>
      </c>
      <c r="W274" s="22">
        <f t="shared" si="74"/>
        <v>115.92777777777783</v>
      </c>
      <c r="X274" s="22">
        <f t="shared" si="74"/>
        <v>127.97222222222166</v>
      </c>
      <c r="Y274" s="22">
        <f t="shared" si="74"/>
        <v>135.5</v>
      </c>
      <c r="Z274" s="23">
        <f t="shared" si="74"/>
        <v>108.39999999999949</v>
      </c>
      <c r="AA274" s="23">
        <f t="shared" si="74"/>
        <v>120.44444444444358</v>
      </c>
      <c r="AB274" s="23">
        <f t="shared" si="74"/>
        <v>127.97222222222166</v>
      </c>
      <c r="AC274" s="24">
        <f t="shared" si="74"/>
        <v>100.87222222222219</v>
      </c>
      <c r="AD274" s="24">
        <f t="shared" si="74"/>
        <v>112.91666666666698</v>
      </c>
      <c r="AE274" s="24">
        <f t="shared" si="74"/>
        <v>120.44444444444358</v>
      </c>
      <c r="AF274" s="25">
        <f t="shared" si="74"/>
        <v>93.344444444444079</v>
      </c>
      <c r="AG274" s="25">
        <f t="shared" si="74"/>
        <v>105.38888888888917</v>
      </c>
      <c r="AH274" s="25">
        <f t="shared" si="74"/>
        <v>112.91666666666698</v>
      </c>
      <c r="AI274" s="26">
        <f t="shared" si="74"/>
        <v>85.816666666667004</v>
      </c>
      <c r="AJ274" s="26">
        <f t="shared" si="73"/>
        <v>97.86111111111083</v>
      </c>
      <c r="AK274" s="26">
        <f t="shared" si="65"/>
        <v>105.38888888888917</v>
      </c>
    </row>
    <row r="275" spans="4:37" ht="20.100000000000001" customHeight="1">
      <c r="D275" s="27">
        <f t="shared" si="72"/>
        <v>0.75555555555555343</v>
      </c>
      <c r="E275" s="16">
        <f t="shared" si="71"/>
        <v>216.08888888888933</v>
      </c>
      <c r="F275" s="16">
        <f t="shared" si="71"/>
        <v>228.17777777777656</v>
      </c>
      <c r="G275" s="16">
        <f t="shared" si="71"/>
        <v>235.73333333333267</v>
      </c>
      <c r="H275" s="17">
        <f t="shared" si="71"/>
        <v>200.97777777777856</v>
      </c>
      <c r="I275" s="17">
        <f t="shared" si="71"/>
        <v>213.0666666666659</v>
      </c>
      <c r="J275" s="17">
        <f t="shared" si="71"/>
        <v>220.62222222222169</v>
      </c>
      <c r="K275" s="18">
        <f t="shared" si="71"/>
        <v>185.86666666666633</v>
      </c>
      <c r="L275" s="18">
        <f t="shared" si="71"/>
        <v>197.95555555555484</v>
      </c>
      <c r="M275" s="18">
        <f t="shared" si="71"/>
        <v>205.51111111111132</v>
      </c>
      <c r="N275" s="19">
        <f t="shared" si="71"/>
        <v>139.02222222222144</v>
      </c>
      <c r="O275" s="19">
        <f t="shared" si="71"/>
        <v>151.11111111111222</v>
      </c>
      <c r="P275" s="19">
        <f t="shared" si="71"/>
        <v>158.66666666666583</v>
      </c>
      <c r="Q275" s="20">
        <f t="shared" si="71"/>
        <v>131.46666666666783</v>
      </c>
      <c r="R275" s="20">
        <f t="shared" si="71"/>
        <v>143.55555555555611</v>
      </c>
      <c r="S275" s="20">
        <f t="shared" si="71"/>
        <v>151.11111111111222</v>
      </c>
      <c r="T275" s="21">
        <f t="shared" ref="T275:AI290" si="75">T276-(T$363/360)</f>
        <v>123.91111111111172</v>
      </c>
      <c r="U275" s="21">
        <f t="shared" si="75"/>
        <v>136</v>
      </c>
      <c r="V275" s="21">
        <f t="shared" si="75"/>
        <v>143.55555555555611</v>
      </c>
      <c r="W275" s="22">
        <f t="shared" si="75"/>
        <v>116.35555555555561</v>
      </c>
      <c r="X275" s="22">
        <f t="shared" si="75"/>
        <v>128.44444444444389</v>
      </c>
      <c r="Y275" s="22">
        <f t="shared" si="75"/>
        <v>136</v>
      </c>
      <c r="Z275" s="23">
        <f t="shared" si="75"/>
        <v>108.7999999999995</v>
      </c>
      <c r="AA275" s="23">
        <f t="shared" si="75"/>
        <v>120.88888888888802</v>
      </c>
      <c r="AB275" s="23">
        <f t="shared" si="75"/>
        <v>128.44444444444389</v>
      </c>
      <c r="AC275" s="24">
        <f t="shared" si="75"/>
        <v>101.24444444444441</v>
      </c>
      <c r="AD275" s="24">
        <f t="shared" si="75"/>
        <v>113.33333333333366</v>
      </c>
      <c r="AE275" s="24">
        <f t="shared" si="75"/>
        <v>120.88888888888802</v>
      </c>
      <c r="AF275" s="25">
        <f t="shared" si="75"/>
        <v>93.688888888888528</v>
      </c>
      <c r="AG275" s="25">
        <f t="shared" si="75"/>
        <v>105.77777777777806</v>
      </c>
      <c r="AH275" s="25">
        <f t="shared" si="75"/>
        <v>113.33333333333366</v>
      </c>
      <c r="AI275" s="26">
        <f t="shared" si="75"/>
        <v>86.133333333333667</v>
      </c>
      <c r="AJ275" s="26">
        <f t="shared" si="73"/>
        <v>98.222222222221944</v>
      </c>
      <c r="AK275" s="26">
        <f t="shared" si="65"/>
        <v>105.77777777777806</v>
      </c>
    </row>
    <row r="276" spans="4:37" ht="20.100000000000001" customHeight="1">
      <c r="D276" s="27">
        <f t="shared" si="72"/>
        <v>0.75833333333333119</v>
      </c>
      <c r="E276" s="16">
        <f t="shared" ref="E276:T291" si="76">E277-(E$363/360)</f>
        <v>216.88333333333378</v>
      </c>
      <c r="F276" s="16">
        <f t="shared" si="76"/>
        <v>229.01666666666546</v>
      </c>
      <c r="G276" s="16">
        <f t="shared" si="76"/>
        <v>236.59999999999934</v>
      </c>
      <c r="H276" s="17">
        <f t="shared" si="76"/>
        <v>201.71666666666744</v>
      </c>
      <c r="I276" s="17">
        <f t="shared" si="76"/>
        <v>213.84999999999923</v>
      </c>
      <c r="J276" s="17">
        <f t="shared" si="76"/>
        <v>221.4333333333328</v>
      </c>
      <c r="K276" s="18">
        <f t="shared" si="76"/>
        <v>186.54999999999967</v>
      </c>
      <c r="L276" s="18">
        <f t="shared" si="76"/>
        <v>198.68333333333263</v>
      </c>
      <c r="M276" s="18">
        <f t="shared" si="76"/>
        <v>206.26666666666688</v>
      </c>
      <c r="N276" s="19">
        <f t="shared" si="76"/>
        <v>139.53333333333256</v>
      </c>
      <c r="O276" s="19">
        <f t="shared" si="76"/>
        <v>151.66666666666777</v>
      </c>
      <c r="P276" s="19">
        <f t="shared" si="76"/>
        <v>159.24999999999918</v>
      </c>
      <c r="Q276" s="20">
        <f t="shared" si="76"/>
        <v>131.95000000000115</v>
      </c>
      <c r="R276" s="20">
        <f t="shared" si="76"/>
        <v>144.08333333333388</v>
      </c>
      <c r="S276" s="20">
        <f t="shared" si="76"/>
        <v>151.66666666666777</v>
      </c>
      <c r="T276" s="21">
        <f t="shared" si="76"/>
        <v>124.36666666666727</v>
      </c>
      <c r="U276" s="21">
        <f t="shared" si="75"/>
        <v>136.5</v>
      </c>
      <c r="V276" s="21">
        <f t="shared" si="75"/>
        <v>144.08333333333388</v>
      </c>
      <c r="W276" s="22">
        <f t="shared" si="75"/>
        <v>116.78333333333339</v>
      </c>
      <c r="X276" s="22">
        <f t="shared" si="75"/>
        <v>128.91666666666612</v>
      </c>
      <c r="Y276" s="22">
        <f t="shared" si="75"/>
        <v>136.5</v>
      </c>
      <c r="Z276" s="23">
        <f t="shared" si="75"/>
        <v>109.19999999999951</v>
      </c>
      <c r="AA276" s="23">
        <f t="shared" si="75"/>
        <v>121.33333333333246</v>
      </c>
      <c r="AB276" s="23">
        <f t="shared" si="75"/>
        <v>128.91666666666612</v>
      </c>
      <c r="AC276" s="24">
        <f t="shared" si="75"/>
        <v>101.61666666666663</v>
      </c>
      <c r="AD276" s="24">
        <f t="shared" si="75"/>
        <v>113.75000000000033</v>
      </c>
      <c r="AE276" s="24">
        <f t="shared" si="75"/>
        <v>121.33333333333246</v>
      </c>
      <c r="AF276" s="25">
        <f t="shared" si="75"/>
        <v>94.033333333332976</v>
      </c>
      <c r="AG276" s="25">
        <f t="shared" si="75"/>
        <v>106.16666666666694</v>
      </c>
      <c r="AH276" s="25">
        <f t="shared" si="75"/>
        <v>113.75000000000033</v>
      </c>
      <c r="AI276" s="26">
        <f t="shared" si="75"/>
        <v>86.45000000000033</v>
      </c>
      <c r="AJ276" s="26">
        <f t="shared" si="73"/>
        <v>98.583333333333059</v>
      </c>
      <c r="AK276" s="26">
        <f t="shared" si="65"/>
        <v>106.16666666666694</v>
      </c>
    </row>
    <row r="277" spans="4:37" ht="20.100000000000001" customHeight="1">
      <c r="D277" s="27">
        <f t="shared" si="72"/>
        <v>0.76111111111110896</v>
      </c>
      <c r="E277" s="16">
        <f t="shared" si="76"/>
        <v>217.67777777777823</v>
      </c>
      <c r="F277" s="16">
        <f t="shared" si="76"/>
        <v>229.85555555555436</v>
      </c>
      <c r="G277" s="16">
        <f t="shared" si="76"/>
        <v>237.46666666666601</v>
      </c>
      <c r="H277" s="17">
        <f t="shared" si="76"/>
        <v>202.45555555555632</v>
      </c>
      <c r="I277" s="17">
        <f t="shared" si="76"/>
        <v>214.63333333333256</v>
      </c>
      <c r="J277" s="17">
        <f t="shared" si="76"/>
        <v>222.2444444444439</v>
      </c>
      <c r="K277" s="18">
        <f t="shared" si="76"/>
        <v>187.23333333333301</v>
      </c>
      <c r="L277" s="18">
        <f t="shared" si="76"/>
        <v>199.41111111111042</v>
      </c>
      <c r="M277" s="18">
        <f t="shared" si="76"/>
        <v>207.02222222222244</v>
      </c>
      <c r="N277" s="19">
        <f t="shared" si="76"/>
        <v>140.04444444444368</v>
      </c>
      <c r="O277" s="19">
        <f t="shared" si="76"/>
        <v>152.22222222222331</v>
      </c>
      <c r="P277" s="19">
        <f t="shared" si="76"/>
        <v>159.83333333333252</v>
      </c>
      <c r="Q277" s="20">
        <f t="shared" si="76"/>
        <v>132.43333333333447</v>
      </c>
      <c r="R277" s="20">
        <f t="shared" si="76"/>
        <v>144.61111111111165</v>
      </c>
      <c r="S277" s="20">
        <f t="shared" si="76"/>
        <v>152.22222222222331</v>
      </c>
      <c r="T277" s="21">
        <f t="shared" si="76"/>
        <v>124.82222222222282</v>
      </c>
      <c r="U277" s="21">
        <f t="shared" si="75"/>
        <v>137</v>
      </c>
      <c r="V277" s="21">
        <f t="shared" si="75"/>
        <v>144.61111111111165</v>
      </c>
      <c r="W277" s="22">
        <f t="shared" si="75"/>
        <v>117.21111111111117</v>
      </c>
      <c r="X277" s="22">
        <f t="shared" si="75"/>
        <v>129.38888888888835</v>
      </c>
      <c r="Y277" s="22">
        <f t="shared" si="75"/>
        <v>137</v>
      </c>
      <c r="Z277" s="23">
        <f t="shared" si="75"/>
        <v>109.59999999999951</v>
      </c>
      <c r="AA277" s="23">
        <f t="shared" si="75"/>
        <v>121.7777777777769</v>
      </c>
      <c r="AB277" s="23">
        <f t="shared" si="75"/>
        <v>129.38888888888835</v>
      </c>
      <c r="AC277" s="24">
        <f t="shared" si="75"/>
        <v>101.98888888888885</v>
      </c>
      <c r="AD277" s="24">
        <f t="shared" si="75"/>
        <v>114.166666666667</v>
      </c>
      <c r="AE277" s="24">
        <f t="shared" si="75"/>
        <v>121.7777777777769</v>
      </c>
      <c r="AF277" s="25">
        <f t="shared" si="75"/>
        <v>94.377777777777425</v>
      </c>
      <c r="AG277" s="25">
        <f t="shared" si="75"/>
        <v>106.55555555555583</v>
      </c>
      <c r="AH277" s="25">
        <f t="shared" si="75"/>
        <v>114.166666666667</v>
      </c>
      <c r="AI277" s="26">
        <f t="shared" si="75"/>
        <v>86.766666666666993</v>
      </c>
      <c r="AJ277" s="26">
        <f t="shared" si="73"/>
        <v>98.944444444444173</v>
      </c>
      <c r="AK277" s="26">
        <f t="shared" ref="AJ277:AK299" si="77">AK278-(AK$363/360)</f>
        <v>106.55555555555583</v>
      </c>
    </row>
    <row r="278" spans="4:37" ht="20.100000000000001" customHeight="1">
      <c r="D278" s="27">
        <f t="shared" si="72"/>
        <v>0.76388888888888673</v>
      </c>
      <c r="E278" s="16">
        <f t="shared" si="76"/>
        <v>218.47222222222268</v>
      </c>
      <c r="F278" s="16">
        <f t="shared" si="76"/>
        <v>230.69444444444326</v>
      </c>
      <c r="G278" s="16">
        <f t="shared" si="76"/>
        <v>238.33333333333269</v>
      </c>
      <c r="H278" s="17">
        <f t="shared" si="76"/>
        <v>203.1944444444452</v>
      </c>
      <c r="I278" s="17">
        <f t="shared" si="76"/>
        <v>215.41666666666589</v>
      </c>
      <c r="J278" s="17">
        <f t="shared" si="76"/>
        <v>223.055555555555</v>
      </c>
      <c r="K278" s="18">
        <f t="shared" si="76"/>
        <v>187.91666666666634</v>
      </c>
      <c r="L278" s="18">
        <f t="shared" si="76"/>
        <v>200.1388888888882</v>
      </c>
      <c r="M278" s="18">
        <f t="shared" si="76"/>
        <v>207.777777777778</v>
      </c>
      <c r="N278" s="19">
        <f t="shared" si="76"/>
        <v>140.5555555555548</v>
      </c>
      <c r="O278" s="19">
        <f t="shared" si="76"/>
        <v>152.77777777777885</v>
      </c>
      <c r="P278" s="19">
        <f t="shared" si="76"/>
        <v>160.41666666666586</v>
      </c>
      <c r="Q278" s="20">
        <f t="shared" si="76"/>
        <v>132.91666666666779</v>
      </c>
      <c r="R278" s="20">
        <f t="shared" si="76"/>
        <v>145.13888888888943</v>
      </c>
      <c r="S278" s="20">
        <f t="shared" si="76"/>
        <v>152.77777777777885</v>
      </c>
      <c r="T278" s="21">
        <f t="shared" si="76"/>
        <v>125.27777777777837</v>
      </c>
      <c r="U278" s="21">
        <f t="shared" si="75"/>
        <v>137.5</v>
      </c>
      <c r="V278" s="21">
        <f t="shared" si="75"/>
        <v>145.13888888888943</v>
      </c>
      <c r="W278" s="22">
        <f t="shared" si="75"/>
        <v>117.63888888888894</v>
      </c>
      <c r="X278" s="22">
        <f t="shared" si="75"/>
        <v>129.86111111111057</v>
      </c>
      <c r="Y278" s="22">
        <f t="shared" si="75"/>
        <v>137.5</v>
      </c>
      <c r="Z278" s="23">
        <f t="shared" si="75"/>
        <v>109.99999999999952</v>
      </c>
      <c r="AA278" s="23">
        <f t="shared" si="75"/>
        <v>122.22222222222135</v>
      </c>
      <c r="AB278" s="23">
        <f t="shared" si="75"/>
        <v>129.86111111111057</v>
      </c>
      <c r="AC278" s="24">
        <f t="shared" si="75"/>
        <v>102.36111111111107</v>
      </c>
      <c r="AD278" s="24">
        <f t="shared" si="75"/>
        <v>114.58333333333367</v>
      </c>
      <c r="AE278" s="24">
        <f t="shared" si="75"/>
        <v>122.22222222222135</v>
      </c>
      <c r="AF278" s="25">
        <f t="shared" si="75"/>
        <v>94.722222222221873</v>
      </c>
      <c r="AG278" s="25">
        <f t="shared" si="75"/>
        <v>106.94444444444471</v>
      </c>
      <c r="AH278" s="25">
        <f t="shared" si="75"/>
        <v>114.58333333333367</v>
      </c>
      <c r="AI278" s="26">
        <f t="shared" si="75"/>
        <v>87.083333333333655</v>
      </c>
      <c r="AJ278" s="26">
        <f t="shared" si="73"/>
        <v>99.305555555555287</v>
      </c>
      <c r="AK278" s="26">
        <f t="shared" si="77"/>
        <v>106.94444444444471</v>
      </c>
    </row>
    <row r="279" spans="4:37" ht="20.100000000000001" customHeight="1">
      <c r="D279" s="27">
        <f t="shared" si="72"/>
        <v>0.7666666666666645</v>
      </c>
      <c r="E279" s="16">
        <f t="shared" si="76"/>
        <v>219.26666666666713</v>
      </c>
      <c r="F279" s="16">
        <f t="shared" si="76"/>
        <v>231.53333333333217</v>
      </c>
      <c r="G279" s="16">
        <f t="shared" si="76"/>
        <v>239.19999999999936</v>
      </c>
      <c r="H279" s="17">
        <f t="shared" si="76"/>
        <v>203.93333333333408</v>
      </c>
      <c r="I279" s="17">
        <f t="shared" si="76"/>
        <v>216.19999999999922</v>
      </c>
      <c r="J279" s="17">
        <f t="shared" si="76"/>
        <v>223.86666666666611</v>
      </c>
      <c r="K279" s="18">
        <f t="shared" si="76"/>
        <v>188.59999999999968</v>
      </c>
      <c r="L279" s="18">
        <f t="shared" si="76"/>
        <v>200.86666666666599</v>
      </c>
      <c r="M279" s="18">
        <f t="shared" si="76"/>
        <v>208.53333333333356</v>
      </c>
      <c r="N279" s="19">
        <f t="shared" si="76"/>
        <v>141.06666666666592</v>
      </c>
      <c r="O279" s="19">
        <f t="shared" si="76"/>
        <v>153.33333333333439</v>
      </c>
      <c r="P279" s="19">
        <f t="shared" si="76"/>
        <v>160.9999999999992</v>
      </c>
      <c r="Q279" s="20">
        <f t="shared" si="76"/>
        <v>133.40000000000111</v>
      </c>
      <c r="R279" s="20">
        <f t="shared" si="76"/>
        <v>145.6666666666672</v>
      </c>
      <c r="S279" s="20">
        <f t="shared" si="76"/>
        <v>153.33333333333439</v>
      </c>
      <c r="T279" s="21">
        <f t="shared" si="76"/>
        <v>125.73333333333392</v>
      </c>
      <c r="U279" s="21">
        <f t="shared" si="75"/>
        <v>138</v>
      </c>
      <c r="V279" s="21">
        <f t="shared" si="75"/>
        <v>145.6666666666672</v>
      </c>
      <c r="W279" s="22">
        <f t="shared" si="75"/>
        <v>118.06666666666672</v>
      </c>
      <c r="X279" s="22">
        <f t="shared" si="75"/>
        <v>130.3333333333328</v>
      </c>
      <c r="Y279" s="22">
        <f t="shared" si="75"/>
        <v>138</v>
      </c>
      <c r="Z279" s="23">
        <f t="shared" si="75"/>
        <v>110.39999999999952</v>
      </c>
      <c r="AA279" s="23">
        <f t="shared" si="75"/>
        <v>122.66666666666579</v>
      </c>
      <c r="AB279" s="23">
        <f t="shared" si="75"/>
        <v>130.3333333333328</v>
      </c>
      <c r="AC279" s="24">
        <f t="shared" si="75"/>
        <v>102.73333333333329</v>
      </c>
      <c r="AD279" s="24">
        <f t="shared" si="75"/>
        <v>115.00000000000034</v>
      </c>
      <c r="AE279" s="24">
        <f t="shared" si="75"/>
        <v>122.66666666666579</v>
      </c>
      <c r="AF279" s="25">
        <f t="shared" si="75"/>
        <v>95.066666666666322</v>
      </c>
      <c r="AG279" s="25">
        <f t="shared" si="75"/>
        <v>107.3333333333336</v>
      </c>
      <c r="AH279" s="25">
        <f t="shared" si="75"/>
        <v>115.00000000000034</v>
      </c>
      <c r="AI279" s="26">
        <f t="shared" si="75"/>
        <v>87.400000000000318</v>
      </c>
      <c r="AJ279" s="26">
        <f t="shared" si="73"/>
        <v>99.666666666666401</v>
      </c>
      <c r="AK279" s="26">
        <f t="shared" si="77"/>
        <v>107.3333333333336</v>
      </c>
    </row>
    <row r="280" spans="4:37" ht="20.100000000000001" customHeight="1">
      <c r="D280" s="27">
        <f t="shared" si="72"/>
        <v>0.76944444444444227</v>
      </c>
      <c r="E280" s="16">
        <f t="shared" si="76"/>
        <v>220.06111111111159</v>
      </c>
      <c r="F280" s="16">
        <f t="shared" si="76"/>
        <v>232.37222222222107</v>
      </c>
      <c r="G280" s="16">
        <f t="shared" si="76"/>
        <v>240.06666666666604</v>
      </c>
      <c r="H280" s="17">
        <f t="shared" si="76"/>
        <v>204.67222222222296</v>
      </c>
      <c r="I280" s="17">
        <f t="shared" si="76"/>
        <v>216.98333333333255</v>
      </c>
      <c r="J280" s="17">
        <f t="shared" si="76"/>
        <v>224.67777777777721</v>
      </c>
      <c r="K280" s="18">
        <f t="shared" si="76"/>
        <v>189.28333333333302</v>
      </c>
      <c r="L280" s="18">
        <f t="shared" si="76"/>
        <v>201.59444444444378</v>
      </c>
      <c r="M280" s="18">
        <f t="shared" si="76"/>
        <v>209.28888888888912</v>
      </c>
      <c r="N280" s="19">
        <f t="shared" si="76"/>
        <v>141.57777777777704</v>
      </c>
      <c r="O280" s="19">
        <f t="shared" si="76"/>
        <v>153.88888888888994</v>
      </c>
      <c r="P280" s="19">
        <f t="shared" si="76"/>
        <v>161.58333333333255</v>
      </c>
      <c r="Q280" s="20">
        <f t="shared" si="76"/>
        <v>133.88333333333443</v>
      </c>
      <c r="R280" s="20">
        <f t="shared" si="76"/>
        <v>146.19444444444497</v>
      </c>
      <c r="S280" s="20">
        <f t="shared" si="76"/>
        <v>153.88888888888994</v>
      </c>
      <c r="T280" s="21">
        <f t="shared" si="76"/>
        <v>126.18888888888947</v>
      </c>
      <c r="U280" s="21">
        <f t="shared" si="75"/>
        <v>138.5</v>
      </c>
      <c r="V280" s="21">
        <f t="shared" si="75"/>
        <v>146.19444444444497</v>
      </c>
      <c r="W280" s="22">
        <f t="shared" si="75"/>
        <v>118.4944444444445</v>
      </c>
      <c r="X280" s="22">
        <f t="shared" si="75"/>
        <v>130.80555555555503</v>
      </c>
      <c r="Y280" s="22">
        <f t="shared" si="75"/>
        <v>138.5</v>
      </c>
      <c r="Z280" s="23">
        <f t="shared" si="75"/>
        <v>110.79999999999953</v>
      </c>
      <c r="AA280" s="23">
        <f t="shared" si="75"/>
        <v>123.11111111111023</v>
      </c>
      <c r="AB280" s="23">
        <f t="shared" si="75"/>
        <v>130.80555555555503</v>
      </c>
      <c r="AC280" s="24">
        <f t="shared" si="75"/>
        <v>103.10555555555551</v>
      </c>
      <c r="AD280" s="24">
        <f t="shared" si="75"/>
        <v>115.41666666666701</v>
      </c>
      <c r="AE280" s="24">
        <f t="shared" si="75"/>
        <v>123.11111111111023</v>
      </c>
      <c r="AF280" s="25">
        <f t="shared" si="75"/>
        <v>95.41111111111077</v>
      </c>
      <c r="AG280" s="25">
        <f t="shared" si="75"/>
        <v>107.72222222222248</v>
      </c>
      <c r="AH280" s="25">
        <f t="shared" si="75"/>
        <v>115.41666666666701</v>
      </c>
      <c r="AI280" s="26">
        <f t="shared" si="75"/>
        <v>87.716666666666981</v>
      </c>
      <c r="AJ280" s="26">
        <f t="shared" si="73"/>
        <v>100.02777777777752</v>
      </c>
      <c r="AK280" s="26">
        <f t="shared" si="77"/>
        <v>107.72222222222248</v>
      </c>
    </row>
    <row r="281" spans="4:37" ht="20.100000000000001" customHeight="1">
      <c r="D281" s="27">
        <f t="shared" si="72"/>
        <v>0.77222222222222003</v>
      </c>
      <c r="E281" s="16">
        <f t="shared" si="76"/>
        <v>220.85555555555604</v>
      </c>
      <c r="F281" s="16">
        <f t="shared" si="76"/>
        <v>233.21111111110997</v>
      </c>
      <c r="G281" s="16">
        <f t="shared" si="76"/>
        <v>240.93333333333271</v>
      </c>
      <c r="H281" s="17">
        <f t="shared" si="76"/>
        <v>205.41111111111184</v>
      </c>
      <c r="I281" s="17">
        <f t="shared" si="76"/>
        <v>217.76666666666588</v>
      </c>
      <c r="J281" s="17">
        <f t="shared" si="76"/>
        <v>225.48888888888831</v>
      </c>
      <c r="K281" s="18">
        <f t="shared" si="76"/>
        <v>189.96666666666636</v>
      </c>
      <c r="L281" s="18">
        <f t="shared" si="76"/>
        <v>202.32222222222157</v>
      </c>
      <c r="M281" s="18">
        <f t="shared" si="76"/>
        <v>210.04444444444468</v>
      </c>
      <c r="N281" s="19">
        <f t="shared" si="76"/>
        <v>142.08888888888816</v>
      </c>
      <c r="O281" s="19">
        <f t="shared" si="76"/>
        <v>154.44444444444548</v>
      </c>
      <c r="P281" s="19">
        <f t="shared" si="76"/>
        <v>162.16666666666589</v>
      </c>
      <c r="Q281" s="20">
        <f t="shared" si="76"/>
        <v>134.36666666666775</v>
      </c>
      <c r="R281" s="20">
        <f t="shared" si="76"/>
        <v>146.72222222222274</v>
      </c>
      <c r="S281" s="20">
        <f t="shared" si="76"/>
        <v>154.44444444444548</v>
      </c>
      <c r="T281" s="21">
        <f t="shared" si="76"/>
        <v>126.64444444444501</v>
      </c>
      <c r="U281" s="21">
        <f t="shared" si="75"/>
        <v>139</v>
      </c>
      <c r="V281" s="21">
        <f t="shared" si="75"/>
        <v>146.72222222222274</v>
      </c>
      <c r="W281" s="22">
        <f t="shared" si="75"/>
        <v>118.92222222222227</v>
      </c>
      <c r="X281" s="22">
        <f t="shared" si="75"/>
        <v>131.27777777777726</v>
      </c>
      <c r="Y281" s="22">
        <f t="shared" si="75"/>
        <v>139</v>
      </c>
      <c r="Z281" s="23">
        <f t="shared" si="75"/>
        <v>111.19999999999953</v>
      </c>
      <c r="AA281" s="23">
        <f t="shared" si="75"/>
        <v>123.55555555555468</v>
      </c>
      <c r="AB281" s="23">
        <f t="shared" si="75"/>
        <v>131.27777777777726</v>
      </c>
      <c r="AC281" s="24">
        <f t="shared" si="75"/>
        <v>103.47777777777773</v>
      </c>
      <c r="AD281" s="24">
        <f t="shared" si="75"/>
        <v>115.83333333333368</v>
      </c>
      <c r="AE281" s="24">
        <f t="shared" si="75"/>
        <v>123.55555555555468</v>
      </c>
      <c r="AF281" s="25">
        <f t="shared" si="75"/>
        <v>95.755555555555219</v>
      </c>
      <c r="AG281" s="25">
        <f t="shared" si="75"/>
        <v>108.11111111111137</v>
      </c>
      <c r="AH281" s="25">
        <f t="shared" si="75"/>
        <v>115.83333333333368</v>
      </c>
      <c r="AI281" s="26">
        <f t="shared" si="75"/>
        <v>88.033333333333644</v>
      </c>
      <c r="AJ281" s="26">
        <f t="shared" si="73"/>
        <v>100.38888888888863</v>
      </c>
      <c r="AK281" s="26">
        <f t="shared" si="77"/>
        <v>108.11111111111137</v>
      </c>
    </row>
    <row r="282" spans="4:37" ht="20.100000000000001" customHeight="1">
      <c r="D282" s="27">
        <f t="shared" si="72"/>
        <v>0.7749999999999978</v>
      </c>
      <c r="E282" s="16">
        <f t="shared" si="76"/>
        <v>221.65000000000049</v>
      </c>
      <c r="F282" s="16">
        <f t="shared" si="76"/>
        <v>234.04999999999887</v>
      </c>
      <c r="G282" s="16">
        <f t="shared" si="76"/>
        <v>241.79999999999939</v>
      </c>
      <c r="H282" s="17">
        <f t="shared" si="76"/>
        <v>206.15000000000072</v>
      </c>
      <c r="I282" s="17">
        <f t="shared" si="76"/>
        <v>218.54999999999922</v>
      </c>
      <c r="J282" s="17">
        <f t="shared" si="76"/>
        <v>226.29999999999941</v>
      </c>
      <c r="K282" s="18">
        <f t="shared" si="76"/>
        <v>190.64999999999969</v>
      </c>
      <c r="L282" s="18">
        <f t="shared" si="76"/>
        <v>203.04999999999936</v>
      </c>
      <c r="M282" s="18">
        <f t="shared" si="76"/>
        <v>210.80000000000024</v>
      </c>
      <c r="N282" s="19">
        <f t="shared" si="76"/>
        <v>142.59999999999928</v>
      </c>
      <c r="O282" s="19">
        <f t="shared" si="76"/>
        <v>155.00000000000102</v>
      </c>
      <c r="P282" s="19">
        <f t="shared" si="76"/>
        <v>162.74999999999923</v>
      </c>
      <c r="Q282" s="20">
        <f t="shared" si="76"/>
        <v>134.85000000000107</v>
      </c>
      <c r="R282" s="20">
        <f t="shared" si="76"/>
        <v>147.25000000000051</v>
      </c>
      <c r="S282" s="20">
        <f t="shared" si="76"/>
        <v>155.00000000000102</v>
      </c>
      <c r="T282" s="21">
        <f t="shared" si="76"/>
        <v>127.10000000000056</v>
      </c>
      <c r="U282" s="21">
        <f t="shared" si="75"/>
        <v>139.5</v>
      </c>
      <c r="V282" s="21">
        <f t="shared" si="75"/>
        <v>147.25000000000051</v>
      </c>
      <c r="W282" s="22">
        <f t="shared" si="75"/>
        <v>119.35000000000005</v>
      </c>
      <c r="X282" s="22">
        <f t="shared" si="75"/>
        <v>131.74999999999949</v>
      </c>
      <c r="Y282" s="22">
        <f t="shared" si="75"/>
        <v>139.5</v>
      </c>
      <c r="Z282" s="23">
        <f t="shared" si="75"/>
        <v>111.59999999999954</v>
      </c>
      <c r="AA282" s="23">
        <f t="shared" si="75"/>
        <v>123.99999999999912</v>
      </c>
      <c r="AB282" s="23">
        <f t="shared" si="75"/>
        <v>131.74999999999949</v>
      </c>
      <c r="AC282" s="24">
        <f t="shared" si="75"/>
        <v>103.84999999999995</v>
      </c>
      <c r="AD282" s="24">
        <f t="shared" si="75"/>
        <v>116.25000000000036</v>
      </c>
      <c r="AE282" s="24">
        <f t="shared" si="75"/>
        <v>123.99999999999912</v>
      </c>
      <c r="AF282" s="25">
        <f t="shared" si="75"/>
        <v>96.099999999999667</v>
      </c>
      <c r="AG282" s="25">
        <f t="shared" si="75"/>
        <v>108.50000000000026</v>
      </c>
      <c r="AH282" s="25">
        <f t="shared" si="75"/>
        <v>116.25000000000036</v>
      </c>
      <c r="AI282" s="26">
        <f t="shared" si="75"/>
        <v>88.350000000000307</v>
      </c>
      <c r="AJ282" s="26">
        <f t="shared" si="77"/>
        <v>100.74999999999974</v>
      </c>
      <c r="AK282" s="26">
        <f t="shared" si="77"/>
        <v>108.50000000000026</v>
      </c>
    </row>
    <row r="283" spans="4:37" ht="20.100000000000001" customHeight="1">
      <c r="D283" s="27">
        <f t="shared" si="72"/>
        <v>0.77777777777777557</v>
      </c>
      <c r="E283" s="16">
        <f t="shared" si="76"/>
        <v>222.44444444444494</v>
      </c>
      <c r="F283" s="16">
        <f t="shared" si="76"/>
        <v>234.88888888888778</v>
      </c>
      <c r="G283" s="16">
        <f t="shared" si="76"/>
        <v>242.66666666666606</v>
      </c>
      <c r="H283" s="17">
        <f t="shared" si="76"/>
        <v>206.8888888888896</v>
      </c>
      <c r="I283" s="17">
        <f t="shared" si="76"/>
        <v>219.33333333333255</v>
      </c>
      <c r="J283" s="17">
        <f t="shared" si="76"/>
        <v>227.11111111111052</v>
      </c>
      <c r="K283" s="18">
        <f t="shared" si="76"/>
        <v>191.33333333333303</v>
      </c>
      <c r="L283" s="18">
        <f t="shared" si="76"/>
        <v>203.77777777777715</v>
      </c>
      <c r="M283" s="18">
        <f t="shared" si="76"/>
        <v>211.5555555555558</v>
      </c>
      <c r="N283" s="19">
        <f t="shared" si="76"/>
        <v>143.1111111111104</v>
      </c>
      <c r="O283" s="19">
        <f t="shared" si="76"/>
        <v>155.55555555555657</v>
      </c>
      <c r="P283" s="19">
        <f t="shared" si="76"/>
        <v>163.33333333333258</v>
      </c>
      <c r="Q283" s="20">
        <f t="shared" si="76"/>
        <v>135.33333333333439</v>
      </c>
      <c r="R283" s="20">
        <f t="shared" si="76"/>
        <v>147.77777777777828</v>
      </c>
      <c r="S283" s="20">
        <f t="shared" si="76"/>
        <v>155.55555555555657</v>
      </c>
      <c r="T283" s="21">
        <f t="shared" si="76"/>
        <v>127.55555555555611</v>
      </c>
      <c r="U283" s="21">
        <f t="shared" si="75"/>
        <v>140</v>
      </c>
      <c r="V283" s="21">
        <f t="shared" si="75"/>
        <v>147.77777777777828</v>
      </c>
      <c r="W283" s="22">
        <f t="shared" si="75"/>
        <v>119.77777777777783</v>
      </c>
      <c r="X283" s="22">
        <f t="shared" si="75"/>
        <v>132.22222222222172</v>
      </c>
      <c r="Y283" s="22">
        <f t="shared" si="75"/>
        <v>140</v>
      </c>
      <c r="Z283" s="23">
        <f t="shared" si="75"/>
        <v>111.99999999999955</v>
      </c>
      <c r="AA283" s="23">
        <f t="shared" si="75"/>
        <v>124.44444444444356</v>
      </c>
      <c r="AB283" s="23">
        <f t="shared" si="75"/>
        <v>132.22222222222172</v>
      </c>
      <c r="AC283" s="24">
        <f t="shared" si="75"/>
        <v>104.22222222222217</v>
      </c>
      <c r="AD283" s="24">
        <f t="shared" si="75"/>
        <v>116.66666666666703</v>
      </c>
      <c r="AE283" s="24">
        <f t="shared" si="75"/>
        <v>124.44444444444356</v>
      </c>
      <c r="AF283" s="25">
        <f t="shared" si="75"/>
        <v>96.444444444444116</v>
      </c>
      <c r="AG283" s="25">
        <f t="shared" si="75"/>
        <v>108.88888888888914</v>
      </c>
      <c r="AH283" s="25">
        <f t="shared" si="75"/>
        <v>116.66666666666703</v>
      </c>
      <c r="AI283" s="26">
        <f t="shared" si="75"/>
        <v>88.66666666666697</v>
      </c>
      <c r="AJ283" s="26">
        <f t="shared" si="77"/>
        <v>101.11111111111086</v>
      </c>
      <c r="AK283" s="26">
        <f t="shared" si="77"/>
        <v>108.88888888888914</v>
      </c>
    </row>
    <row r="284" spans="4:37" ht="20.100000000000001" customHeight="1">
      <c r="D284" s="27">
        <f t="shared" si="72"/>
        <v>0.78055555555555334</v>
      </c>
      <c r="E284" s="16">
        <f t="shared" si="76"/>
        <v>223.23888888888939</v>
      </c>
      <c r="F284" s="16">
        <f t="shared" si="76"/>
        <v>235.72777777777668</v>
      </c>
      <c r="G284" s="16">
        <f t="shared" si="76"/>
        <v>243.53333333333273</v>
      </c>
      <c r="H284" s="17">
        <f t="shared" si="76"/>
        <v>207.62777777777848</v>
      </c>
      <c r="I284" s="17">
        <f t="shared" si="76"/>
        <v>220.11666666666588</v>
      </c>
      <c r="J284" s="17">
        <f t="shared" si="76"/>
        <v>227.92222222222162</v>
      </c>
      <c r="K284" s="18">
        <f t="shared" si="76"/>
        <v>192.01666666666637</v>
      </c>
      <c r="L284" s="18">
        <f t="shared" si="76"/>
        <v>204.50555555555493</v>
      </c>
      <c r="M284" s="18">
        <f t="shared" si="76"/>
        <v>212.31111111111136</v>
      </c>
      <c r="N284" s="19">
        <f t="shared" si="76"/>
        <v>143.62222222222152</v>
      </c>
      <c r="O284" s="19">
        <f t="shared" si="76"/>
        <v>156.11111111111211</v>
      </c>
      <c r="P284" s="19">
        <f t="shared" si="76"/>
        <v>163.91666666666592</v>
      </c>
      <c r="Q284" s="20">
        <f t="shared" si="76"/>
        <v>135.81666666666771</v>
      </c>
      <c r="R284" s="20">
        <f t="shared" si="76"/>
        <v>148.30555555555605</v>
      </c>
      <c r="S284" s="20">
        <f t="shared" si="76"/>
        <v>156.11111111111211</v>
      </c>
      <c r="T284" s="21">
        <f t="shared" si="76"/>
        <v>128.01111111111166</v>
      </c>
      <c r="U284" s="21">
        <f t="shared" si="75"/>
        <v>140.5</v>
      </c>
      <c r="V284" s="21">
        <f t="shared" si="75"/>
        <v>148.30555555555605</v>
      </c>
      <c r="W284" s="22">
        <f t="shared" si="75"/>
        <v>120.20555555555561</v>
      </c>
      <c r="X284" s="22">
        <f t="shared" si="75"/>
        <v>132.69444444444395</v>
      </c>
      <c r="Y284" s="22">
        <f t="shared" si="75"/>
        <v>140.5</v>
      </c>
      <c r="Z284" s="23">
        <f t="shared" si="75"/>
        <v>112.39999999999955</v>
      </c>
      <c r="AA284" s="23">
        <f t="shared" si="75"/>
        <v>124.888888888888</v>
      </c>
      <c r="AB284" s="23">
        <f t="shared" si="75"/>
        <v>132.69444444444395</v>
      </c>
      <c r="AC284" s="24">
        <f t="shared" si="75"/>
        <v>104.59444444444439</v>
      </c>
      <c r="AD284" s="24">
        <f t="shared" si="75"/>
        <v>117.0833333333337</v>
      </c>
      <c r="AE284" s="24">
        <f t="shared" si="75"/>
        <v>124.888888888888</v>
      </c>
      <c r="AF284" s="25">
        <f t="shared" si="75"/>
        <v>96.788888888888565</v>
      </c>
      <c r="AG284" s="25">
        <f t="shared" si="75"/>
        <v>109.27777777777803</v>
      </c>
      <c r="AH284" s="25">
        <f t="shared" si="75"/>
        <v>117.0833333333337</v>
      </c>
      <c r="AI284" s="26">
        <f t="shared" si="75"/>
        <v>88.983333333333633</v>
      </c>
      <c r="AJ284" s="26">
        <f t="shared" si="77"/>
        <v>101.47222222222197</v>
      </c>
      <c r="AK284" s="26">
        <f t="shared" si="77"/>
        <v>109.27777777777803</v>
      </c>
    </row>
    <row r="285" spans="4:37" ht="20.100000000000001" customHeight="1">
      <c r="D285" s="27">
        <f t="shared" si="72"/>
        <v>0.78333333333333111</v>
      </c>
      <c r="E285" s="16">
        <f t="shared" si="76"/>
        <v>224.03333333333384</v>
      </c>
      <c r="F285" s="16">
        <f t="shared" si="76"/>
        <v>236.56666666666558</v>
      </c>
      <c r="G285" s="16">
        <f t="shared" si="76"/>
        <v>244.39999999999941</v>
      </c>
      <c r="H285" s="17">
        <f t="shared" si="76"/>
        <v>208.36666666666736</v>
      </c>
      <c r="I285" s="17">
        <f t="shared" si="76"/>
        <v>220.89999999999921</v>
      </c>
      <c r="J285" s="17">
        <f t="shared" si="76"/>
        <v>228.73333333333272</v>
      </c>
      <c r="K285" s="18">
        <f t="shared" si="76"/>
        <v>192.6999999999997</v>
      </c>
      <c r="L285" s="18">
        <f t="shared" si="76"/>
        <v>205.23333333333272</v>
      </c>
      <c r="M285" s="18">
        <f t="shared" si="76"/>
        <v>213.06666666666692</v>
      </c>
      <c r="N285" s="19">
        <f t="shared" si="76"/>
        <v>144.13333333333264</v>
      </c>
      <c r="O285" s="19">
        <f t="shared" si="76"/>
        <v>156.66666666666765</v>
      </c>
      <c r="P285" s="19">
        <f t="shared" si="76"/>
        <v>164.49999999999926</v>
      </c>
      <c r="Q285" s="20">
        <f t="shared" si="76"/>
        <v>136.30000000000103</v>
      </c>
      <c r="R285" s="20">
        <f t="shared" si="76"/>
        <v>148.83333333333383</v>
      </c>
      <c r="S285" s="20">
        <f t="shared" si="76"/>
        <v>156.66666666666765</v>
      </c>
      <c r="T285" s="21">
        <f t="shared" si="76"/>
        <v>128.46666666666721</v>
      </c>
      <c r="U285" s="21">
        <f t="shared" si="75"/>
        <v>141</v>
      </c>
      <c r="V285" s="21">
        <f t="shared" si="75"/>
        <v>148.83333333333383</v>
      </c>
      <c r="W285" s="22">
        <f t="shared" si="75"/>
        <v>120.63333333333338</v>
      </c>
      <c r="X285" s="22">
        <f t="shared" si="75"/>
        <v>133.16666666666617</v>
      </c>
      <c r="Y285" s="22">
        <f t="shared" si="75"/>
        <v>141</v>
      </c>
      <c r="Z285" s="23">
        <f t="shared" si="75"/>
        <v>112.79999999999956</v>
      </c>
      <c r="AA285" s="23">
        <f t="shared" si="75"/>
        <v>125.33333333333245</v>
      </c>
      <c r="AB285" s="23">
        <f t="shared" si="75"/>
        <v>133.16666666666617</v>
      </c>
      <c r="AC285" s="24">
        <f t="shared" si="75"/>
        <v>104.96666666666661</v>
      </c>
      <c r="AD285" s="24">
        <f t="shared" si="75"/>
        <v>117.50000000000037</v>
      </c>
      <c r="AE285" s="24">
        <f t="shared" si="75"/>
        <v>125.33333333333245</v>
      </c>
      <c r="AF285" s="25">
        <f t="shared" si="75"/>
        <v>97.133333333333013</v>
      </c>
      <c r="AG285" s="25">
        <f t="shared" si="75"/>
        <v>109.66666666666691</v>
      </c>
      <c r="AH285" s="25">
        <f t="shared" si="75"/>
        <v>117.50000000000037</v>
      </c>
      <c r="AI285" s="26">
        <f t="shared" si="75"/>
        <v>89.300000000000296</v>
      </c>
      <c r="AJ285" s="26">
        <f t="shared" si="77"/>
        <v>101.83333333333309</v>
      </c>
      <c r="AK285" s="26">
        <f t="shared" si="77"/>
        <v>109.66666666666691</v>
      </c>
    </row>
    <row r="286" spans="4:37" ht="20.100000000000001" customHeight="1">
      <c r="D286" s="27">
        <f t="shared" si="72"/>
        <v>0.78611111111110887</v>
      </c>
      <c r="E286" s="16">
        <f t="shared" si="76"/>
        <v>224.82777777777829</v>
      </c>
      <c r="F286" s="16">
        <f t="shared" si="76"/>
        <v>237.40555555555449</v>
      </c>
      <c r="G286" s="16">
        <f t="shared" si="76"/>
        <v>245.26666666666608</v>
      </c>
      <c r="H286" s="17">
        <f t="shared" si="76"/>
        <v>209.10555555555624</v>
      </c>
      <c r="I286" s="17">
        <f t="shared" si="76"/>
        <v>221.68333333333254</v>
      </c>
      <c r="J286" s="17">
        <f t="shared" si="76"/>
        <v>229.54444444444383</v>
      </c>
      <c r="K286" s="18">
        <f t="shared" si="76"/>
        <v>193.38333333333304</v>
      </c>
      <c r="L286" s="18">
        <f t="shared" si="76"/>
        <v>205.96111111111051</v>
      </c>
      <c r="M286" s="18">
        <f t="shared" si="76"/>
        <v>213.82222222222248</v>
      </c>
      <c r="N286" s="19">
        <f t="shared" si="76"/>
        <v>144.64444444444376</v>
      </c>
      <c r="O286" s="19">
        <f t="shared" si="76"/>
        <v>157.22222222222319</v>
      </c>
      <c r="P286" s="19">
        <f t="shared" si="76"/>
        <v>165.0833333333326</v>
      </c>
      <c r="Q286" s="20">
        <f t="shared" si="76"/>
        <v>136.78333333333435</v>
      </c>
      <c r="R286" s="20">
        <f t="shared" si="76"/>
        <v>149.3611111111116</v>
      </c>
      <c r="S286" s="20">
        <f t="shared" si="76"/>
        <v>157.22222222222319</v>
      </c>
      <c r="T286" s="21">
        <f t="shared" si="76"/>
        <v>128.92222222222276</v>
      </c>
      <c r="U286" s="21">
        <f t="shared" si="75"/>
        <v>141.5</v>
      </c>
      <c r="V286" s="21">
        <f t="shared" si="75"/>
        <v>149.3611111111116</v>
      </c>
      <c r="W286" s="22">
        <f t="shared" si="75"/>
        <v>121.06111111111116</v>
      </c>
      <c r="X286" s="22">
        <f t="shared" si="75"/>
        <v>133.6388888888884</v>
      </c>
      <c r="Y286" s="22">
        <f t="shared" si="75"/>
        <v>141.5</v>
      </c>
      <c r="Z286" s="23">
        <f t="shared" si="75"/>
        <v>113.19999999999956</v>
      </c>
      <c r="AA286" s="23">
        <f t="shared" si="75"/>
        <v>125.77777777777689</v>
      </c>
      <c r="AB286" s="23">
        <f t="shared" si="75"/>
        <v>133.6388888888884</v>
      </c>
      <c r="AC286" s="24">
        <f t="shared" si="75"/>
        <v>105.33888888888883</v>
      </c>
      <c r="AD286" s="24">
        <f t="shared" si="75"/>
        <v>117.91666666666704</v>
      </c>
      <c r="AE286" s="24">
        <f t="shared" si="75"/>
        <v>125.77777777777689</v>
      </c>
      <c r="AF286" s="25">
        <f t="shared" si="75"/>
        <v>97.477777777777462</v>
      </c>
      <c r="AG286" s="25">
        <f t="shared" si="75"/>
        <v>110.0555555555558</v>
      </c>
      <c r="AH286" s="25">
        <f t="shared" si="75"/>
        <v>117.91666666666704</v>
      </c>
      <c r="AI286" s="26">
        <f t="shared" si="75"/>
        <v>89.616666666666958</v>
      </c>
      <c r="AJ286" s="26">
        <f t="shared" si="77"/>
        <v>102.1944444444442</v>
      </c>
      <c r="AK286" s="26">
        <f t="shared" si="77"/>
        <v>110.0555555555558</v>
      </c>
    </row>
    <row r="287" spans="4:37" ht="20.100000000000001" customHeight="1">
      <c r="D287" s="27">
        <f t="shared" si="72"/>
        <v>0.78888888888888664</v>
      </c>
      <c r="E287" s="16">
        <f t="shared" si="76"/>
        <v>225.62222222222275</v>
      </c>
      <c r="F287" s="16">
        <f t="shared" si="76"/>
        <v>238.24444444444339</v>
      </c>
      <c r="G287" s="16">
        <f t="shared" si="76"/>
        <v>246.13333333333276</v>
      </c>
      <c r="H287" s="17">
        <f t="shared" si="76"/>
        <v>209.84444444444512</v>
      </c>
      <c r="I287" s="17">
        <f t="shared" si="76"/>
        <v>222.46666666666587</v>
      </c>
      <c r="J287" s="17">
        <f t="shared" si="76"/>
        <v>230.35555555555493</v>
      </c>
      <c r="K287" s="18">
        <f t="shared" si="76"/>
        <v>194.06666666666638</v>
      </c>
      <c r="L287" s="18">
        <f t="shared" si="76"/>
        <v>206.6888888888883</v>
      </c>
      <c r="M287" s="18">
        <f t="shared" si="76"/>
        <v>214.57777777777804</v>
      </c>
      <c r="N287" s="19">
        <f t="shared" si="76"/>
        <v>145.15555555555488</v>
      </c>
      <c r="O287" s="19">
        <f t="shared" si="76"/>
        <v>157.77777777777874</v>
      </c>
      <c r="P287" s="19">
        <f t="shared" si="76"/>
        <v>165.66666666666595</v>
      </c>
      <c r="Q287" s="20">
        <f t="shared" si="76"/>
        <v>137.26666666666767</v>
      </c>
      <c r="R287" s="20">
        <f t="shared" si="76"/>
        <v>149.88888888888937</v>
      </c>
      <c r="S287" s="20">
        <f t="shared" si="76"/>
        <v>157.77777777777874</v>
      </c>
      <c r="T287" s="21">
        <f t="shared" si="76"/>
        <v>129.37777777777831</v>
      </c>
      <c r="U287" s="21">
        <f t="shared" si="75"/>
        <v>142</v>
      </c>
      <c r="V287" s="21">
        <f t="shared" si="75"/>
        <v>149.88888888888937</v>
      </c>
      <c r="W287" s="22">
        <f t="shared" si="75"/>
        <v>121.48888888888894</v>
      </c>
      <c r="X287" s="22">
        <f t="shared" si="75"/>
        <v>134.11111111111063</v>
      </c>
      <c r="Y287" s="22">
        <f t="shared" si="75"/>
        <v>142</v>
      </c>
      <c r="Z287" s="23">
        <f t="shared" si="75"/>
        <v>113.59999999999957</v>
      </c>
      <c r="AA287" s="23">
        <f t="shared" si="75"/>
        <v>126.22222222222133</v>
      </c>
      <c r="AB287" s="23">
        <f t="shared" si="75"/>
        <v>134.11111111111063</v>
      </c>
      <c r="AC287" s="24">
        <f t="shared" si="75"/>
        <v>105.71111111111105</v>
      </c>
      <c r="AD287" s="24">
        <f t="shared" si="75"/>
        <v>118.33333333333371</v>
      </c>
      <c r="AE287" s="24">
        <f t="shared" si="75"/>
        <v>126.22222222222133</v>
      </c>
      <c r="AF287" s="25">
        <f t="shared" si="75"/>
        <v>97.82222222222191</v>
      </c>
      <c r="AG287" s="25">
        <f t="shared" si="75"/>
        <v>110.44444444444468</v>
      </c>
      <c r="AH287" s="25">
        <f t="shared" si="75"/>
        <v>118.33333333333371</v>
      </c>
      <c r="AI287" s="26">
        <f t="shared" si="75"/>
        <v>89.933333333333621</v>
      </c>
      <c r="AJ287" s="26">
        <f t="shared" si="77"/>
        <v>102.55555555555532</v>
      </c>
      <c r="AK287" s="26">
        <f t="shared" si="77"/>
        <v>110.44444444444468</v>
      </c>
    </row>
    <row r="288" spans="4:37" ht="20.100000000000001" customHeight="1">
      <c r="D288" s="27">
        <f t="shared" si="72"/>
        <v>0.79166666666666441</v>
      </c>
      <c r="E288" s="16">
        <f t="shared" si="76"/>
        <v>226.4166666666672</v>
      </c>
      <c r="F288" s="16">
        <f t="shared" si="76"/>
        <v>239.08333333333229</v>
      </c>
      <c r="G288" s="16">
        <f t="shared" si="76"/>
        <v>246.99999999999943</v>
      </c>
      <c r="H288" s="17">
        <f t="shared" si="76"/>
        <v>210.583333333334</v>
      </c>
      <c r="I288" s="17">
        <f t="shared" si="76"/>
        <v>223.2499999999992</v>
      </c>
      <c r="J288" s="17">
        <f t="shared" si="76"/>
        <v>231.16666666666603</v>
      </c>
      <c r="K288" s="18">
        <f t="shared" si="76"/>
        <v>194.74999999999972</v>
      </c>
      <c r="L288" s="18">
        <f t="shared" si="76"/>
        <v>207.41666666666609</v>
      </c>
      <c r="M288" s="18">
        <f t="shared" si="76"/>
        <v>215.3333333333336</v>
      </c>
      <c r="N288" s="19">
        <f t="shared" si="76"/>
        <v>145.666666666666</v>
      </c>
      <c r="O288" s="19">
        <f t="shared" si="76"/>
        <v>158.33333333333428</v>
      </c>
      <c r="P288" s="19">
        <f t="shared" si="76"/>
        <v>166.24999999999929</v>
      </c>
      <c r="Q288" s="20">
        <f t="shared" si="76"/>
        <v>137.75000000000099</v>
      </c>
      <c r="R288" s="20">
        <f t="shared" si="76"/>
        <v>150.41666666666714</v>
      </c>
      <c r="S288" s="20">
        <f t="shared" si="76"/>
        <v>158.33333333333428</v>
      </c>
      <c r="T288" s="21">
        <f t="shared" si="76"/>
        <v>129.83333333333385</v>
      </c>
      <c r="U288" s="21">
        <f t="shared" si="75"/>
        <v>142.5</v>
      </c>
      <c r="V288" s="21">
        <f t="shared" si="75"/>
        <v>150.41666666666714</v>
      </c>
      <c r="W288" s="22">
        <f t="shared" si="75"/>
        <v>121.91666666666671</v>
      </c>
      <c r="X288" s="22">
        <f t="shared" si="75"/>
        <v>134.58333333333286</v>
      </c>
      <c r="Y288" s="22">
        <f t="shared" si="75"/>
        <v>142.5</v>
      </c>
      <c r="Z288" s="23">
        <f t="shared" si="75"/>
        <v>113.99999999999957</v>
      </c>
      <c r="AA288" s="23">
        <f t="shared" si="75"/>
        <v>126.66666666666578</v>
      </c>
      <c r="AB288" s="23">
        <f t="shared" si="75"/>
        <v>134.58333333333286</v>
      </c>
      <c r="AC288" s="24">
        <f t="shared" si="75"/>
        <v>106.08333333333327</v>
      </c>
      <c r="AD288" s="24">
        <f t="shared" si="75"/>
        <v>118.75000000000038</v>
      </c>
      <c r="AE288" s="24">
        <f t="shared" si="75"/>
        <v>126.66666666666578</v>
      </c>
      <c r="AF288" s="25">
        <f t="shared" si="75"/>
        <v>98.166666666666359</v>
      </c>
      <c r="AG288" s="25">
        <f t="shared" si="75"/>
        <v>110.83333333333357</v>
      </c>
      <c r="AH288" s="25">
        <f t="shared" si="75"/>
        <v>118.75000000000038</v>
      </c>
      <c r="AI288" s="26">
        <f t="shared" si="75"/>
        <v>90.250000000000284</v>
      </c>
      <c r="AJ288" s="26">
        <f t="shared" si="77"/>
        <v>102.91666666666643</v>
      </c>
      <c r="AK288" s="26">
        <f t="shared" si="77"/>
        <v>110.83333333333357</v>
      </c>
    </row>
    <row r="289" spans="4:37" ht="20.100000000000001" customHeight="1">
      <c r="D289" s="27">
        <f t="shared" si="72"/>
        <v>0.79444444444444218</v>
      </c>
      <c r="E289" s="16">
        <f t="shared" si="76"/>
        <v>227.21111111111165</v>
      </c>
      <c r="F289" s="16">
        <f t="shared" si="76"/>
        <v>239.92222222222119</v>
      </c>
      <c r="G289" s="16">
        <f t="shared" si="76"/>
        <v>247.86666666666611</v>
      </c>
      <c r="H289" s="17">
        <f t="shared" si="76"/>
        <v>211.32222222222288</v>
      </c>
      <c r="I289" s="17">
        <f t="shared" si="76"/>
        <v>224.03333333333254</v>
      </c>
      <c r="J289" s="17">
        <f t="shared" si="76"/>
        <v>231.97777777777713</v>
      </c>
      <c r="K289" s="18">
        <f t="shared" si="76"/>
        <v>195.43333333333305</v>
      </c>
      <c r="L289" s="18">
        <f t="shared" si="76"/>
        <v>208.14444444444388</v>
      </c>
      <c r="M289" s="18">
        <f t="shared" si="76"/>
        <v>216.08888888888916</v>
      </c>
      <c r="N289" s="19">
        <f t="shared" si="76"/>
        <v>146.17777777777712</v>
      </c>
      <c r="O289" s="19">
        <f t="shared" si="76"/>
        <v>158.88888888888982</v>
      </c>
      <c r="P289" s="19">
        <f t="shared" si="76"/>
        <v>166.83333333333263</v>
      </c>
      <c r="Q289" s="20">
        <f t="shared" si="76"/>
        <v>138.23333333333431</v>
      </c>
      <c r="R289" s="20">
        <f t="shared" si="76"/>
        <v>150.94444444444491</v>
      </c>
      <c r="S289" s="20">
        <f t="shared" si="76"/>
        <v>158.88888888888982</v>
      </c>
      <c r="T289" s="21">
        <f t="shared" si="76"/>
        <v>130.2888888888894</v>
      </c>
      <c r="U289" s="21">
        <f t="shared" si="75"/>
        <v>143</v>
      </c>
      <c r="V289" s="21">
        <f t="shared" si="75"/>
        <v>150.94444444444491</v>
      </c>
      <c r="W289" s="22">
        <f t="shared" si="75"/>
        <v>122.34444444444449</v>
      </c>
      <c r="X289" s="22">
        <f t="shared" si="75"/>
        <v>135.05555555555509</v>
      </c>
      <c r="Y289" s="22">
        <f t="shared" si="75"/>
        <v>143</v>
      </c>
      <c r="Z289" s="23">
        <f t="shared" si="75"/>
        <v>114.39999999999958</v>
      </c>
      <c r="AA289" s="23">
        <f t="shared" si="75"/>
        <v>127.11111111111022</v>
      </c>
      <c r="AB289" s="23">
        <f t="shared" si="75"/>
        <v>135.05555555555509</v>
      </c>
      <c r="AC289" s="24">
        <f t="shared" si="75"/>
        <v>106.45555555555549</v>
      </c>
      <c r="AD289" s="24">
        <f t="shared" si="75"/>
        <v>119.16666666666706</v>
      </c>
      <c r="AE289" s="24">
        <f t="shared" si="75"/>
        <v>127.11111111111022</v>
      </c>
      <c r="AF289" s="25">
        <f t="shared" si="75"/>
        <v>98.511111111110807</v>
      </c>
      <c r="AG289" s="25">
        <f t="shared" si="75"/>
        <v>111.22222222222246</v>
      </c>
      <c r="AH289" s="25">
        <f t="shared" si="75"/>
        <v>119.16666666666706</v>
      </c>
      <c r="AI289" s="26">
        <f t="shared" si="75"/>
        <v>90.566666666666947</v>
      </c>
      <c r="AJ289" s="26">
        <f t="shared" si="77"/>
        <v>103.27777777777754</v>
      </c>
      <c r="AK289" s="26">
        <f t="shared" si="77"/>
        <v>111.22222222222246</v>
      </c>
    </row>
    <row r="290" spans="4:37" ht="20.100000000000001" customHeight="1">
      <c r="D290" s="27">
        <f t="shared" si="72"/>
        <v>0.79722222222221995</v>
      </c>
      <c r="E290" s="16">
        <f t="shared" si="76"/>
        <v>228.0055555555561</v>
      </c>
      <c r="F290" s="16">
        <f t="shared" si="76"/>
        <v>240.7611111111101</v>
      </c>
      <c r="G290" s="16">
        <f t="shared" si="76"/>
        <v>248.73333333333278</v>
      </c>
      <c r="H290" s="17">
        <f t="shared" si="76"/>
        <v>212.06111111111176</v>
      </c>
      <c r="I290" s="17">
        <f t="shared" si="76"/>
        <v>224.81666666666587</v>
      </c>
      <c r="J290" s="17">
        <f t="shared" si="76"/>
        <v>232.78888888888824</v>
      </c>
      <c r="K290" s="18">
        <f t="shared" si="76"/>
        <v>196.11666666666639</v>
      </c>
      <c r="L290" s="18">
        <f t="shared" si="76"/>
        <v>208.87222222222167</v>
      </c>
      <c r="M290" s="18">
        <f t="shared" si="76"/>
        <v>216.84444444444472</v>
      </c>
      <c r="N290" s="19">
        <f t="shared" si="76"/>
        <v>146.68888888888824</v>
      </c>
      <c r="O290" s="19">
        <f t="shared" si="76"/>
        <v>159.44444444444537</v>
      </c>
      <c r="P290" s="19">
        <f t="shared" si="76"/>
        <v>167.41666666666598</v>
      </c>
      <c r="Q290" s="20">
        <f t="shared" si="76"/>
        <v>138.71666666666763</v>
      </c>
      <c r="R290" s="20">
        <f t="shared" si="76"/>
        <v>151.47222222222268</v>
      </c>
      <c r="S290" s="20">
        <f t="shared" si="76"/>
        <v>159.44444444444537</v>
      </c>
      <c r="T290" s="21">
        <f t="shared" si="76"/>
        <v>130.74444444444495</v>
      </c>
      <c r="U290" s="21">
        <f t="shared" si="75"/>
        <v>143.5</v>
      </c>
      <c r="V290" s="21">
        <f t="shared" si="75"/>
        <v>151.47222222222268</v>
      </c>
      <c r="W290" s="22">
        <f t="shared" si="75"/>
        <v>122.77222222222227</v>
      </c>
      <c r="X290" s="22">
        <f t="shared" si="75"/>
        <v>135.52777777777732</v>
      </c>
      <c r="Y290" s="22">
        <f t="shared" si="75"/>
        <v>143.5</v>
      </c>
      <c r="Z290" s="23">
        <f t="shared" si="75"/>
        <v>114.79999999999959</v>
      </c>
      <c r="AA290" s="23">
        <f t="shared" si="75"/>
        <v>127.55555555555466</v>
      </c>
      <c r="AB290" s="23">
        <f t="shared" si="75"/>
        <v>135.52777777777732</v>
      </c>
      <c r="AC290" s="24">
        <f t="shared" si="75"/>
        <v>106.82777777777771</v>
      </c>
      <c r="AD290" s="24">
        <f t="shared" si="75"/>
        <v>119.58333333333373</v>
      </c>
      <c r="AE290" s="24">
        <f t="shared" si="75"/>
        <v>127.55555555555466</v>
      </c>
      <c r="AF290" s="25">
        <f t="shared" si="75"/>
        <v>98.855555555555256</v>
      </c>
      <c r="AG290" s="25">
        <f t="shared" si="75"/>
        <v>111.61111111111134</v>
      </c>
      <c r="AH290" s="25">
        <f t="shared" si="75"/>
        <v>119.58333333333373</v>
      </c>
      <c r="AI290" s="26">
        <f t="shared" si="75"/>
        <v>90.88333333333361</v>
      </c>
      <c r="AJ290" s="26">
        <f t="shared" si="77"/>
        <v>103.63888888888866</v>
      </c>
      <c r="AK290" s="26">
        <f t="shared" si="77"/>
        <v>111.61111111111134</v>
      </c>
    </row>
    <row r="291" spans="4:37" ht="20.100000000000001" customHeight="1">
      <c r="D291" s="27">
        <f t="shared" si="72"/>
        <v>0.79999999999999771</v>
      </c>
      <c r="E291" s="16">
        <f t="shared" si="76"/>
        <v>228.80000000000055</v>
      </c>
      <c r="F291" s="16">
        <f t="shared" si="76"/>
        <v>241.599999999999</v>
      </c>
      <c r="G291" s="16">
        <f t="shared" si="76"/>
        <v>249.59999999999945</v>
      </c>
      <c r="H291" s="17">
        <f t="shared" si="76"/>
        <v>212.80000000000064</v>
      </c>
      <c r="I291" s="17">
        <f t="shared" si="76"/>
        <v>225.5999999999992</v>
      </c>
      <c r="J291" s="17">
        <f t="shared" si="76"/>
        <v>233.59999999999934</v>
      </c>
      <c r="K291" s="18">
        <f t="shared" si="76"/>
        <v>196.79999999999973</v>
      </c>
      <c r="L291" s="18">
        <f t="shared" si="76"/>
        <v>209.59999999999945</v>
      </c>
      <c r="M291" s="18">
        <f t="shared" si="76"/>
        <v>217.60000000000028</v>
      </c>
      <c r="N291" s="19">
        <f t="shared" si="76"/>
        <v>147.19999999999936</v>
      </c>
      <c r="O291" s="19">
        <f t="shared" si="76"/>
        <v>160.00000000000091</v>
      </c>
      <c r="P291" s="19">
        <f t="shared" si="76"/>
        <v>167.99999999999932</v>
      </c>
      <c r="Q291" s="20">
        <f t="shared" si="76"/>
        <v>139.20000000000095</v>
      </c>
      <c r="R291" s="20">
        <f t="shared" si="76"/>
        <v>152.00000000000045</v>
      </c>
      <c r="S291" s="20">
        <f t="shared" si="76"/>
        <v>160.00000000000091</v>
      </c>
      <c r="T291" s="21">
        <f t="shared" ref="T291:AI306" si="78">T292-(T$363/360)</f>
        <v>131.2000000000005</v>
      </c>
      <c r="U291" s="21">
        <f t="shared" si="78"/>
        <v>144</v>
      </c>
      <c r="V291" s="21">
        <f t="shared" si="78"/>
        <v>152.00000000000045</v>
      </c>
      <c r="W291" s="22">
        <f t="shared" si="78"/>
        <v>123.20000000000005</v>
      </c>
      <c r="X291" s="22">
        <f t="shared" si="78"/>
        <v>135.99999999999955</v>
      </c>
      <c r="Y291" s="22">
        <f t="shared" si="78"/>
        <v>144</v>
      </c>
      <c r="Z291" s="23">
        <f t="shared" si="78"/>
        <v>115.19999999999959</v>
      </c>
      <c r="AA291" s="23">
        <f t="shared" si="78"/>
        <v>127.9999999999991</v>
      </c>
      <c r="AB291" s="23">
        <f t="shared" si="78"/>
        <v>135.99999999999955</v>
      </c>
      <c r="AC291" s="24">
        <f t="shared" si="78"/>
        <v>107.19999999999993</v>
      </c>
      <c r="AD291" s="24">
        <f t="shared" si="78"/>
        <v>120.0000000000004</v>
      </c>
      <c r="AE291" s="24">
        <f t="shared" si="78"/>
        <v>127.9999999999991</v>
      </c>
      <c r="AF291" s="25">
        <f t="shared" si="78"/>
        <v>99.199999999999704</v>
      </c>
      <c r="AG291" s="25">
        <f t="shared" si="78"/>
        <v>112.00000000000023</v>
      </c>
      <c r="AH291" s="25">
        <f t="shared" si="78"/>
        <v>120.0000000000004</v>
      </c>
      <c r="AI291" s="26">
        <f t="shared" si="78"/>
        <v>91.200000000000273</v>
      </c>
      <c r="AJ291" s="26">
        <f t="shared" si="77"/>
        <v>103.99999999999977</v>
      </c>
      <c r="AK291" s="26">
        <f t="shared" si="77"/>
        <v>112.00000000000023</v>
      </c>
    </row>
    <row r="292" spans="4:37" ht="20.100000000000001" customHeight="1">
      <c r="D292" s="27">
        <f t="shared" si="72"/>
        <v>0.80277777777777548</v>
      </c>
      <c r="E292" s="16">
        <f t="shared" ref="E292:T307" si="79">E293-(E$363/360)</f>
        <v>229.594444444445</v>
      </c>
      <c r="F292" s="16">
        <f t="shared" si="79"/>
        <v>242.4388888888879</v>
      </c>
      <c r="G292" s="16">
        <f t="shared" si="79"/>
        <v>250.46666666666613</v>
      </c>
      <c r="H292" s="17">
        <f t="shared" si="79"/>
        <v>213.53888888888952</v>
      </c>
      <c r="I292" s="17">
        <f t="shared" si="79"/>
        <v>226.38333333333253</v>
      </c>
      <c r="J292" s="17">
        <f t="shared" si="79"/>
        <v>234.41111111111044</v>
      </c>
      <c r="K292" s="18">
        <f t="shared" si="79"/>
        <v>197.48333333333306</v>
      </c>
      <c r="L292" s="18">
        <f t="shared" si="79"/>
        <v>210.32777777777724</v>
      </c>
      <c r="M292" s="18">
        <f t="shared" si="79"/>
        <v>218.35555555555584</v>
      </c>
      <c r="N292" s="19">
        <f t="shared" si="79"/>
        <v>147.71111111111048</v>
      </c>
      <c r="O292" s="19">
        <f t="shared" si="79"/>
        <v>160.55555555555645</v>
      </c>
      <c r="P292" s="19">
        <f t="shared" si="79"/>
        <v>168.58333333333266</v>
      </c>
      <c r="Q292" s="20">
        <f t="shared" si="79"/>
        <v>139.68333333333428</v>
      </c>
      <c r="R292" s="20">
        <f t="shared" si="79"/>
        <v>152.52777777777823</v>
      </c>
      <c r="S292" s="20">
        <f t="shared" si="79"/>
        <v>160.55555555555645</v>
      </c>
      <c r="T292" s="21">
        <f t="shared" si="79"/>
        <v>131.65555555555605</v>
      </c>
      <c r="U292" s="21">
        <f t="shared" si="78"/>
        <v>144.5</v>
      </c>
      <c r="V292" s="21">
        <f t="shared" si="78"/>
        <v>152.52777777777823</v>
      </c>
      <c r="W292" s="22">
        <f t="shared" si="78"/>
        <v>123.62777777777782</v>
      </c>
      <c r="X292" s="22">
        <f t="shared" si="78"/>
        <v>136.47222222222177</v>
      </c>
      <c r="Y292" s="22">
        <f t="shared" si="78"/>
        <v>144.5</v>
      </c>
      <c r="Z292" s="23">
        <f t="shared" si="78"/>
        <v>115.5999999999996</v>
      </c>
      <c r="AA292" s="23">
        <f t="shared" si="78"/>
        <v>128.44444444444355</v>
      </c>
      <c r="AB292" s="23">
        <f t="shared" si="78"/>
        <v>136.47222222222177</v>
      </c>
      <c r="AC292" s="24">
        <f t="shared" si="78"/>
        <v>107.57222222222215</v>
      </c>
      <c r="AD292" s="24">
        <f t="shared" si="78"/>
        <v>120.41666666666707</v>
      </c>
      <c r="AE292" s="24">
        <f t="shared" si="78"/>
        <v>128.44444444444355</v>
      </c>
      <c r="AF292" s="25">
        <f t="shared" si="78"/>
        <v>99.544444444444153</v>
      </c>
      <c r="AG292" s="25">
        <f t="shared" si="78"/>
        <v>112.38888888888911</v>
      </c>
      <c r="AH292" s="25">
        <f t="shared" si="78"/>
        <v>120.41666666666707</v>
      </c>
      <c r="AI292" s="26">
        <f t="shared" si="78"/>
        <v>91.516666666666936</v>
      </c>
      <c r="AJ292" s="26">
        <f t="shared" si="77"/>
        <v>104.36111111111089</v>
      </c>
      <c r="AK292" s="26">
        <f t="shared" si="77"/>
        <v>112.38888888888911</v>
      </c>
    </row>
    <row r="293" spans="4:37" ht="20.100000000000001" customHeight="1">
      <c r="D293" s="27">
        <f t="shared" si="72"/>
        <v>0.80555555555555325</v>
      </c>
      <c r="E293" s="16">
        <f t="shared" si="79"/>
        <v>230.38888888888945</v>
      </c>
      <c r="F293" s="16">
        <f t="shared" si="79"/>
        <v>243.27777777777681</v>
      </c>
      <c r="G293" s="16">
        <f t="shared" si="79"/>
        <v>251.3333333333328</v>
      </c>
      <c r="H293" s="17">
        <f t="shared" si="79"/>
        <v>214.2777777777784</v>
      </c>
      <c r="I293" s="17">
        <f t="shared" si="79"/>
        <v>227.16666666666586</v>
      </c>
      <c r="J293" s="17">
        <f t="shared" si="79"/>
        <v>235.22222222222155</v>
      </c>
      <c r="K293" s="18">
        <f t="shared" si="79"/>
        <v>198.1666666666664</v>
      </c>
      <c r="L293" s="18">
        <f t="shared" si="79"/>
        <v>211.05555555555503</v>
      </c>
      <c r="M293" s="18">
        <f t="shared" si="79"/>
        <v>219.1111111111114</v>
      </c>
      <c r="N293" s="19">
        <f t="shared" si="79"/>
        <v>148.2222222222216</v>
      </c>
      <c r="O293" s="19">
        <f t="shared" si="79"/>
        <v>161.111111111112</v>
      </c>
      <c r="P293" s="19">
        <f t="shared" si="79"/>
        <v>169.166666666666</v>
      </c>
      <c r="Q293" s="20">
        <f t="shared" si="79"/>
        <v>140.1666666666676</v>
      </c>
      <c r="R293" s="20">
        <f t="shared" si="79"/>
        <v>153.055555555556</v>
      </c>
      <c r="S293" s="20">
        <f t="shared" si="79"/>
        <v>161.111111111112</v>
      </c>
      <c r="T293" s="21">
        <f t="shared" si="79"/>
        <v>132.1111111111116</v>
      </c>
      <c r="U293" s="21">
        <f t="shared" si="78"/>
        <v>145</v>
      </c>
      <c r="V293" s="21">
        <f t="shared" si="78"/>
        <v>153.055555555556</v>
      </c>
      <c r="W293" s="22">
        <f t="shared" si="78"/>
        <v>124.0555555555556</v>
      </c>
      <c r="X293" s="22">
        <f t="shared" si="78"/>
        <v>136.944444444444</v>
      </c>
      <c r="Y293" s="22">
        <f t="shared" si="78"/>
        <v>145</v>
      </c>
      <c r="Z293" s="23">
        <f t="shared" si="78"/>
        <v>115.9999999999996</v>
      </c>
      <c r="AA293" s="23">
        <f t="shared" si="78"/>
        <v>128.888888888888</v>
      </c>
      <c r="AB293" s="23">
        <f t="shared" si="78"/>
        <v>136.944444444444</v>
      </c>
      <c r="AC293" s="24">
        <f t="shared" si="78"/>
        <v>107.94444444444437</v>
      </c>
      <c r="AD293" s="24">
        <f t="shared" si="78"/>
        <v>120.83333333333374</v>
      </c>
      <c r="AE293" s="24">
        <f t="shared" si="78"/>
        <v>128.888888888888</v>
      </c>
      <c r="AF293" s="25">
        <f t="shared" si="78"/>
        <v>99.888888888888602</v>
      </c>
      <c r="AG293" s="25">
        <f t="shared" si="78"/>
        <v>112.777777777778</v>
      </c>
      <c r="AH293" s="25">
        <f t="shared" si="78"/>
        <v>120.83333333333374</v>
      </c>
      <c r="AI293" s="26">
        <f t="shared" si="78"/>
        <v>91.833333333333599</v>
      </c>
      <c r="AJ293" s="26">
        <f t="shared" si="77"/>
        <v>104.722222222222</v>
      </c>
      <c r="AK293" s="26">
        <f t="shared" si="77"/>
        <v>112.777777777778</v>
      </c>
    </row>
    <row r="294" spans="4:37" ht="20.100000000000001" customHeight="1">
      <c r="D294" s="27">
        <f t="shared" si="72"/>
        <v>0.80833333333333102</v>
      </c>
      <c r="E294" s="16">
        <f t="shared" si="79"/>
        <v>231.18333333333391</v>
      </c>
      <c r="F294" s="16">
        <f t="shared" si="79"/>
        <v>244.11666666666571</v>
      </c>
      <c r="G294" s="16">
        <f t="shared" si="79"/>
        <v>252.19999999999948</v>
      </c>
      <c r="H294" s="17">
        <f t="shared" si="79"/>
        <v>215.01666666666728</v>
      </c>
      <c r="I294" s="17">
        <f t="shared" si="79"/>
        <v>227.94999999999919</v>
      </c>
      <c r="J294" s="17">
        <f t="shared" si="79"/>
        <v>236.03333333333265</v>
      </c>
      <c r="K294" s="18">
        <f t="shared" si="79"/>
        <v>198.84999999999974</v>
      </c>
      <c r="L294" s="18">
        <f t="shared" si="79"/>
        <v>211.78333333333282</v>
      </c>
      <c r="M294" s="18">
        <f t="shared" si="79"/>
        <v>219.86666666666696</v>
      </c>
      <c r="N294" s="19">
        <f t="shared" si="79"/>
        <v>148.73333333333272</v>
      </c>
      <c r="O294" s="19">
        <f t="shared" si="79"/>
        <v>161.66666666666754</v>
      </c>
      <c r="P294" s="19">
        <f t="shared" si="79"/>
        <v>169.74999999999935</v>
      </c>
      <c r="Q294" s="20">
        <f t="shared" si="79"/>
        <v>140.65000000000092</v>
      </c>
      <c r="R294" s="20">
        <f t="shared" si="79"/>
        <v>153.58333333333377</v>
      </c>
      <c r="S294" s="20">
        <f t="shared" si="79"/>
        <v>161.66666666666754</v>
      </c>
      <c r="T294" s="21">
        <f t="shared" si="79"/>
        <v>132.56666666666715</v>
      </c>
      <c r="U294" s="21">
        <f t="shared" si="78"/>
        <v>145.5</v>
      </c>
      <c r="V294" s="21">
        <f t="shared" si="78"/>
        <v>153.58333333333377</v>
      </c>
      <c r="W294" s="22">
        <f t="shared" si="78"/>
        <v>124.48333333333338</v>
      </c>
      <c r="X294" s="22">
        <f t="shared" si="78"/>
        <v>137.41666666666623</v>
      </c>
      <c r="Y294" s="22">
        <f t="shared" si="78"/>
        <v>145.5</v>
      </c>
      <c r="Z294" s="23">
        <f t="shared" si="78"/>
        <v>116.39999999999961</v>
      </c>
      <c r="AA294" s="23">
        <f t="shared" si="78"/>
        <v>129.33333333333246</v>
      </c>
      <c r="AB294" s="23">
        <f t="shared" si="78"/>
        <v>137.41666666666623</v>
      </c>
      <c r="AC294" s="24">
        <f t="shared" si="78"/>
        <v>108.31666666666659</v>
      </c>
      <c r="AD294" s="24">
        <f t="shared" si="78"/>
        <v>121.25000000000041</v>
      </c>
      <c r="AE294" s="24">
        <f t="shared" si="78"/>
        <v>129.33333333333246</v>
      </c>
      <c r="AF294" s="25">
        <f t="shared" si="78"/>
        <v>100.23333333333305</v>
      </c>
      <c r="AG294" s="25">
        <f t="shared" si="78"/>
        <v>113.16666666666688</v>
      </c>
      <c r="AH294" s="25">
        <f t="shared" si="78"/>
        <v>121.25000000000041</v>
      </c>
      <c r="AI294" s="26">
        <f t="shared" si="78"/>
        <v>92.150000000000261</v>
      </c>
      <c r="AJ294" s="26">
        <f t="shared" si="77"/>
        <v>105.08333333333312</v>
      </c>
      <c r="AK294" s="26">
        <f t="shared" si="77"/>
        <v>113.16666666666688</v>
      </c>
    </row>
    <row r="295" spans="4:37" ht="20.100000000000001" customHeight="1">
      <c r="D295" s="27">
        <f t="shared" si="72"/>
        <v>0.81111111111110878</v>
      </c>
      <c r="E295" s="16">
        <f t="shared" si="79"/>
        <v>231.97777777777836</v>
      </c>
      <c r="F295" s="16">
        <f t="shared" si="79"/>
        <v>244.95555555555461</v>
      </c>
      <c r="G295" s="16">
        <f t="shared" si="79"/>
        <v>253.06666666666615</v>
      </c>
      <c r="H295" s="17">
        <f t="shared" si="79"/>
        <v>215.75555555555616</v>
      </c>
      <c r="I295" s="17">
        <f t="shared" si="79"/>
        <v>228.73333333333252</v>
      </c>
      <c r="J295" s="17">
        <f t="shared" si="79"/>
        <v>236.84444444444375</v>
      </c>
      <c r="K295" s="18">
        <f t="shared" si="79"/>
        <v>199.53333333333308</v>
      </c>
      <c r="L295" s="18">
        <f t="shared" si="79"/>
        <v>212.51111111111061</v>
      </c>
      <c r="M295" s="18">
        <f t="shared" si="79"/>
        <v>220.62222222222252</v>
      </c>
      <c r="N295" s="19">
        <f t="shared" si="79"/>
        <v>149.24444444444384</v>
      </c>
      <c r="O295" s="19">
        <f t="shared" si="79"/>
        <v>162.22222222222308</v>
      </c>
      <c r="P295" s="19">
        <f t="shared" si="79"/>
        <v>170.33333333333269</v>
      </c>
      <c r="Q295" s="20">
        <f t="shared" si="79"/>
        <v>141.13333333333424</v>
      </c>
      <c r="R295" s="20">
        <f t="shared" si="79"/>
        <v>154.11111111111154</v>
      </c>
      <c r="S295" s="20">
        <f t="shared" si="79"/>
        <v>162.22222222222308</v>
      </c>
      <c r="T295" s="21">
        <f t="shared" si="79"/>
        <v>133.02222222222269</v>
      </c>
      <c r="U295" s="21">
        <f t="shared" si="78"/>
        <v>146</v>
      </c>
      <c r="V295" s="21">
        <f t="shared" si="78"/>
        <v>154.11111111111154</v>
      </c>
      <c r="W295" s="22">
        <f t="shared" si="78"/>
        <v>124.91111111111115</v>
      </c>
      <c r="X295" s="22">
        <f t="shared" si="78"/>
        <v>137.88888888888846</v>
      </c>
      <c r="Y295" s="22">
        <f t="shared" si="78"/>
        <v>146</v>
      </c>
      <c r="Z295" s="23">
        <f t="shared" si="78"/>
        <v>116.79999999999961</v>
      </c>
      <c r="AA295" s="23">
        <f t="shared" si="78"/>
        <v>129.77777777777692</v>
      </c>
      <c r="AB295" s="23">
        <f t="shared" si="78"/>
        <v>137.88888888888846</v>
      </c>
      <c r="AC295" s="24">
        <f t="shared" si="78"/>
        <v>108.68888888888881</v>
      </c>
      <c r="AD295" s="24">
        <f t="shared" si="78"/>
        <v>121.66666666666708</v>
      </c>
      <c r="AE295" s="24">
        <f t="shared" si="78"/>
        <v>129.77777777777692</v>
      </c>
      <c r="AF295" s="25">
        <f t="shared" si="78"/>
        <v>100.5777777777775</v>
      </c>
      <c r="AG295" s="25">
        <f t="shared" si="78"/>
        <v>113.55555555555577</v>
      </c>
      <c r="AH295" s="25">
        <f t="shared" si="78"/>
        <v>121.66666666666708</v>
      </c>
      <c r="AI295" s="26">
        <f t="shared" si="78"/>
        <v>92.466666666666924</v>
      </c>
      <c r="AJ295" s="26">
        <f t="shared" si="77"/>
        <v>105.44444444444423</v>
      </c>
      <c r="AK295" s="26">
        <f t="shared" si="77"/>
        <v>113.55555555555577</v>
      </c>
    </row>
    <row r="296" spans="4:37" ht="20.100000000000001" customHeight="1">
      <c r="D296" s="27">
        <f t="shared" si="72"/>
        <v>0.81388888888888655</v>
      </c>
      <c r="E296" s="16">
        <f t="shared" si="79"/>
        <v>232.77222222222281</v>
      </c>
      <c r="F296" s="16">
        <f t="shared" si="79"/>
        <v>245.79444444444351</v>
      </c>
      <c r="G296" s="16">
        <f t="shared" si="79"/>
        <v>253.93333333333283</v>
      </c>
      <c r="H296" s="17">
        <f t="shared" si="79"/>
        <v>216.49444444444504</v>
      </c>
      <c r="I296" s="17">
        <f t="shared" si="79"/>
        <v>229.51666666666586</v>
      </c>
      <c r="J296" s="17">
        <f t="shared" si="79"/>
        <v>237.65555555555486</v>
      </c>
      <c r="K296" s="18">
        <f t="shared" si="79"/>
        <v>200.21666666666641</v>
      </c>
      <c r="L296" s="18">
        <f t="shared" si="79"/>
        <v>213.2388888888884</v>
      </c>
      <c r="M296" s="18">
        <f t="shared" si="79"/>
        <v>221.37777777777808</v>
      </c>
      <c r="N296" s="19">
        <f t="shared" si="79"/>
        <v>149.75555555555496</v>
      </c>
      <c r="O296" s="19">
        <f t="shared" si="79"/>
        <v>162.77777777777862</v>
      </c>
      <c r="P296" s="19">
        <f t="shared" si="79"/>
        <v>170.91666666666603</v>
      </c>
      <c r="Q296" s="20">
        <f t="shared" si="79"/>
        <v>141.61666666666756</v>
      </c>
      <c r="R296" s="20">
        <f t="shared" si="79"/>
        <v>154.63888888888931</v>
      </c>
      <c r="S296" s="20">
        <f t="shared" si="79"/>
        <v>162.77777777777862</v>
      </c>
      <c r="T296" s="21">
        <f t="shared" si="79"/>
        <v>133.47777777777824</v>
      </c>
      <c r="U296" s="21">
        <f t="shared" si="78"/>
        <v>146.5</v>
      </c>
      <c r="V296" s="21">
        <f t="shared" si="78"/>
        <v>154.63888888888931</v>
      </c>
      <c r="W296" s="22">
        <f t="shared" si="78"/>
        <v>125.33888888888893</v>
      </c>
      <c r="X296" s="22">
        <f t="shared" si="78"/>
        <v>138.36111111111069</v>
      </c>
      <c r="Y296" s="22">
        <f t="shared" si="78"/>
        <v>146.5</v>
      </c>
      <c r="Z296" s="23">
        <f t="shared" si="78"/>
        <v>117.19999999999962</v>
      </c>
      <c r="AA296" s="23">
        <f t="shared" si="78"/>
        <v>130.22222222222138</v>
      </c>
      <c r="AB296" s="23">
        <f t="shared" si="78"/>
        <v>138.36111111111069</v>
      </c>
      <c r="AC296" s="24">
        <f t="shared" si="78"/>
        <v>109.06111111111103</v>
      </c>
      <c r="AD296" s="24">
        <f t="shared" si="78"/>
        <v>122.08333333333375</v>
      </c>
      <c r="AE296" s="24">
        <f t="shared" si="78"/>
        <v>130.22222222222138</v>
      </c>
      <c r="AF296" s="25">
        <f t="shared" si="78"/>
        <v>100.92222222222195</v>
      </c>
      <c r="AG296" s="25">
        <f t="shared" si="78"/>
        <v>113.94444444444466</v>
      </c>
      <c r="AH296" s="25">
        <f t="shared" si="78"/>
        <v>122.08333333333375</v>
      </c>
      <c r="AI296" s="26">
        <f t="shared" si="78"/>
        <v>92.783333333333587</v>
      </c>
      <c r="AJ296" s="26">
        <f t="shared" si="77"/>
        <v>105.80555555555534</v>
      </c>
      <c r="AK296" s="26">
        <f t="shared" si="77"/>
        <v>113.94444444444466</v>
      </c>
    </row>
    <row r="297" spans="4:37" ht="20.100000000000001" customHeight="1">
      <c r="D297" s="27">
        <f t="shared" si="72"/>
        <v>0.81666666666666432</v>
      </c>
      <c r="E297" s="16">
        <f t="shared" si="79"/>
        <v>233.56666666666726</v>
      </c>
      <c r="F297" s="16">
        <f t="shared" si="79"/>
        <v>246.63333333333242</v>
      </c>
      <c r="G297" s="16">
        <f t="shared" si="79"/>
        <v>254.7999999999995</v>
      </c>
      <c r="H297" s="17">
        <f t="shared" si="79"/>
        <v>217.23333333333392</v>
      </c>
      <c r="I297" s="17">
        <f t="shared" si="79"/>
        <v>230.29999999999919</v>
      </c>
      <c r="J297" s="17">
        <f t="shared" si="79"/>
        <v>238.46666666666596</v>
      </c>
      <c r="K297" s="18">
        <f t="shared" si="79"/>
        <v>200.89999999999975</v>
      </c>
      <c r="L297" s="18">
        <f t="shared" si="79"/>
        <v>213.96666666666619</v>
      </c>
      <c r="M297" s="18">
        <f t="shared" si="79"/>
        <v>222.13333333333364</v>
      </c>
      <c r="N297" s="19">
        <f t="shared" si="79"/>
        <v>150.26666666666608</v>
      </c>
      <c r="O297" s="19">
        <f t="shared" si="79"/>
        <v>163.33333333333417</v>
      </c>
      <c r="P297" s="19">
        <f t="shared" si="79"/>
        <v>171.49999999999937</v>
      </c>
      <c r="Q297" s="20">
        <f t="shared" si="79"/>
        <v>142.10000000000088</v>
      </c>
      <c r="R297" s="20">
        <f t="shared" si="79"/>
        <v>155.16666666666708</v>
      </c>
      <c r="S297" s="20">
        <f t="shared" si="79"/>
        <v>163.33333333333417</v>
      </c>
      <c r="T297" s="21">
        <f t="shared" si="79"/>
        <v>133.93333333333379</v>
      </c>
      <c r="U297" s="21">
        <f t="shared" si="78"/>
        <v>147</v>
      </c>
      <c r="V297" s="21">
        <f t="shared" si="78"/>
        <v>155.16666666666708</v>
      </c>
      <c r="W297" s="22">
        <f t="shared" si="78"/>
        <v>125.76666666666671</v>
      </c>
      <c r="X297" s="22">
        <f t="shared" si="78"/>
        <v>138.83333333333292</v>
      </c>
      <c r="Y297" s="22">
        <f t="shared" si="78"/>
        <v>147</v>
      </c>
      <c r="Z297" s="23">
        <f t="shared" si="78"/>
        <v>117.59999999999962</v>
      </c>
      <c r="AA297" s="23">
        <f t="shared" si="78"/>
        <v>130.66666666666583</v>
      </c>
      <c r="AB297" s="23">
        <f t="shared" si="78"/>
        <v>138.83333333333292</v>
      </c>
      <c r="AC297" s="24">
        <f t="shared" si="78"/>
        <v>109.43333333333325</v>
      </c>
      <c r="AD297" s="24">
        <f t="shared" si="78"/>
        <v>122.50000000000043</v>
      </c>
      <c r="AE297" s="24">
        <f t="shared" si="78"/>
        <v>130.66666666666583</v>
      </c>
      <c r="AF297" s="25">
        <f t="shared" si="78"/>
        <v>101.2666666666664</v>
      </c>
      <c r="AG297" s="25">
        <f t="shared" si="78"/>
        <v>114.33333333333354</v>
      </c>
      <c r="AH297" s="25">
        <f t="shared" si="78"/>
        <v>122.50000000000043</v>
      </c>
      <c r="AI297" s="26">
        <f t="shared" si="78"/>
        <v>93.10000000000025</v>
      </c>
      <c r="AJ297" s="26">
        <f t="shared" si="77"/>
        <v>106.16666666666646</v>
      </c>
      <c r="AK297" s="26">
        <f t="shared" si="77"/>
        <v>114.33333333333354</v>
      </c>
    </row>
    <row r="298" spans="4:37" ht="20.100000000000001" customHeight="1">
      <c r="D298" s="27">
        <f t="shared" si="72"/>
        <v>0.81944444444444209</v>
      </c>
      <c r="E298" s="16">
        <f t="shared" si="79"/>
        <v>234.36111111111171</v>
      </c>
      <c r="F298" s="16">
        <f t="shared" si="79"/>
        <v>247.47222222222132</v>
      </c>
      <c r="G298" s="16">
        <f t="shared" si="79"/>
        <v>255.66666666666617</v>
      </c>
      <c r="H298" s="17">
        <f t="shared" si="79"/>
        <v>217.9722222222228</v>
      </c>
      <c r="I298" s="17">
        <f t="shared" si="79"/>
        <v>231.08333333333252</v>
      </c>
      <c r="J298" s="17">
        <f t="shared" si="79"/>
        <v>239.27777777777706</v>
      </c>
      <c r="K298" s="18">
        <f t="shared" si="79"/>
        <v>201.58333333333309</v>
      </c>
      <c r="L298" s="18">
        <f t="shared" si="79"/>
        <v>214.69444444444397</v>
      </c>
      <c r="M298" s="18">
        <f t="shared" si="79"/>
        <v>222.8888888888892</v>
      </c>
      <c r="N298" s="19">
        <f t="shared" si="79"/>
        <v>150.7777777777772</v>
      </c>
      <c r="O298" s="19">
        <f t="shared" si="79"/>
        <v>163.88888888888971</v>
      </c>
      <c r="P298" s="19">
        <f t="shared" si="79"/>
        <v>172.08333333333272</v>
      </c>
      <c r="Q298" s="20">
        <f t="shared" si="79"/>
        <v>142.5833333333342</v>
      </c>
      <c r="R298" s="20">
        <f t="shared" si="79"/>
        <v>155.69444444444485</v>
      </c>
      <c r="S298" s="20">
        <f t="shared" si="79"/>
        <v>163.88888888888971</v>
      </c>
      <c r="T298" s="21">
        <f t="shared" si="79"/>
        <v>134.38888888888934</v>
      </c>
      <c r="U298" s="21">
        <f t="shared" si="78"/>
        <v>147.5</v>
      </c>
      <c r="V298" s="21">
        <f t="shared" si="78"/>
        <v>155.69444444444485</v>
      </c>
      <c r="W298" s="22">
        <f t="shared" si="78"/>
        <v>126.19444444444449</v>
      </c>
      <c r="X298" s="22">
        <f t="shared" si="78"/>
        <v>139.30555555555515</v>
      </c>
      <c r="Y298" s="22">
        <f t="shared" si="78"/>
        <v>147.5</v>
      </c>
      <c r="Z298" s="23">
        <f t="shared" si="78"/>
        <v>117.99999999999963</v>
      </c>
      <c r="AA298" s="23">
        <f t="shared" si="78"/>
        <v>131.11111111111029</v>
      </c>
      <c r="AB298" s="23">
        <f t="shared" si="78"/>
        <v>139.30555555555515</v>
      </c>
      <c r="AC298" s="24">
        <f t="shared" si="78"/>
        <v>109.80555555555547</v>
      </c>
      <c r="AD298" s="24">
        <f t="shared" si="78"/>
        <v>122.9166666666671</v>
      </c>
      <c r="AE298" s="24">
        <f t="shared" si="78"/>
        <v>131.11111111111029</v>
      </c>
      <c r="AF298" s="25">
        <f t="shared" si="78"/>
        <v>101.61111111111084</v>
      </c>
      <c r="AG298" s="25">
        <f t="shared" si="78"/>
        <v>114.72222222222243</v>
      </c>
      <c r="AH298" s="25">
        <f t="shared" si="78"/>
        <v>122.9166666666671</v>
      </c>
      <c r="AI298" s="26">
        <f t="shared" si="78"/>
        <v>93.416666666666913</v>
      </c>
      <c r="AJ298" s="26">
        <f t="shared" si="77"/>
        <v>106.52777777777757</v>
      </c>
      <c r="AK298" s="26">
        <f t="shared" si="77"/>
        <v>114.72222222222243</v>
      </c>
    </row>
    <row r="299" spans="4:37" ht="20.100000000000001" customHeight="1">
      <c r="D299" s="27">
        <f t="shared" si="72"/>
        <v>0.82222222222221986</v>
      </c>
      <c r="E299" s="16">
        <f t="shared" si="79"/>
        <v>235.15555555555616</v>
      </c>
      <c r="F299" s="16">
        <f t="shared" si="79"/>
        <v>248.31111111111022</v>
      </c>
      <c r="G299" s="16">
        <f t="shared" si="79"/>
        <v>256.53333333333285</v>
      </c>
      <c r="H299" s="17">
        <f t="shared" si="79"/>
        <v>218.71111111111168</v>
      </c>
      <c r="I299" s="17">
        <f t="shared" si="79"/>
        <v>231.86666666666585</v>
      </c>
      <c r="J299" s="17">
        <f t="shared" si="79"/>
        <v>240.08888888888816</v>
      </c>
      <c r="K299" s="18">
        <f t="shared" si="79"/>
        <v>202.26666666666642</v>
      </c>
      <c r="L299" s="18">
        <f t="shared" si="79"/>
        <v>215.42222222222176</v>
      </c>
      <c r="M299" s="18">
        <f t="shared" si="79"/>
        <v>223.64444444444476</v>
      </c>
      <c r="N299" s="19">
        <f t="shared" si="79"/>
        <v>151.28888888888832</v>
      </c>
      <c r="O299" s="19">
        <f t="shared" si="79"/>
        <v>164.44444444444525</v>
      </c>
      <c r="P299" s="19">
        <f t="shared" si="79"/>
        <v>172.66666666666606</v>
      </c>
      <c r="Q299" s="20">
        <f t="shared" si="79"/>
        <v>143.06666666666752</v>
      </c>
      <c r="R299" s="20">
        <f t="shared" si="79"/>
        <v>156.22222222222263</v>
      </c>
      <c r="S299" s="20">
        <f t="shared" si="79"/>
        <v>164.44444444444525</v>
      </c>
      <c r="T299" s="21">
        <f t="shared" si="79"/>
        <v>134.84444444444489</v>
      </c>
      <c r="U299" s="21">
        <f t="shared" si="78"/>
        <v>148</v>
      </c>
      <c r="V299" s="21">
        <f t="shared" si="78"/>
        <v>156.22222222222263</v>
      </c>
      <c r="W299" s="22">
        <f t="shared" si="78"/>
        <v>126.62222222222226</v>
      </c>
      <c r="X299" s="22">
        <f t="shared" si="78"/>
        <v>139.77777777777737</v>
      </c>
      <c r="Y299" s="22">
        <f t="shared" si="78"/>
        <v>148</v>
      </c>
      <c r="Z299" s="23">
        <f t="shared" si="78"/>
        <v>118.39999999999964</v>
      </c>
      <c r="AA299" s="23">
        <f t="shared" si="78"/>
        <v>131.55555555555475</v>
      </c>
      <c r="AB299" s="23">
        <f t="shared" si="78"/>
        <v>139.77777777777737</v>
      </c>
      <c r="AC299" s="24">
        <f t="shared" si="78"/>
        <v>110.17777777777769</v>
      </c>
      <c r="AD299" s="24">
        <f t="shared" si="78"/>
        <v>123.33333333333377</v>
      </c>
      <c r="AE299" s="24">
        <f t="shared" si="78"/>
        <v>131.55555555555475</v>
      </c>
      <c r="AF299" s="25">
        <f t="shared" si="78"/>
        <v>101.95555555555529</v>
      </c>
      <c r="AG299" s="25">
        <f t="shared" si="78"/>
        <v>115.11111111111131</v>
      </c>
      <c r="AH299" s="25">
        <f t="shared" si="78"/>
        <v>123.33333333333377</v>
      </c>
      <c r="AI299" s="26">
        <f t="shared" si="78"/>
        <v>93.733333333333576</v>
      </c>
      <c r="AJ299" s="26">
        <f t="shared" si="77"/>
        <v>106.88888888888869</v>
      </c>
      <c r="AK299" s="26">
        <f t="shared" si="77"/>
        <v>115.11111111111131</v>
      </c>
    </row>
    <row r="300" spans="4:37" ht="20.100000000000001" customHeight="1">
      <c r="D300" s="27">
        <f t="shared" si="72"/>
        <v>0.82499999999999762</v>
      </c>
      <c r="E300" s="16">
        <f t="shared" si="79"/>
        <v>235.95000000000061</v>
      </c>
      <c r="F300" s="16">
        <f t="shared" si="79"/>
        <v>249.14999999999912</v>
      </c>
      <c r="G300" s="16">
        <f t="shared" si="79"/>
        <v>257.39999999999952</v>
      </c>
      <c r="H300" s="17">
        <f t="shared" si="79"/>
        <v>219.45000000000056</v>
      </c>
      <c r="I300" s="17">
        <f t="shared" si="79"/>
        <v>232.64999999999918</v>
      </c>
      <c r="J300" s="17">
        <f t="shared" si="79"/>
        <v>240.89999999999927</v>
      </c>
      <c r="K300" s="18">
        <f t="shared" si="79"/>
        <v>202.94999999999976</v>
      </c>
      <c r="L300" s="18">
        <f t="shared" si="79"/>
        <v>216.14999999999955</v>
      </c>
      <c r="M300" s="18">
        <f t="shared" si="79"/>
        <v>224.40000000000032</v>
      </c>
      <c r="N300" s="19">
        <f t="shared" si="79"/>
        <v>151.79999999999944</v>
      </c>
      <c r="O300" s="19">
        <f t="shared" si="79"/>
        <v>165.0000000000008</v>
      </c>
      <c r="P300" s="19">
        <f t="shared" si="79"/>
        <v>173.2499999999994</v>
      </c>
      <c r="Q300" s="20">
        <f t="shared" si="79"/>
        <v>143.55000000000084</v>
      </c>
      <c r="R300" s="20">
        <f t="shared" si="79"/>
        <v>156.7500000000004</v>
      </c>
      <c r="S300" s="20">
        <f t="shared" si="79"/>
        <v>165.0000000000008</v>
      </c>
      <c r="T300" s="21">
        <f t="shared" si="79"/>
        <v>135.30000000000044</v>
      </c>
      <c r="U300" s="21">
        <f t="shared" si="78"/>
        <v>148.5</v>
      </c>
      <c r="V300" s="21">
        <f t="shared" si="78"/>
        <v>156.7500000000004</v>
      </c>
      <c r="W300" s="22">
        <f t="shared" si="78"/>
        <v>127.05000000000004</v>
      </c>
      <c r="X300" s="22">
        <f t="shared" si="78"/>
        <v>140.2499999999996</v>
      </c>
      <c r="Y300" s="22">
        <f t="shared" si="78"/>
        <v>148.5</v>
      </c>
      <c r="Z300" s="23">
        <f t="shared" si="78"/>
        <v>118.79999999999964</v>
      </c>
      <c r="AA300" s="23">
        <f t="shared" si="78"/>
        <v>131.9999999999992</v>
      </c>
      <c r="AB300" s="23">
        <f t="shared" si="78"/>
        <v>140.2499999999996</v>
      </c>
      <c r="AC300" s="24">
        <f t="shared" si="78"/>
        <v>110.54999999999991</v>
      </c>
      <c r="AD300" s="24">
        <f t="shared" si="78"/>
        <v>123.75000000000044</v>
      </c>
      <c r="AE300" s="24">
        <f t="shared" si="78"/>
        <v>131.9999999999992</v>
      </c>
      <c r="AF300" s="25">
        <f t="shared" si="78"/>
        <v>102.29999999999974</v>
      </c>
      <c r="AG300" s="25">
        <f t="shared" si="78"/>
        <v>115.5000000000002</v>
      </c>
      <c r="AH300" s="25">
        <f t="shared" si="78"/>
        <v>123.75000000000044</v>
      </c>
      <c r="AI300" s="26">
        <f t="shared" si="78"/>
        <v>94.050000000000239</v>
      </c>
      <c r="AJ300" s="26">
        <f t="shared" ref="AJ300:AK306" si="80">AJ301-(AJ$363/360)</f>
        <v>107.2499999999998</v>
      </c>
      <c r="AK300" s="26">
        <f t="shared" si="80"/>
        <v>115.5000000000002</v>
      </c>
    </row>
    <row r="301" spans="4:37" ht="20.100000000000001" customHeight="1">
      <c r="D301" s="27">
        <f t="shared" si="72"/>
        <v>0.82777777777777539</v>
      </c>
      <c r="E301" s="16">
        <f t="shared" si="79"/>
        <v>236.74444444444507</v>
      </c>
      <c r="F301" s="16">
        <f t="shared" si="79"/>
        <v>249.98888888888803</v>
      </c>
      <c r="G301" s="16">
        <f t="shared" si="79"/>
        <v>258.2666666666662</v>
      </c>
      <c r="H301" s="17">
        <f t="shared" si="79"/>
        <v>220.18888888888944</v>
      </c>
      <c r="I301" s="17">
        <f t="shared" si="79"/>
        <v>233.43333333333251</v>
      </c>
      <c r="J301" s="17">
        <f t="shared" si="79"/>
        <v>241.71111111111037</v>
      </c>
      <c r="K301" s="18">
        <f t="shared" si="79"/>
        <v>203.6333333333331</v>
      </c>
      <c r="L301" s="18">
        <f t="shared" si="79"/>
        <v>216.87777777777734</v>
      </c>
      <c r="M301" s="18">
        <f t="shared" si="79"/>
        <v>225.15555555555588</v>
      </c>
      <c r="N301" s="19">
        <f t="shared" si="79"/>
        <v>152.31111111111056</v>
      </c>
      <c r="O301" s="19">
        <f t="shared" si="79"/>
        <v>165.55555555555634</v>
      </c>
      <c r="P301" s="19">
        <f t="shared" si="79"/>
        <v>173.83333333333275</v>
      </c>
      <c r="Q301" s="20">
        <f t="shared" si="79"/>
        <v>144.03333333333416</v>
      </c>
      <c r="R301" s="20">
        <f t="shared" si="79"/>
        <v>157.27777777777817</v>
      </c>
      <c r="S301" s="20">
        <f t="shared" si="79"/>
        <v>165.55555555555634</v>
      </c>
      <c r="T301" s="21">
        <f t="shared" si="79"/>
        <v>135.75555555555599</v>
      </c>
      <c r="U301" s="21">
        <f t="shared" si="78"/>
        <v>149</v>
      </c>
      <c r="V301" s="21">
        <f t="shared" si="78"/>
        <v>157.27777777777817</v>
      </c>
      <c r="W301" s="22">
        <f t="shared" si="78"/>
        <v>127.47777777777782</v>
      </c>
      <c r="X301" s="22">
        <f t="shared" si="78"/>
        <v>140.72222222222183</v>
      </c>
      <c r="Y301" s="22">
        <f t="shared" si="78"/>
        <v>149</v>
      </c>
      <c r="Z301" s="23">
        <f t="shared" si="78"/>
        <v>119.19999999999965</v>
      </c>
      <c r="AA301" s="23">
        <f t="shared" si="78"/>
        <v>132.44444444444366</v>
      </c>
      <c r="AB301" s="23">
        <f t="shared" si="78"/>
        <v>140.72222222222183</v>
      </c>
      <c r="AC301" s="24">
        <f t="shared" si="78"/>
        <v>110.92222222222213</v>
      </c>
      <c r="AD301" s="24">
        <f t="shared" si="78"/>
        <v>124.16666666666711</v>
      </c>
      <c r="AE301" s="24">
        <f t="shared" si="78"/>
        <v>132.44444444444366</v>
      </c>
      <c r="AF301" s="25">
        <f t="shared" si="78"/>
        <v>102.64444444444419</v>
      </c>
      <c r="AG301" s="25">
        <f t="shared" si="78"/>
        <v>115.88888888888908</v>
      </c>
      <c r="AH301" s="25">
        <f t="shared" si="78"/>
        <v>124.16666666666711</v>
      </c>
      <c r="AI301" s="26">
        <f t="shared" si="78"/>
        <v>94.366666666666902</v>
      </c>
      <c r="AJ301" s="26">
        <f t="shared" si="80"/>
        <v>107.61111111111092</v>
      </c>
      <c r="AK301" s="26">
        <f t="shared" si="80"/>
        <v>115.88888888888908</v>
      </c>
    </row>
    <row r="302" spans="4:37" ht="20.100000000000001" customHeight="1">
      <c r="D302" s="27">
        <f t="shared" si="72"/>
        <v>0.83055555555555316</v>
      </c>
      <c r="E302" s="16">
        <f t="shared" si="79"/>
        <v>237.53888888888952</v>
      </c>
      <c r="F302" s="16">
        <f t="shared" si="79"/>
        <v>250.82777777777693</v>
      </c>
      <c r="G302" s="16">
        <f t="shared" si="79"/>
        <v>259.13333333333287</v>
      </c>
      <c r="H302" s="17">
        <f t="shared" si="79"/>
        <v>220.92777777777832</v>
      </c>
      <c r="I302" s="17">
        <f t="shared" si="79"/>
        <v>234.21666666666584</v>
      </c>
      <c r="J302" s="17">
        <f t="shared" si="79"/>
        <v>242.52222222222147</v>
      </c>
      <c r="K302" s="18">
        <f t="shared" si="79"/>
        <v>204.31666666666644</v>
      </c>
      <c r="L302" s="18">
        <f t="shared" si="79"/>
        <v>217.60555555555513</v>
      </c>
      <c r="M302" s="18">
        <f t="shared" si="79"/>
        <v>225.91111111111144</v>
      </c>
      <c r="N302" s="19">
        <f t="shared" si="79"/>
        <v>152.82222222222168</v>
      </c>
      <c r="O302" s="19">
        <f t="shared" si="79"/>
        <v>166.11111111111188</v>
      </c>
      <c r="P302" s="19">
        <f t="shared" si="79"/>
        <v>174.41666666666609</v>
      </c>
      <c r="Q302" s="20">
        <f t="shared" si="79"/>
        <v>144.51666666666748</v>
      </c>
      <c r="R302" s="20">
        <f t="shared" si="79"/>
        <v>157.80555555555594</v>
      </c>
      <c r="S302" s="20">
        <f t="shared" si="79"/>
        <v>166.11111111111188</v>
      </c>
      <c r="T302" s="21">
        <f t="shared" si="79"/>
        <v>136.21111111111153</v>
      </c>
      <c r="U302" s="21">
        <f t="shared" si="78"/>
        <v>149.5</v>
      </c>
      <c r="V302" s="21">
        <f t="shared" si="78"/>
        <v>157.80555555555594</v>
      </c>
      <c r="W302" s="22">
        <f t="shared" si="78"/>
        <v>127.90555555555559</v>
      </c>
      <c r="X302" s="22">
        <f t="shared" si="78"/>
        <v>141.19444444444406</v>
      </c>
      <c r="Y302" s="22">
        <f t="shared" si="78"/>
        <v>149.5</v>
      </c>
      <c r="Z302" s="23">
        <f t="shared" si="78"/>
        <v>119.59999999999965</v>
      </c>
      <c r="AA302" s="23">
        <f t="shared" si="78"/>
        <v>132.88888888888812</v>
      </c>
      <c r="AB302" s="23">
        <f t="shared" si="78"/>
        <v>141.19444444444406</v>
      </c>
      <c r="AC302" s="24">
        <f t="shared" si="78"/>
        <v>111.29444444444435</v>
      </c>
      <c r="AD302" s="24">
        <f t="shared" si="78"/>
        <v>124.58333333333378</v>
      </c>
      <c r="AE302" s="24">
        <f t="shared" si="78"/>
        <v>132.88888888888812</v>
      </c>
      <c r="AF302" s="25">
        <f t="shared" si="78"/>
        <v>102.98888888888864</v>
      </c>
      <c r="AG302" s="25">
        <f t="shared" si="78"/>
        <v>116.27777777777797</v>
      </c>
      <c r="AH302" s="25">
        <f t="shared" si="78"/>
        <v>124.58333333333378</v>
      </c>
      <c r="AI302" s="26">
        <f t="shared" si="78"/>
        <v>94.683333333333564</v>
      </c>
      <c r="AJ302" s="26">
        <f t="shared" si="80"/>
        <v>107.97222222222203</v>
      </c>
      <c r="AK302" s="26">
        <f t="shared" si="80"/>
        <v>116.27777777777797</v>
      </c>
    </row>
    <row r="303" spans="4:37" ht="20.100000000000001" customHeight="1">
      <c r="D303" s="27">
        <f t="shared" si="72"/>
        <v>0.83333333333333093</v>
      </c>
      <c r="E303" s="16">
        <f t="shared" si="79"/>
        <v>238.33333333333397</v>
      </c>
      <c r="F303" s="16">
        <f t="shared" si="79"/>
        <v>251.66666666666583</v>
      </c>
      <c r="G303" s="16">
        <f t="shared" si="79"/>
        <v>259.99999999999955</v>
      </c>
      <c r="H303" s="17">
        <f t="shared" si="79"/>
        <v>221.6666666666672</v>
      </c>
      <c r="I303" s="17">
        <f t="shared" si="79"/>
        <v>234.99999999999918</v>
      </c>
      <c r="J303" s="17">
        <f t="shared" si="79"/>
        <v>243.33333333333258</v>
      </c>
      <c r="K303" s="18">
        <f t="shared" si="79"/>
        <v>204.99999999999977</v>
      </c>
      <c r="L303" s="18">
        <f t="shared" si="79"/>
        <v>218.33333333333292</v>
      </c>
      <c r="M303" s="18">
        <f t="shared" si="79"/>
        <v>226.666666666667</v>
      </c>
      <c r="N303" s="19">
        <f t="shared" si="79"/>
        <v>153.3333333333328</v>
      </c>
      <c r="O303" s="19">
        <f t="shared" si="79"/>
        <v>166.66666666666742</v>
      </c>
      <c r="P303" s="19">
        <f t="shared" si="79"/>
        <v>174.99999999999943</v>
      </c>
      <c r="Q303" s="20">
        <f t="shared" si="79"/>
        <v>145.0000000000008</v>
      </c>
      <c r="R303" s="20">
        <f t="shared" si="79"/>
        <v>158.33333333333371</v>
      </c>
      <c r="S303" s="20">
        <f t="shared" si="79"/>
        <v>166.66666666666742</v>
      </c>
      <c r="T303" s="21">
        <f t="shared" si="79"/>
        <v>136.66666666666708</v>
      </c>
      <c r="U303" s="21">
        <f t="shared" si="78"/>
        <v>150</v>
      </c>
      <c r="V303" s="21">
        <f t="shared" si="78"/>
        <v>158.33333333333371</v>
      </c>
      <c r="W303" s="22">
        <f t="shared" si="78"/>
        <v>128.33333333333337</v>
      </c>
      <c r="X303" s="22">
        <f t="shared" si="78"/>
        <v>141.66666666666629</v>
      </c>
      <c r="Y303" s="22">
        <f t="shared" si="78"/>
        <v>150</v>
      </c>
      <c r="Z303" s="23">
        <f t="shared" si="78"/>
        <v>119.99999999999966</v>
      </c>
      <c r="AA303" s="23">
        <f t="shared" si="78"/>
        <v>133.33333333333258</v>
      </c>
      <c r="AB303" s="23">
        <f t="shared" si="78"/>
        <v>141.66666666666629</v>
      </c>
      <c r="AC303" s="24">
        <f t="shared" si="78"/>
        <v>111.66666666666657</v>
      </c>
      <c r="AD303" s="24">
        <f t="shared" si="78"/>
        <v>125.00000000000045</v>
      </c>
      <c r="AE303" s="24">
        <f t="shared" si="78"/>
        <v>133.33333333333258</v>
      </c>
      <c r="AF303" s="25">
        <f t="shared" si="78"/>
        <v>103.33333333333309</v>
      </c>
      <c r="AG303" s="25">
        <f t="shared" si="78"/>
        <v>116.66666666666686</v>
      </c>
      <c r="AH303" s="25">
        <f t="shared" si="78"/>
        <v>125.00000000000045</v>
      </c>
      <c r="AI303" s="26">
        <f t="shared" si="78"/>
        <v>95.000000000000227</v>
      </c>
      <c r="AJ303" s="26">
        <f t="shared" si="80"/>
        <v>108.33333333333314</v>
      </c>
      <c r="AK303" s="26">
        <f t="shared" si="80"/>
        <v>116.66666666666686</v>
      </c>
    </row>
    <row r="304" spans="4:37" ht="20.100000000000001" customHeight="1">
      <c r="D304" s="27">
        <f t="shared" si="72"/>
        <v>0.8361111111111087</v>
      </c>
      <c r="E304" s="16">
        <f t="shared" si="79"/>
        <v>239.12777777777842</v>
      </c>
      <c r="F304" s="16">
        <f t="shared" si="79"/>
        <v>252.50555555555474</v>
      </c>
      <c r="G304" s="16">
        <f t="shared" si="79"/>
        <v>260.86666666666622</v>
      </c>
      <c r="H304" s="17">
        <f t="shared" si="79"/>
        <v>222.40555555555608</v>
      </c>
      <c r="I304" s="17">
        <f t="shared" si="79"/>
        <v>235.78333333333251</v>
      </c>
      <c r="J304" s="17">
        <f t="shared" si="79"/>
        <v>244.14444444444368</v>
      </c>
      <c r="K304" s="18">
        <f t="shared" si="79"/>
        <v>205.68333333333311</v>
      </c>
      <c r="L304" s="18">
        <f t="shared" si="79"/>
        <v>219.0611111111107</v>
      </c>
      <c r="M304" s="18">
        <f t="shared" si="79"/>
        <v>227.42222222222256</v>
      </c>
      <c r="N304" s="19">
        <f t="shared" si="79"/>
        <v>153.84444444444392</v>
      </c>
      <c r="O304" s="19">
        <f t="shared" si="79"/>
        <v>167.22222222222297</v>
      </c>
      <c r="P304" s="19">
        <f t="shared" si="79"/>
        <v>175.58333333333277</v>
      </c>
      <c r="Q304" s="20">
        <f t="shared" si="79"/>
        <v>145.48333333333412</v>
      </c>
      <c r="R304" s="20">
        <f t="shared" si="79"/>
        <v>158.86111111111148</v>
      </c>
      <c r="S304" s="20">
        <f t="shared" si="79"/>
        <v>167.22222222222297</v>
      </c>
      <c r="T304" s="21">
        <f t="shared" si="79"/>
        <v>137.12222222222263</v>
      </c>
      <c r="U304" s="21">
        <f t="shared" si="78"/>
        <v>150.5</v>
      </c>
      <c r="V304" s="21">
        <f t="shared" si="78"/>
        <v>158.86111111111148</v>
      </c>
      <c r="W304" s="22">
        <f t="shared" si="78"/>
        <v>128.76111111111115</v>
      </c>
      <c r="X304" s="22">
        <f t="shared" si="78"/>
        <v>142.13888888888852</v>
      </c>
      <c r="Y304" s="22">
        <f t="shared" si="78"/>
        <v>150.5</v>
      </c>
      <c r="Z304" s="23">
        <f t="shared" si="78"/>
        <v>120.39999999999966</v>
      </c>
      <c r="AA304" s="23">
        <f t="shared" si="78"/>
        <v>133.77777777777703</v>
      </c>
      <c r="AB304" s="23">
        <f t="shared" si="78"/>
        <v>142.13888888888852</v>
      </c>
      <c r="AC304" s="24">
        <f t="shared" si="78"/>
        <v>112.03888888888879</v>
      </c>
      <c r="AD304" s="24">
        <f t="shared" si="78"/>
        <v>125.41666666666713</v>
      </c>
      <c r="AE304" s="24">
        <f t="shared" si="78"/>
        <v>133.77777777777703</v>
      </c>
      <c r="AF304" s="25">
        <f t="shared" si="78"/>
        <v>103.67777777777754</v>
      </c>
      <c r="AG304" s="25">
        <f t="shared" si="78"/>
        <v>117.05555555555574</v>
      </c>
      <c r="AH304" s="25">
        <f t="shared" si="78"/>
        <v>125.41666666666713</v>
      </c>
      <c r="AI304" s="26">
        <f t="shared" si="78"/>
        <v>95.31666666666689</v>
      </c>
      <c r="AJ304" s="26">
        <f t="shared" si="80"/>
        <v>108.69444444444426</v>
      </c>
      <c r="AK304" s="26">
        <f t="shared" si="80"/>
        <v>117.05555555555574</v>
      </c>
    </row>
    <row r="305" spans="4:37" ht="20.100000000000001" customHeight="1">
      <c r="D305" s="27">
        <f t="shared" si="72"/>
        <v>0.83888888888888646</v>
      </c>
      <c r="E305" s="16">
        <f t="shared" si="79"/>
        <v>239.92222222222287</v>
      </c>
      <c r="F305" s="16">
        <f t="shared" si="79"/>
        <v>253.34444444444364</v>
      </c>
      <c r="G305" s="16">
        <f t="shared" si="79"/>
        <v>261.73333333333289</v>
      </c>
      <c r="H305" s="17">
        <f t="shared" si="79"/>
        <v>223.14444444444496</v>
      </c>
      <c r="I305" s="17">
        <f t="shared" si="79"/>
        <v>236.56666666666584</v>
      </c>
      <c r="J305" s="17">
        <f t="shared" si="79"/>
        <v>244.95555555555478</v>
      </c>
      <c r="K305" s="18">
        <f t="shared" si="79"/>
        <v>206.36666666666645</v>
      </c>
      <c r="L305" s="18">
        <f t="shared" si="79"/>
        <v>219.78888888888849</v>
      </c>
      <c r="M305" s="18">
        <f t="shared" si="79"/>
        <v>228.17777777777812</v>
      </c>
      <c r="N305" s="19">
        <f t="shared" si="79"/>
        <v>154.35555555555504</v>
      </c>
      <c r="O305" s="19">
        <f t="shared" si="79"/>
        <v>167.77777777777851</v>
      </c>
      <c r="P305" s="19">
        <f t="shared" si="79"/>
        <v>176.16666666666612</v>
      </c>
      <c r="Q305" s="20">
        <f t="shared" si="79"/>
        <v>145.96666666666744</v>
      </c>
      <c r="R305" s="20">
        <f t="shared" si="79"/>
        <v>159.38888888888926</v>
      </c>
      <c r="S305" s="20">
        <f t="shared" si="79"/>
        <v>167.77777777777851</v>
      </c>
      <c r="T305" s="21">
        <f t="shared" si="79"/>
        <v>137.57777777777818</v>
      </c>
      <c r="U305" s="21">
        <f t="shared" si="78"/>
        <v>151</v>
      </c>
      <c r="V305" s="21">
        <f t="shared" si="78"/>
        <v>159.38888888888926</v>
      </c>
      <c r="W305" s="22">
        <f t="shared" si="78"/>
        <v>129.18888888888893</v>
      </c>
      <c r="X305" s="22">
        <f t="shared" si="78"/>
        <v>142.61111111111074</v>
      </c>
      <c r="Y305" s="22">
        <f t="shared" si="78"/>
        <v>151</v>
      </c>
      <c r="Z305" s="23">
        <f t="shared" si="78"/>
        <v>120.79999999999967</v>
      </c>
      <c r="AA305" s="23">
        <f t="shared" si="78"/>
        <v>134.22222222222149</v>
      </c>
      <c r="AB305" s="23">
        <f t="shared" si="78"/>
        <v>142.61111111111074</v>
      </c>
      <c r="AC305" s="24">
        <f t="shared" si="78"/>
        <v>112.41111111111101</v>
      </c>
      <c r="AD305" s="24">
        <f t="shared" si="78"/>
        <v>125.8333333333338</v>
      </c>
      <c r="AE305" s="24">
        <f t="shared" si="78"/>
        <v>134.22222222222149</v>
      </c>
      <c r="AF305" s="25">
        <f t="shared" si="78"/>
        <v>104.02222222222198</v>
      </c>
      <c r="AG305" s="25">
        <f t="shared" si="78"/>
        <v>117.44444444444463</v>
      </c>
      <c r="AH305" s="25">
        <f t="shared" si="78"/>
        <v>125.8333333333338</v>
      </c>
      <c r="AI305" s="26">
        <f t="shared" si="78"/>
        <v>95.633333333333553</v>
      </c>
      <c r="AJ305" s="26">
        <f t="shared" si="80"/>
        <v>109.05555555555537</v>
      </c>
      <c r="AK305" s="26">
        <f t="shared" si="80"/>
        <v>117.44444444444463</v>
      </c>
    </row>
    <row r="306" spans="4:37" ht="20.100000000000001" customHeight="1">
      <c r="D306" s="27">
        <f t="shared" si="72"/>
        <v>0.84166666666666423</v>
      </c>
      <c r="E306" s="16">
        <f t="shared" si="79"/>
        <v>240.71666666666732</v>
      </c>
      <c r="F306" s="16">
        <f t="shared" si="79"/>
        <v>254.18333333333254</v>
      </c>
      <c r="G306" s="16">
        <f t="shared" si="79"/>
        <v>262.59999999999957</v>
      </c>
      <c r="H306" s="17">
        <f t="shared" si="79"/>
        <v>223.88333333333384</v>
      </c>
      <c r="I306" s="17">
        <f t="shared" si="79"/>
        <v>237.34999999999917</v>
      </c>
      <c r="J306" s="17">
        <f t="shared" si="79"/>
        <v>245.76666666666588</v>
      </c>
      <c r="K306" s="18">
        <f t="shared" si="79"/>
        <v>207.04999999999978</v>
      </c>
      <c r="L306" s="18">
        <f t="shared" si="79"/>
        <v>220.51666666666628</v>
      </c>
      <c r="M306" s="18">
        <f t="shared" si="79"/>
        <v>228.93333333333368</v>
      </c>
      <c r="N306" s="19">
        <f t="shared" si="79"/>
        <v>154.86666666666616</v>
      </c>
      <c r="O306" s="19">
        <f t="shared" si="79"/>
        <v>168.33333333333405</v>
      </c>
      <c r="P306" s="19">
        <f t="shared" si="79"/>
        <v>176.74999999999946</v>
      </c>
      <c r="Q306" s="20">
        <f t="shared" si="79"/>
        <v>146.45000000000076</v>
      </c>
      <c r="R306" s="20">
        <f t="shared" si="79"/>
        <v>159.91666666666703</v>
      </c>
      <c r="S306" s="20">
        <f t="shared" si="79"/>
        <v>168.33333333333405</v>
      </c>
      <c r="T306" s="21">
        <f t="shared" si="79"/>
        <v>138.03333333333373</v>
      </c>
      <c r="U306" s="21">
        <f t="shared" si="78"/>
        <v>151.5</v>
      </c>
      <c r="V306" s="21">
        <f t="shared" si="78"/>
        <v>159.91666666666703</v>
      </c>
      <c r="W306" s="22">
        <f t="shared" si="78"/>
        <v>129.6166666666667</v>
      </c>
      <c r="X306" s="22">
        <f t="shared" si="78"/>
        <v>143.08333333333297</v>
      </c>
      <c r="Y306" s="22">
        <f t="shared" si="78"/>
        <v>151.5</v>
      </c>
      <c r="Z306" s="23">
        <f t="shared" si="78"/>
        <v>121.19999999999968</v>
      </c>
      <c r="AA306" s="23">
        <f t="shared" si="78"/>
        <v>134.66666666666595</v>
      </c>
      <c r="AB306" s="23">
        <f>AB307-(AB$363/360)</f>
        <v>143.08333333333297</v>
      </c>
      <c r="AC306" s="24">
        <f t="shared" si="78"/>
        <v>112.78333333333323</v>
      </c>
      <c r="AD306" s="24">
        <f t="shared" si="78"/>
        <v>126.25000000000047</v>
      </c>
      <c r="AE306" s="24">
        <f t="shared" si="78"/>
        <v>134.66666666666595</v>
      </c>
      <c r="AF306" s="25">
        <f t="shared" si="78"/>
        <v>104.36666666666643</v>
      </c>
      <c r="AG306" s="25">
        <f t="shared" si="78"/>
        <v>117.83333333333351</v>
      </c>
      <c r="AH306" s="25">
        <f t="shared" si="78"/>
        <v>126.25000000000047</v>
      </c>
      <c r="AI306" s="26">
        <f t="shared" si="78"/>
        <v>95.950000000000216</v>
      </c>
      <c r="AJ306" s="26">
        <f t="shared" si="80"/>
        <v>109.41666666666649</v>
      </c>
      <c r="AK306" s="26">
        <f t="shared" si="80"/>
        <v>117.83333333333351</v>
      </c>
    </row>
    <row r="307" spans="4:37" ht="20.100000000000001" customHeight="1">
      <c r="D307" s="27">
        <f t="shared" si="72"/>
        <v>0.844444444444442</v>
      </c>
      <c r="E307" s="16">
        <f t="shared" si="79"/>
        <v>241.51111111111177</v>
      </c>
      <c r="F307" s="16">
        <f t="shared" si="79"/>
        <v>255.02222222222144</v>
      </c>
      <c r="G307" s="16">
        <f t="shared" si="79"/>
        <v>263.46666666666624</v>
      </c>
      <c r="H307" s="17">
        <f t="shared" si="79"/>
        <v>224.62222222222272</v>
      </c>
      <c r="I307" s="17">
        <f t="shared" si="79"/>
        <v>238.1333333333325</v>
      </c>
      <c r="J307" s="17">
        <f t="shared" si="79"/>
        <v>246.57777777777699</v>
      </c>
      <c r="K307" s="18">
        <f t="shared" si="79"/>
        <v>207.73333333333312</v>
      </c>
      <c r="L307" s="18">
        <f t="shared" si="79"/>
        <v>221.24444444444407</v>
      </c>
      <c r="M307" s="18">
        <f t="shared" si="79"/>
        <v>229.68888888888924</v>
      </c>
      <c r="N307" s="19">
        <f t="shared" si="79"/>
        <v>155.37777777777728</v>
      </c>
      <c r="O307" s="19">
        <f t="shared" si="79"/>
        <v>168.8888888888896</v>
      </c>
      <c r="P307" s="19">
        <f t="shared" si="79"/>
        <v>177.3333333333328</v>
      </c>
      <c r="Q307" s="20">
        <f t="shared" si="79"/>
        <v>146.93333333333408</v>
      </c>
      <c r="R307" s="20">
        <f t="shared" si="79"/>
        <v>160.4444444444448</v>
      </c>
      <c r="S307" s="20">
        <f t="shared" si="79"/>
        <v>168.8888888888896</v>
      </c>
      <c r="T307" s="21">
        <f t="shared" ref="T307:AI323" si="81">T308-(T$363/360)</f>
        <v>138.48888888888928</v>
      </c>
      <c r="U307" s="21">
        <f t="shared" si="81"/>
        <v>152</v>
      </c>
      <c r="V307" s="21">
        <f t="shared" si="81"/>
        <v>160.4444444444448</v>
      </c>
      <c r="W307" s="22">
        <f t="shared" si="81"/>
        <v>130.04444444444448</v>
      </c>
      <c r="X307" s="22">
        <f t="shared" si="81"/>
        <v>143.5555555555552</v>
      </c>
      <c r="Y307" s="22">
        <f t="shared" si="81"/>
        <v>152</v>
      </c>
      <c r="Z307" s="23">
        <f t="shared" si="81"/>
        <v>121.59999999999968</v>
      </c>
      <c r="AA307" s="23">
        <f t="shared" si="81"/>
        <v>135.1111111111104</v>
      </c>
      <c r="AB307" s="23">
        <f>AB308-(AB$363/360)</f>
        <v>143.5555555555552</v>
      </c>
      <c r="AC307" s="24">
        <f t="shared" ref="AC307:AK307" si="82">AC308-(AC$363/360)</f>
        <v>113.15555555555545</v>
      </c>
      <c r="AD307" s="24">
        <f t="shared" si="82"/>
        <v>126.66666666666714</v>
      </c>
      <c r="AE307" s="24">
        <f t="shared" si="82"/>
        <v>135.1111111111104</v>
      </c>
      <c r="AF307" s="25">
        <f t="shared" si="82"/>
        <v>104.71111111111088</v>
      </c>
      <c r="AG307" s="25">
        <f t="shared" si="82"/>
        <v>118.2222222222224</v>
      </c>
      <c r="AH307" s="25">
        <f t="shared" si="82"/>
        <v>126.66666666666714</v>
      </c>
      <c r="AI307" s="26">
        <f t="shared" si="82"/>
        <v>96.266666666666879</v>
      </c>
      <c r="AJ307" s="26">
        <f t="shared" si="82"/>
        <v>109.7777777777776</v>
      </c>
      <c r="AK307" s="26">
        <f t="shared" si="82"/>
        <v>118.2222222222224</v>
      </c>
    </row>
    <row r="308" spans="4:37" ht="20.100000000000001" customHeight="1">
      <c r="D308" s="27">
        <f t="shared" si="72"/>
        <v>0.84722222222221977</v>
      </c>
      <c r="E308" s="16">
        <f t="shared" ref="E308:T323" si="83">E309-(E$363/360)</f>
        <v>242.30555555555623</v>
      </c>
      <c r="F308" s="16">
        <f t="shared" si="83"/>
        <v>255.86111111111035</v>
      </c>
      <c r="G308" s="16">
        <f t="shared" si="83"/>
        <v>264.33333333333292</v>
      </c>
      <c r="H308" s="17">
        <f t="shared" si="83"/>
        <v>225.3611111111116</v>
      </c>
      <c r="I308" s="17">
        <f t="shared" si="83"/>
        <v>238.91666666666583</v>
      </c>
      <c r="J308" s="17">
        <f t="shared" si="83"/>
        <v>247.38888888888809</v>
      </c>
      <c r="K308" s="18">
        <f t="shared" si="83"/>
        <v>208.41666666666646</v>
      </c>
      <c r="L308" s="18">
        <f t="shared" si="83"/>
        <v>221.97222222222186</v>
      </c>
      <c r="M308" s="18">
        <f t="shared" si="83"/>
        <v>230.4444444444448</v>
      </c>
      <c r="N308" s="19">
        <f t="shared" si="83"/>
        <v>155.8888888888884</v>
      </c>
      <c r="O308" s="19">
        <f t="shared" si="83"/>
        <v>169.44444444444514</v>
      </c>
      <c r="P308" s="19">
        <f t="shared" si="83"/>
        <v>177.91666666666615</v>
      </c>
      <c r="Q308" s="20">
        <f t="shared" si="83"/>
        <v>147.4166666666674</v>
      </c>
      <c r="R308" s="20">
        <f t="shared" si="83"/>
        <v>160.97222222222257</v>
      </c>
      <c r="S308" s="20">
        <f t="shared" si="83"/>
        <v>169.44444444444514</v>
      </c>
      <c r="T308" s="21">
        <f t="shared" si="83"/>
        <v>138.94444444444483</v>
      </c>
      <c r="U308" s="21">
        <f t="shared" si="81"/>
        <v>152.5</v>
      </c>
      <c r="V308" s="21">
        <f t="shared" si="81"/>
        <v>160.97222222222257</v>
      </c>
      <c r="W308" s="22">
        <f t="shared" si="81"/>
        <v>130.47222222222226</v>
      </c>
      <c r="X308" s="22">
        <f t="shared" si="81"/>
        <v>144.02777777777743</v>
      </c>
      <c r="Y308" s="22">
        <f t="shared" si="81"/>
        <v>152.5</v>
      </c>
      <c r="Z308" s="23">
        <f t="shared" si="81"/>
        <v>121.99999999999969</v>
      </c>
      <c r="AA308" s="23">
        <f t="shared" si="81"/>
        <v>135.55555555555486</v>
      </c>
      <c r="AB308" s="23">
        <f t="shared" si="81"/>
        <v>144.02777777777743</v>
      </c>
      <c r="AC308" s="24">
        <f t="shared" si="81"/>
        <v>113.52777777777767</v>
      </c>
      <c r="AD308" s="24">
        <f t="shared" si="81"/>
        <v>127.08333333333381</v>
      </c>
      <c r="AE308" s="24">
        <f t="shared" si="81"/>
        <v>135.55555555555486</v>
      </c>
      <c r="AF308" s="25">
        <f t="shared" si="81"/>
        <v>105.05555555555533</v>
      </c>
      <c r="AG308" s="25">
        <f t="shared" si="81"/>
        <v>118.61111111111128</v>
      </c>
      <c r="AH308" s="25">
        <f t="shared" si="81"/>
        <v>127.08333333333381</v>
      </c>
      <c r="AI308" s="26">
        <f t="shared" si="81"/>
        <v>96.583333333333542</v>
      </c>
      <c r="AJ308" s="26">
        <f t="shared" ref="AJ308:AJ323" si="84">AJ309-(AJ$363/360)</f>
        <v>110.13888888888872</v>
      </c>
      <c r="AK308" s="26">
        <f t="shared" ref="AK308:AK323" si="85">AK309-(AK$363/360)</f>
        <v>118.61111111111128</v>
      </c>
    </row>
    <row r="309" spans="4:37" ht="20.100000000000001" customHeight="1">
      <c r="D309" s="27">
        <f t="shared" si="72"/>
        <v>0.84999999999999754</v>
      </c>
      <c r="E309" s="16">
        <f t="shared" si="83"/>
        <v>243.10000000000068</v>
      </c>
      <c r="F309" s="16">
        <f t="shared" si="83"/>
        <v>256.69999999999925</v>
      </c>
      <c r="G309" s="16">
        <f t="shared" si="83"/>
        <v>265.19999999999959</v>
      </c>
      <c r="H309" s="17">
        <f t="shared" si="83"/>
        <v>226.10000000000048</v>
      </c>
      <c r="I309" s="17">
        <f t="shared" si="83"/>
        <v>239.69999999999916</v>
      </c>
      <c r="J309" s="17">
        <f t="shared" si="83"/>
        <v>248.19999999999919</v>
      </c>
      <c r="K309" s="18">
        <f t="shared" si="83"/>
        <v>209.0999999999998</v>
      </c>
      <c r="L309" s="18">
        <f t="shared" si="83"/>
        <v>222.69999999999965</v>
      </c>
      <c r="M309" s="18">
        <f t="shared" si="83"/>
        <v>231.20000000000036</v>
      </c>
      <c r="N309" s="19">
        <f t="shared" si="83"/>
        <v>156.39999999999952</v>
      </c>
      <c r="O309" s="19">
        <f t="shared" si="83"/>
        <v>170.00000000000068</v>
      </c>
      <c r="P309" s="19">
        <f t="shared" si="83"/>
        <v>178.49999999999949</v>
      </c>
      <c r="Q309" s="20">
        <f t="shared" si="83"/>
        <v>147.90000000000072</v>
      </c>
      <c r="R309" s="20">
        <f t="shared" si="83"/>
        <v>161.50000000000034</v>
      </c>
      <c r="S309" s="20">
        <f t="shared" si="83"/>
        <v>170.00000000000068</v>
      </c>
      <c r="T309" s="21">
        <f t="shared" si="83"/>
        <v>139.40000000000038</v>
      </c>
      <c r="U309" s="21">
        <f t="shared" si="81"/>
        <v>153</v>
      </c>
      <c r="V309" s="21">
        <f t="shared" si="81"/>
        <v>161.50000000000034</v>
      </c>
      <c r="W309" s="22">
        <f t="shared" si="81"/>
        <v>130.90000000000003</v>
      </c>
      <c r="X309" s="22">
        <f t="shared" si="81"/>
        <v>144.49999999999966</v>
      </c>
      <c r="Y309" s="22">
        <f t="shared" si="81"/>
        <v>153</v>
      </c>
      <c r="Z309" s="23">
        <f t="shared" si="81"/>
        <v>122.39999999999969</v>
      </c>
      <c r="AA309" s="23">
        <f t="shared" si="81"/>
        <v>135.99999999999932</v>
      </c>
      <c r="AB309" s="23">
        <f t="shared" si="81"/>
        <v>144.49999999999966</v>
      </c>
      <c r="AC309" s="24">
        <f t="shared" si="81"/>
        <v>113.89999999999989</v>
      </c>
      <c r="AD309" s="24">
        <f t="shared" si="81"/>
        <v>127.50000000000048</v>
      </c>
      <c r="AE309" s="24">
        <f t="shared" si="81"/>
        <v>135.99999999999932</v>
      </c>
      <c r="AF309" s="25">
        <f t="shared" si="81"/>
        <v>105.39999999999978</v>
      </c>
      <c r="AG309" s="25">
        <f t="shared" si="81"/>
        <v>119.00000000000017</v>
      </c>
      <c r="AH309" s="25">
        <f t="shared" si="81"/>
        <v>127.50000000000048</v>
      </c>
      <c r="AI309" s="26">
        <f t="shared" si="81"/>
        <v>96.900000000000205</v>
      </c>
      <c r="AJ309" s="26">
        <f t="shared" si="84"/>
        <v>110.49999999999983</v>
      </c>
      <c r="AK309" s="26">
        <f t="shared" si="85"/>
        <v>119.00000000000017</v>
      </c>
    </row>
    <row r="310" spans="4:37" ht="20.100000000000001" customHeight="1">
      <c r="D310" s="27">
        <f t="shared" si="72"/>
        <v>0.8527777777777753</v>
      </c>
      <c r="E310" s="16">
        <f t="shared" si="83"/>
        <v>243.89444444444513</v>
      </c>
      <c r="F310" s="16">
        <f t="shared" si="83"/>
        <v>257.53888888888815</v>
      </c>
      <c r="G310" s="16">
        <f t="shared" si="83"/>
        <v>266.06666666666626</v>
      </c>
      <c r="H310" s="17">
        <f t="shared" si="83"/>
        <v>226.83888888888936</v>
      </c>
      <c r="I310" s="17">
        <f t="shared" si="83"/>
        <v>240.4833333333325</v>
      </c>
      <c r="J310" s="17">
        <f t="shared" si="83"/>
        <v>249.0111111111103</v>
      </c>
      <c r="K310" s="18">
        <f t="shared" si="83"/>
        <v>209.78333333333313</v>
      </c>
      <c r="L310" s="18">
        <f t="shared" si="83"/>
        <v>223.42777777777744</v>
      </c>
      <c r="M310" s="18">
        <f t="shared" si="83"/>
        <v>231.95555555555592</v>
      </c>
      <c r="N310" s="19">
        <f t="shared" si="83"/>
        <v>156.91111111111064</v>
      </c>
      <c r="O310" s="19">
        <f t="shared" si="83"/>
        <v>170.55555555555623</v>
      </c>
      <c r="P310" s="19">
        <f t="shared" si="83"/>
        <v>179.08333333333283</v>
      </c>
      <c r="Q310" s="20">
        <f t="shared" si="83"/>
        <v>148.38333333333404</v>
      </c>
      <c r="R310" s="20">
        <f t="shared" si="83"/>
        <v>162.02777777777811</v>
      </c>
      <c r="S310" s="20">
        <f t="shared" si="83"/>
        <v>170.55555555555623</v>
      </c>
      <c r="T310" s="21">
        <f t="shared" si="83"/>
        <v>139.85555555555592</v>
      </c>
      <c r="U310" s="21">
        <f t="shared" si="81"/>
        <v>153.5</v>
      </c>
      <c r="V310" s="21">
        <f t="shared" si="81"/>
        <v>162.02777777777811</v>
      </c>
      <c r="W310" s="22">
        <f t="shared" si="81"/>
        <v>131.32777777777781</v>
      </c>
      <c r="X310" s="22">
        <f t="shared" si="81"/>
        <v>144.97222222222189</v>
      </c>
      <c r="Y310" s="22">
        <f t="shared" si="81"/>
        <v>153.5</v>
      </c>
      <c r="Z310" s="23">
        <f t="shared" si="81"/>
        <v>122.7999999999997</v>
      </c>
      <c r="AA310" s="23">
        <f t="shared" si="81"/>
        <v>136.44444444444377</v>
      </c>
      <c r="AB310" s="23">
        <f t="shared" si="81"/>
        <v>144.97222222222189</v>
      </c>
      <c r="AC310" s="24">
        <f t="shared" si="81"/>
        <v>114.27222222222211</v>
      </c>
      <c r="AD310" s="24">
        <f t="shared" si="81"/>
        <v>127.91666666666715</v>
      </c>
      <c r="AE310" s="24">
        <f t="shared" si="81"/>
        <v>136.44444444444377</v>
      </c>
      <c r="AF310" s="25">
        <f t="shared" si="81"/>
        <v>105.74444444444423</v>
      </c>
      <c r="AG310" s="25">
        <f t="shared" si="81"/>
        <v>119.38888888888906</v>
      </c>
      <c r="AH310" s="25">
        <f t="shared" si="81"/>
        <v>127.91666666666715</v>
      </c>
      <c r="AI310" s="26">
        <f t="shared" si="81"/>
        <v>97.216666666666868</v>
      </c>
      <c r="AJ310" s="26">
        <f t="shared" si="84"/>
        <v>110.86111111111094</v>
      </c>
      <c r="AK310" s="26">
        <f t="shared" si="85"/>
        <v>119.38888888888906</v>
      </c>
    </row>
    <row r="311" spans="4:37" ht="20.100000000000001" customHeight="1">
      <c r="D311" s="27">
        <f t="shared" si="72"/>
        <v>0.85555555555555307</v>
      </c>
      <c r="E311" s="16">
        <f t="shared" si="83"/>
        <v>244.68888888888958</v>
      </c>
      <c r="F311" s="16">
        <f t="shared" si="83"/>
        <v>258.37777777777706</v>
      </c>
      <c r="G311" s="16">
        <f t="shared" si="83"/>
        <v>266.93333333333294</v>
      </c>
      <c r="H311" s="17">
        <f t="shared" si="83"/>
        <v>227.57777777777824</v>
      </c>
      <c r="I311" s="17">
        <f t="shared" si="83"/>
        <v>241.26666666666583</v>
      </c>
      <c r="J311" s="17">
        <f t="shared" si="83"/>
        <v>249.8222222222214</v>
      </c>
      <c r="K311" s="18">
        <f t="shared" si="83"/>
        <v>210.46666666666647</v>
      </c>
      <c r="L311" s="18">
        <f t="shared" si="83"/>
        <v>224.15555555555522</v>
      </c>
      <c r="M311" s="18">
        <f t="shared" si="83"/>
        <v>232.71111111111148</v>
      </c>
      <c r="N311" s="19">
        <f t="shared" si="83"/>
        <v>157.42222222222176</v>
      </c>
      <c r="O311" s="19">
        <f t="shared" si="83"/>
        <v>171.11111111111177</v>
      </c>
      <c r="P311" s="19">
        <f t="shared" si="83"/>
        <v>179.66666666666617</v>
      </c>
      <c r="Q311" s="20">
        <f t="shared" si="83"/>
        <v>148.86666666666736</v>
      </c>
      <c r="R311" s="20">
        <f t="shared" si="83"/>
        <v>162.55555555555588</v>
      </c>
      <c r="S311" s="20">
        <f t="shared" si="83"/>
        <v>171.11111111111177</v>
      </c>
      <c r="T311" s="21">
        <f t="shared" si="83"/>
        <v>140.31111111111147</v>
      </c>
      <c r="U311" s="21">
        <f t="shared" si="81"/>
        <v>154</v>
      </c>
      <c r="V311" s="21">
        <f t="shared" si="81"/>
        <v>162.55555555555588</v>
      </c>
      <c r="W311" s="22">
        <f t="shared" si="81"/>
        <v>131.75555555555559</v>
      </c>
      <c r="X311" s="22">
        <f t="shared" si="81"/>
        <v>145.44444444444412</v>
      </c>
      <c r="Y311" s="22">
        <f t="shared" si="81"/>
        <v>154</v>
      </c>
      <c r="Z311" s="23">
        <f t="shared" si="81"/>
        <v>123.1999999999997</v>
      </c>
      <c r="AA311" s="23">
        <f t="shared" si="81"/>
        <v>136.88888888888823</v>
      </c>
      <c r="AB311" s="23">
        <f t="shared" si="81"/>
        <v>145.44444444444412</v>
      </c>
      <c r="AC311" s="24">
        <f t="shared" si="81"/>
        <v>114.64444444444433</v>
      </c>
      <c r="AD311" s="24">
        <f t="shared" si="81"/>
        <v>128.33333333333383</v>
      </c>
      <c r="AE311" s="24">
        <f t="shared" si="81"/>
        <v>136.88888888888823</v>
      </c>
      <c r="AF311" s="25">
        <f t="shared" si="81"/>
        <v>106.08888888888868</v>
      </c>
      <c r="AG311" s="25">
        <f t="shared" si="81"/>
        <v>119.77777777777794</v>
      </c>
      <c r="AH311" s="25">
        <f t="shared" si="81"/>
        <v>128.33333333333383</v>
      </c>
      <c r="AI311" s="26">
        <f t="shared" si="81"/>
        <v>97.53333333333353</v>
      </c>
      <c r="AJ311" s="26">
        <f t="shared" si="84"/>
        <v>111.22222222222206</v>
      </c>
      <c r="AK311" s="26">
        <f t="shared" si="85"/>
        <v>119.77777777777794</v>
      </c>
    </row>
    <row r="312" spans="4:37" ht="20.100000000000001" customHeight="1">
      <c r="D312" s="27">
        <f t="shared" si="72"/>
        <v>0.85833333333333084</v>
      </c>
      <c r="E312" s="16">
        <f t="shared" si="83"/>
        <v>245.48333333333403</v>
      </c>
      <c r="F312" s="16">
        <f t="shared" si="83"/>
        <v>259.21666666666596</v>
      </c>
      <c r="G312" s="16">
        <f t="shared" si="83"/>
        <v>267.79999999999961</v>
      </c>
      <c r="H312" s="17">
        <f t="shared" si="83"/>
        <v>228.31666666666712</v>
      </c>
      <c r="I312" s="17">
        <f t="shared" si="83"/>
        <v>242.04999999999916</v>
      </c>
      <c r="J312" s="17">
        <f t="shared" si="83"/>
        <v>250.6333333333325</v>
      </c>
      <c r="K312" s="18">
        <f t="shared" si="83"/>
        <v>211.14999999999981</v>
      </c>
      <c r="L312" s="18">
        <f t="shared" si="83"/>
        <v>224.88333333333301</v>
      </c>
      <c r="M312" s="18">
        <f t="shared" si="83"/>
        <v>233.46666666666704</v>
      </c>
      <c r="N312" s="19">
        <f t="shared" si="83"/>
        <v>157.93333333333288</v>
      </c>
      <c r="O312" s="19">
        <f t="shared" si="83"/>
        <v>171.66666666666731</v>
      </c>
      <c r="P312" s="19">
        <f t="shared" si="83"/>
        <v>180.24999999999952</v>
      </c>
      <c r="Q312" s="20">
        <f t="shared" si="83"/>
        <v>149.35000000000068</v>
      </c>
      <c r="R312" s="20">
        <f t="shared" si="83"/>
        <v>163.08333333333366</v>
      </c>
      <c r="S312" s="20">
        <f t="shared" si="83"/>
        <v>171.66666666666731</v>
      </c>
      <c r="T312" s="21">
        <f t="shared" si="83"/>
        <v>140.76666666666702</v>
      </c>
      <c r="U312" s="21">
        <f t="shared" si="81"/>
        <v>154.5</v>
      </c>
      <c r="V312" s="21">
        <f t="shared" si="81"/>
        <v>163.08333333333366</v>
      </c>
      <c r="W312" s="22">
        <f t="shared" si="81"/>
        <v>132.18333333333337</v>
      </c>
      <c r="X312" s="22">
        <f t="shared" si="81"/>
        <v>145.91666666666634</v>
      </c>
      <c r="Y312" s="22">
        <f t="shared" si="81"/>
        <v>154.5</v>
      </c>
      <c r="Z312" s="23">
        <f t="shared" si="81"/>
        <v>123.59999999999971</v>
      </c>
      <c r="AA312" s="23">
        <f t="shared" si="81"/>
        <v>137.33333333333269</v>
      </c>
      <c r="AB312" s="23">
        <f t="shared" si="81"/>
        <v>145.91666666666634</v>
      </c>
      <c r="AC312" s="24">
        <f t="shared" si="81"/>
        <v>115.01666666666655</v>
      </c>
      <c r="AD312" s="24">
        <f t="shared" si="81"/>
        <v>128.75000000000048</v>
      </c>
      <c r="AE312" s="24">
        <f t="shared" si="81"/>
        <v>137.33333333333269</v>
      </c>
      <c r="AF312" s="25">
        <f t="shared" si="81"/>
        <v>106.43333333333312</v>
      </c>
      <c r="AG312" s="25">
        <f t="shared" si="81"/>
        <v>120.16666666666683</v>
      </c>
      <c r="AH312" s="25">
        <f t="shared" si="81"/>
        <v>128.75000000000048</v>
      </c>
      <c r="AI312" s="26">
        <f t="shared" si="81"/>
        <v>97.850000000000193</v>
      </c>
      <c r="AJ312" s="26">
        <f t="shared" si="84"/>
        <v>111.58333333333317</v>
      </c>
      <c r="AK312" s="26">
        <f t="shared" si="85"/>
        <v>120.16666666666683</v>
      </c>
    </row>
    <row r="313" spans="4:37" ht="20.100000000000001" customHeight="1">
      <c r="D313" s="27">
        <f t="shared" si="72"/>
        <v>0.86111111111110861</v>
      </c>
      <c r="E313" s="16">
        <f t="shared" si="83"/>
        <v>246.27777777777848</v>
      </c>
      <c r="F313" s="16">
        <f t="shared" si="83"/>
        <v>260.05555555555486</v>
      </c>
      <c r="G313" s="16">
        <f t="shared" si="83"/>
        <v>268.66666666666629</v>
      </c>
      <c r="H313" s="17">
        <f t="shared" si="83"/>
        <v>229.055555555556</v>
      </c>
      <c r="I313" s="17">
        <f t="shared" si="83"/>
        <v>242.83333333333249</v>
      </c>
      <c r="J313" s="17">
        <f t="shared" si="83"/>
        <v>251.4444444444436</v>
      </c>
      <c r="K313" s="18">
        <f t="shared" si="83"/>
        <v>211.83333333333314</v>
      </c>
      <c r="L313" s="18">
        <f t="shared" si="83"/>
        <v>225.6111111111108</v>
      </c>
      <c r="M313" s="18">
        <f t="shared" si="83"/>
        <v>234.2222222222226</v>
      </c>
      <c r="N313" s="19">
        <f t="shared" si="83"/>
        <v>158.444444444444</v>
      </c>
      <c r="O313" s="19">
        <f t="shared" si="83"/>
        <v>172.22222222222285</v>
      </c>
      <c r="P313" s="19">
        <f t="shared" si="83"/>
        <v>180.83333333333286</v>
      </c>
      <c r="Q313" s="20">
        <f t="shared" si="83"/>
        <v>149.833333333334</v>
      </c>
      <c r="R313" s="20">
        <f t="shared" si="83"/>
        <v>163.61111111111143</v>
      </c>
      <c r="S313" s="20">
        <f t="shared" si="83"/>
        <v>172.22222222222285</v>
      </c>
      <c r="T313" s="21">
        <f t="shared" si="83"/>
        <v>141.22222222222257</v>
      </c>
      <c r="U313" s="21">
        <f t="shared" si="81"/>
        <v>155</v>
      </c>
      <c r="V313" s="21">
        <f t="shared" si="81"/>
        <v>163.61111111111143</v>
      </c>
      <c r="W313" s="22">
        <f t="shared" si="81"/>
        <v>132.61111111111114</v>
      </c>
      <c r="X313" s="22">
        <f t="shared" si="81"/>
        <v>146.38888888888857</v>
      </c>
      <c r="Y313" s="22">
        <f t="shared" si="81"/>
        <v>155</v>
      </c>
      <c r="Z313" s="23">
        <f t="shared" si="81"/>
        <v>123.99999999999972</v>
      </c>
      <c r="AA313" s="23">
        <f t="shared" si="81"/>
        <v>137.77777777777715</v>
      </c>
      <c r="AB313" s="23">
        <f t="shared" si="81"/>
        <v>146.38888888888857</v>
      </c>
      <c r="AC313" s="24">
        <f t="shared" si="81"/>
        <v>115.38888888888877</v>
      </c>
      <c r="AD313" s="24">
        <f t="shared" si="81"/>
        <v>129.16666666666714</v>
      </c>
      <c r="AE313" s="24">
        <f t="shared" si="81"/>
        <v>137.77777777777715</v>
      </c>
      <c r="AF313" s="25">
        <f t="shared" si="81"/>
        <v>106.77777777777757</v>
      </c>
      <c r="AG313" s="25">
        <f t="shared" si="81"/>
        <v>120.55555555555571</v>
      </c>
      <c r="AH313" s="25">
        <f t="shared" si="81"/>
        <v>129.16666666666714</v>
      </c>
      <c r="AI313" s="26">
        <f t="shared" si="81"/>
        <v>98.166666666666856</v>
      </c>
      <c r="AJ313" s="26">
        <f t="shared" si="84"/>
        <v>111.94444444444429</v>
      </c>
      <c r="AK313" s="26">
        <f t="shared" si="85"/>
        <v>120.55555555555571</v>
      </c>
    </row>
    <row r="314" spans="4:37" ht="20.100000000000001" customHeight="1">
      <c r="D314" s="27">
        <f t="shared" si="72"/>
        <v>0.86388888888888637</v>
      </c>
      <c r="E314" s="16">
        <f t="shared" si="83"/>
        <v>247.07222222222293</v>
      </c>
      <c r="F314" s="16">
        <f t="shared" si="83"/>
        <v>260.89444444444376</v>
      </c>
      <c r="G314" s="16">
        <f t="shared" si="83"/>
        <v>269.53333333333296</v>
      </c>
      <c r="H314" s="17">
        <f t="shared" si="83"/>
        <v>229.79444444444488</v>
      </c>
      <c r="I314" s="17">
        <f t="shared" si="83"/>
        <v>243.61666666666582</v>
      </c>
      <c r="J314" s="17">
        <f t="shared" si="83"/>
        <v>252.25555555555471</v>
      </c>
      <c r="K314" s="18">
        <f t="shared" si="83"/>
        <v>212.51666666666648</v>
      </c>
      <c r="L314" s="18">
        <f t="shared" si="83"/>
        <v>226.33888888888859</v>
      </c>
      <c r="M314" s="18">
        <f t="shared" si="83"/>
        <v>234.97777777777816</v>
      </c>
      <c r="N314" s="19">
        <f t="shared" si="83"/>
        <v>158.95555555555512</v>
      </c>
      <c r="O314" s="19">
        <f t="shared" si="83"/>
        <v>172.7777777777784</v>
      </c>
      <c r="P314" s="19">
        <f t="shared" si="83"/>
        <v>181.4166666666662</v>
      </c>
      <c r="Q314" s="20">
        <f t="shared" si="83"/>
        <v>150.31666666666732</v>
      </c>
      <c r="R314" s="20">
        <f t="shared" si="83"/>
        <v>164.1388888888892</v>
      </c>
      <c r="S314" s="20">
        <f t="shared" si="83"/>
        <v>172.7777777777784</v>
      </c>
      <c r="T314" s="21">
        <f t="shared" si="83"/>
        <v>141.67777777777812</v>
      </c>
      <c r="U314" s="21">
        <f t="shared" si="81"/>
        <v>155.5</v>
      </c>
      <c r="V314" s="21">
        <f t="shared" si="81"/>
        <v>164.1388888888892</v>
      </c>
      <c r="W314" s="22">
        <f t="shared" si="81"/>
        <v>133.03888888888892</v>
      </c>
      <c r="X314" s="22">
        <f t="shared" si="81"/>
        <v>146.8611111111108</v>
      </c>
      <c r="Y314" s="22">
        <f t="shared" si="81"/>
        <v>155.5</v>
      </c>
      <c r="Z314" s="23">
        <f t="shared" si="81"/>
        <v>124.39999999999972</v>
      </c>
      <c r="AA314" s="23">
        <f t="shared" si="81"/>
        <v>138.2222222222216</v>
      </c>
      <c r="AB314" s="23">
        <f t="shared" si="81"/>
        <v>146.8611111111108</v>
      </c>
      <c r="AC314" s="24">
        <f t="shared" si="81"/>
        <v>115.76111111111099</v>
      </c>
      <c r="AD314" s="24">
        <f t="shared" si="81"/>
        <v>129.5833333333338</v>
      </c>
      <c r="AE314" s="24">
        <f t="shared" si="81"/>
        <v>138.2222222222216</v>
      </c>
      <c r="AF314" s="25">
        <f t="shared" si="81"/>
        <v>107.12222222222202</v>
      </c>
      <c r="AG314" s="25">
        <f t="shared" si="81"/>
        <v>120.9444444444446</v>
      </c>
      <c r="AH314" s="25">
        <f t="shared" si="81"/>
        <v>129.5833333333338</v>
      </c>
      <c r="AI314" s="26">
        <f t="shared" si="81"/>
        <v>98.483333333333519</v>
      </c>
      <c r="AJ314" s="26">
        <f t="shared" si="84"/>
        <v>112.3055555555554</v>
      </c>
      <c r="AK314" s="26">
        <f t="shared" si="85"/>
        <v>120.9444444444446</v>
      </c>
    </row>
    <row r="315" spans="4:37" ht="20.100000000000001" customHeight="1">
      <c r="D315" s="27">
        <f t="shared" si="72"/>
        <v>0.86666666666666414</v>
      </c>
      <c r="E315" s="16">
        <f t="shared" si="83"/>
        <v>247.86666666666738</v>
      </c>
      <c r="F315" s="16">
        <f t="shared" si="83"/>
        <v>261.73333333333267</v>
      </c>
      <c r="G315" s="16">
        <f t="shared" si="83"/>
        <v>270.39999999999964</v>
      </c>
      <c r="H315" s="17">
        <f t="shared" si="83"/>
        <v>230.53333333333376</v>
      </c>
      <c r="I315" s="17">
        <f t="shared" si="83"/>
        <v>244.39999999999915</v>
      </c>
      <c r="J315" s="17">
        <f t="shared" si="83"/>
        <v>253.06666666666581</v>
      </c>
      <c r="K315" s="18">
        <f t="shared" si="83"/>
        <v>213.19999999999982</v>
      </c>
      <c r="L315" s="18">
        <f t="shared" si="83"/>
        <v>227.06666666666638</v>
      </c>
      <c r="M315" s="18">
        <f t="shared" si="83"/>
        <v>235.73333333333372</v>
      </c>
      <c r="N315" s="19">
        <f t="shared" si="83"/>
        <v>159.46666666666624</v>
      </c>
      <c r="O315" s="19">
        <f t="shared" si="83"/>
        <v>173.33333333333394</v>
      </c>
      <c r="P315" s="19">
        <f t="shared" si="83"/>
        <v>181.99999999999955</v>
      </c>
      <c r="Q315" s="20">
        <f t="shared" si="83"/>
        <v>150.80000000000064</v>
      </c>
      <c r="R315" s="20">
        <f t="shared" si="83"/>
        <v>164.66666666666697</v>
      </c>
      <c r="S315" s="20">
        <f t="shared" si="83"/>
        <v>173.33333333333394</v>
      </c>
      <c r="T315" s="21">
        <f t="shared" si="83"/>
        <v>142.13333333333367</v>
      </c>
      <c r="U315" s="21">
        <f t="shared" si="81"/>
        <v>156</v>
      </c>
      <c r="V315" s="21">
        <f t="shared" si="81"/>
        <v>164.66666666666697</v>
      </c>
      <c r="W315" s="22">
        <f t="shared" si="81"/>
        <v>133.4666666666667</v>
      </c>
      <c r="X315" s="22">
        <f t="shared" si="81"/>
        <v>147.33333333333303</v>
      </c>
      <c r="Y315" s="22">
        <f t="shared" si="81"/>
        <v>156</v>
      </c>
      <c r="Z315" s="23">
        <f t="shared" si="81"/>
        <v>124.79999999999973</v>
      </c>
      <c r="AA315" s="23">
        <f t="shared" si="81"/>
        <v>138.66666666666606</v>
      </c>
      <c r="AB315" s="23">
        <f t="shared" si="81"/>
        <v>147.33333333333303</v>
      </c>
      <c r="AC315" s="24">
        <f t="shared" si="81"/>
        <v>116.13333333333321</v>
      </c>
      <c r="AD315" s="24">
        <f t="shared" si="81"/>
        <v>130.00000000000045</v>
      </c>
      <c r="AE315" s="24">
        <f t="shared" si="81"/>
        <v>138.66666666666606</v>
      </c>
      <c r="AF315" s="25">
        <f t="shared" si="81"/>
        <v>107.46666666666647</v>
      </c>
      <c r="AG315" s="25">
        <f t="shared" si="81"/>
        <v>121.33333333333348</v>
      </c>
      <c r="AH315" s="25">
        <f t="shared" si="81"/>
        <v>130.00000000000045</v>
      </c>
      <c r="AI315" s="26">
        <f t="shared" si="81"/>
        <v>98.800000000000182</v>
      </c>
      <c r="AJ315" s="26">
        <f t="shared" si="84"/>
        <v>112.66666666666652</v>
      </c>
      <c r="AK315" s="26">
        <f t="shared" si="85"/>
        <v>121.33333333333348</v>
      </c>
    </row>
    <row r="316" spans="4:37" ht="20.100000000000001" customHeight="1">
      <c r="D316" s="27">
        <f t="shared" si="72"/>
        <v>0.86944444444444191</v>
      </c>
      <c r="E316" s="16">
        <f t="shared" si="83"/>
        <v>248.66111111111184</v>
      </c>
      <c r="F316" s="16">
        <f t="shared" si="83"/>
        <v>262.57222222222157</v>
      </c>
      <c r="G316" s="16">
        <f t="shared" si="83"/>
        <v>271.26666666666631</v>
      </c>
      <c r="H316" s="17">
        <f t="shared" si="83"/>
        <v>231.27222222222264</v>
      </c>
      <c r="I316" s="17">
        <f t="shared" si="83"/>
        <v>245.18333333333248</v>
      </c>
      <c r="J316" s="17">
        <f t="shared" si="83"/>
        <v>253.87777777777691</v>
      </c>
      <c r="K316" s="18">
        <f t="shared" si="83"/>
        <v>213.88333333333316</v>
      </c>
      <c r="L316" s="18">
        <f t="shared" si="83"/>
        <v>227.79444444444417</v>
      </c>
      <c r="M316" s="18">
        <f t="shared" si="83"/>
        <v>236.48888888888928</v>
      </c>
      <c r="N316" s="19">
        <f t="shared" si="83"/>
        <v>159.97777777777736</v>
      </c>
      <c r="O316" s="19">
        <f t="shared" si="83"/>
        <v>173.88888888888948</v>
      </c>
      <c r="P316" s="19">
        <f t="shared" si="83"/>
        <v>182.58333333333289</v>
      </c>
      <c r="Q316" s="20">
        <f t="shared" si="83"/>
        <v>151.28333333333396</v>
      </c>
      <c r="R316" s="20">
        <f t="shared" si="83"/>
        <v>165.19444444444474</v>
      </c>
      <c r="S316" s="20">
        <f t="shared" si="83"/>
        <v>173.88888888888948</v>
      </c>
      <c r="T316" s="21">
        <f t="shared" si="83"/>
        <v>142.58888888888922</v>
      </c>
      <c r="U316" s="21">
        <f t="shared" si="81"/>
        <v>156.5</v>
      </c>
      <c r="V316" s="21">
        <f t="shared" si="81"/>
        <v>165.19444444444474</v>
      </c>
      <c r="W316" s="22">
        <f t="shared" si="81"/>
        <v>133.89444444444447</v>
      </c>
      <c r="X316" s="22">
        <f t="shared" si="81"/>
        <v>147.80555555555526</v>
      </c>
      <c r="Y316" s="22">
        <f t="shared" si="81"/>
        <v>156.5</v>
      </c>
      <c r="Z316" s="23">
        <f t="shared" si="81"/>
        <v>125.19999999999973</v>
      </c>
      <c r="AA316" s="23">
        <f t="shared" si="81"/>
        <v>139.11111111111052</v>
      </c>
      <c r="AB316" s="23">
        <f t="shared" si="81"/>
        <v>147.80555555555526</v>
      </c>
      <c r="AC316" s="24">
        <f t="shared" si="81"/>
        <v>116.50555555555543</v>
      </c>
      <c r="AD316" s="24">
        <f t="shared" si="81"/>
        <v>130.41666666666711</v>
      </c>
      <c r="AE316" s="24">
        <f t="shared" si="81"/>
        <v>139.11111111111052</v>
      </c>
      <c r="AF316" s="25">
        <f t="shared" si="81"/>
        <v>107.81111111111092</v>
      </c>
      <c r="AG316" s="25">
        <f t="shared" si="81"/>
        <v>121.72222222222237</v>
      </c>
      <c r="AH316" s="25">
        <f t="shared" si="81"/>
        <v>130.41666666666711</v>
      </c>
      <c r="AI316" s="26">
        <f t="shared" si="81"/>
        <v>99.116666666666845</v>
      </c>
      <c r="AJ316" s="26">
        <f t="shared" si="84"/>
        <v>113.02777777777763</v>
      </c>
      <c r="AK316" s="26">
        <f t="shared" si="85"/>
        <v>121.72222222222237</v>
      </c>
    </row>
    <row r="317" spans="4:37" ht="20.100000000000001" customHeight="1">
      <c r="D317" s="27">
        <f t="shared" si="72"/>
        <v>0.87222222222221968</v>
      </c>
      <c r="E317" s="16">
        <f t="shared" si="83"/>
        <v>249.45555555555629</v>
      </c>
      <c r="F317" s="16">
        <f t="shared" si="83"/>
        <v>263.41111111111047</v>
      </c>
      <c r="G317" s="16">
        <f t="shared" si="83"/>
        <v>272.13333333333298</v>
      </c>
      <c r="H317" s="17">
        <f t="shared" si="83"/>
        <v>232.01111111111152</v>
      </c>
      <c r="I317" s="17">
        <f t="shared" si="83"/>
        <v>245.96666666666582</v>
      </c>
      <c r="J317" s="17">
        <f t="shared" si="83"/>
        <v>254.68888888888802</v>
      </c>
      <c r="K317" s="18">
        <f t="shared" si="83"/>
        <v>214.56666666666649</v>
      </c>
      <c r="L317" s="18">
        <f t="shared" si="83"/>
        <v>228.52222222222196</v>
      </c>
      <c r="M317" s="18">
        <f t="shared" si="83"/>
        <v>237.24444444444484</v>
      </c>
      <c r="N317" s="19">
        <f t="shared" si="83"/>
        <v>160.48888888888848</v>
      </c>
      <c r="O317" s="19">
        <f t="shared" si="83"/>
        <v>174.44444444444503</v>
      </c>
      <c r="P317" s="19">
        <f t="shared" si="83"/>
        <v>183.16666666666623</v>
      </c>
      <c r="Q317" s="20">
        <f t="shared" si="83"/>
        <v>151.76666666666728</v>
      </c>
      <c r="R317" s="20">
        <f t="shared" si="83"/>
        <v>165.72222222222251</v>
      </c>
      <c r="S317" s="20">
        <f t="shared" si="83"/>
        <v>174.44444444444503</v>
      </c>
      <c r="T317" s="21">
        <f t="shared" si="83"/>
        <v>143.04444444444476</v>
      </c>
      <c r="U317" s="21">
        <f t="shared" si="81"/>
        <v>157</v>
      </c>
      <c r="V317" s="21">
        <f t="shared" si="81"/>
        <v>165.72222222222251</v>
      </c>
      <c r="W317" s="22">
        <f t="shared" si="81"/>
        <v>134.32222222222225</v>
      </c>
      <c r="X317" s="22">
        <f t="shared" si="81"/>
        <v>148.27777777777749</v>
      </c>
      <c r="Y317" s="22">
        <f t="shared" si="81"/>
        <v>157</v>
      </c>
      <c r="Z317" s="23">
        <f t="shared" si="81"/>
        <v>125.59999999999974</v>
      </c>
      <c r="AA317" s="23">
        <f t="shared" si="81"/>
        <v>139.55555555555497</v>
      </c>
      <c r="AB317" s="23">
        <f t="shared" si="81"/>
        <v>148.27777777777749</v>
      </c>
      <c r="AC317" s="24">
        <f t="shared" si="81"/>
        <v>116.87777777777765</v>
      </c>
      <c r="AD317" s="24">
        <f t="shared" si="81"/>
        <v>130.83333333333377</v>
      </c>
      <c r="AE317" s="24">
        <f t="shared" si="81"/>
        <v>139.55555555555497</v>
      </c>
      <c r="AF317" s="25">
        <f t="shared" si="81"/>
        <v>108.15555555555537</v>
      </c>
      <c r="AG317" s="25">
        <f t="shared" si="81"/>
        <v>122.11111111111126</v>
      </c>
      <c r="AH317" s="25">
        <f t="shared" si="81"/>
        <v>130.83333333333377</v>
      </c>
      <c r="AI317" s="26">
        <f t="shared" si="81"/>
        <v>99.433333333333508</v>
      </c>
      <c r="AJ317" s="26">
        <f t="shared" si="84"/>
        <v>113.38888888888874</v>
      </c>
      <c r="AK317" s="26">
        <f t="shared" si="85"/>
        <v>122.11111111111126</v>
      </c>
    </row>
    <row r="318" spans="4:37" ht="20.100000000000001" customHeight="1">
      <c r="D318" s="27">
        <f t="shared" si="72"/>
        <v>0.87499999999999745</v>
      </c>
      <c r="E318" s="16">
        <f t="shared" si="83"/>
        <v>250.25000000000074</v>
      </c>
      <c r="F318" s="16">
        <f t="shared" si="83"/>
        <v>264.24999999999937</v>
      </c>
      <c r="G318" s="16">
        <f t="shared" si="83"/>
        <v>272.99999999999966</v>
      </c>
      <c r="H318" s="17">
        <f t="shared" si="83"/>
        <v>232.7500000000004</v>
      </c>
      <c r="I318" s="17">
        <f t="shared" si="83"/>
        <v>246.74999999999915</v>
      </c>
      <c r="J318" s="17">
        <f t="shared" si="83"/>
        <v>255.49999999999912</v>
      </c>
      <c r="K318" s="18">
        <f t="shared" si="83"/>
        <v>215.24999999999983</v>
      </c>
      <c r="L318" s="18">
        <f t="shared" si="83"/>
        <v>229.24999999999974</v>
      </c>
      <c r="M318" s="18">
        <f t="shared" si="83"/>
        <v>238.0000000000004</v>
      </c>
      <c r="N318" s="19">
        <f t="shared" si="83"/>
        <v>160.9999999999996</v>
      </c>
      <c r="O318" s="19">
        <f t="shared" si="83"/>
        <v>175.00000000000057</v>
      </c>
      <c r="P318" s="19">
        <f t="shared" si="83"/>
        <v>183.74999999999957</v>
      </c>
      <c r="Q318" s="20">
        <f t="shared" si="83"/>
        <v>152.2500000000006</v>
      </c>
      <c r="R318" s="20">
        <f t="shared" si="83"/>
        <v>166.25000000000028</v>
      </c>
      <c r="S318" s="20">
        <f t="shared" si="83"/>
        <v>175.00000000000057</v>
      </c>
      <c r="T318" s="21">
        <f t="shared" si="83"/>
        <v>143.50000000000031</v>
      </c>
      <c r="U318" s="21">
        <f t="shared" si="81"/>
        <v>157.5</v>
      </c>
      <c r="V318" s="21">
        <f t="shared" si="81"/>
        <v>166.25000000000028</v>
      </c>
      <c r="W318" s="22">
        <f t="shared" si="81"/>
        <v>134.75000000000003</v>
      </c>
      <c r="X318" s="22">
        <f t="shared" si="81"/>
        <v>148.74999999999972</v>
      </c>
      <c r="Y318" s="22">
        <f t="shared" si="81"/>
        <v>157.5</v>
      </c>
      <c r="Z318" s="23">
        <f t="shared" si="81"/>
        <v>125.99999999999974</v>
      </c>
      <c r="AA318" s="23">
        <f t="shared" si="81"/>
        <v>139.99999999999943</v>
      </c>
      <c r="AB318" s="23">
        <f t="shared" si="81"/>
        <v>148.74999999999972</v>
      </c>
      <c r="AC318" s="24">
        <f t="shared" si="81"/>
        <v>117.24999999999987</v>
      </c>
      <c r="AD318" s="24">
        <f t="shared" si="81"/>
        <v>131.25000000000043</v>
      </c>
      <c r="AE318" s="24">
        <f t="shared" si="81"/>
        <v>139.99999999999943</v>
      </c>
      <c r="AF318" s="25">
        <f t="shared" si="81"/>
        <v>108.49999999999982</v>
      </c>
      <c r="AG318" s="25">
        <f t="shared" si="81"/>
        <v>122.50000000000014</v>
      </c>
      <c r="AH318" s="25">
        <f t="shared" si="81"/>
        <v>131.25000000000043</v>
      </c>
      <c r="AI318" s="26">
        <f t="shared" si="81"/>
        <v>99.750000000000171</v>
      </c>
      <c r="AJ318" s="26">
        <f t="shared" si="84"/>
        <v>113.74999999999986</v>
      </c>
      <c r="AK318" s="26">
        <f t="shared" si="85"/>
        <v>122.50000000000014</v>
      </c>
    </row>
    <row r="319" spans="4:37" ht="20.100000000000001" customHeight="1">
      <c r="D319" s="27">
        <f t="shared" si="72"/>
        <v>0.87777777777777521</v>
      </c>
      <c r="E319" s="16">
        <f t="shared" si="83"/>
        <v>251.04444444444519</v>
      </c>
      <c r="F319" s="16">
        <f t="shared" si="83"/>
        <v>265.08888888888828</v>
      </c>
      <c r="G319" s="16">
        <f t="shared" si="83"/>
        <v>273.86666666666633</v>
      </c>
      <c r="H319" s="17">
        <f t="shared" si="83"/>
        <v>233.48888888888928</v>
      </c>
      <c r="I319" s="17">
        <f t="shared" si="83"/>
        <v>247.53333333333248</v>
      </c>
      <c r="J319" s="17">
        <f t="shared" si="83"/>
        <v>256.31111111111022</v>
      </c>
      <c r="K319" s="18">
        <f t="shared" si="83"/>
        <v>215.93333333333317</v>
      </c>
      <c r="L319" s="18">
        <f t="shared" si="83"/>
        <v>229.97777777777753</v>
      </c>
      <c r="M319" s="18">
        <f t="shared" si="83"/>
        <v>238.75555555555596</v>
      </c>
      <c r="N319" s="19">
        <f t="shared" si="83"/>
        <v>161.51111111111072</v>
      </c>
      <c r="O319" s="19">
        <f t="shared" si="83"/>
        <v>175.55555555555611</v>
      </c>
      <c r="P319" s="19">
        <f t="shared" si="83"/>
        <v>184.33333333333292</v>
      </c>
      <c r="Q319" s="20">
        <f t="shared" si="83"/>
        <v>152.73333333333392</v>
      </c>
      <c r="R319" s="20">
        <f t="shared" si="83"/>
        <v>166.77777777777806</v>
      </c>
      <c r="S319" s="20">
        <f t="shared" si="83"/>
        <v>175.55555555555611</v>
      </c>
      <c r="T319" s="21">
        <f t="shared" si="83"/>
        <v>143.95555555555586</v>
      </c>
      <c r="U319" s="21">
        <f t="shared" si="81"/>
        <v>158</v>
      </c>
      <c r="V319" s="21">
        <f t="shared" si="81"/>
        <v>166.77777777777806</v>
      </c>
      <c r="W319" s="22">
        <f t="shared" si="81"/>
        <v>135.17777777777781</v>
      </c>
      <c r="X319" s="22">
        <f t="shared" si="81"/>
        <v>149.22222222222194</v>
      </c>
      <c r="Y319" s="22">
        <f t="shared" si="81"/>
        <v>158</v>
      </c>
      <c r="Z319" s="23">
        <f t="shared" si="81"/>
        <v>126.39999999999975</v>
      </c>
      <c r="AA319" s="23">
        <f t="shared" si="81"/>
        <v>140.44444444444389</v>
      </c>
      <c r="AB319" s="23">
        <f t="shared" si="81"/>
        <v>149.22222222222194</v>
      </c>
      <c r="AC319" s="24">
        <f t="shared" si="81"/>
        <v>117.62222222222209</v>
      </c>
      <c r="AD319" s="24">
        <f t="shared" si="81"/>
        <v>131.66666666666708</v>
      </c>
      <c r="AE319" s="24">
        <f t="shared" si="81"/>
        <v>140.44444444444389</v>
      </c>
      <c r="AF319" s="25">
        <f t="shared" si="81"/>
        <v>108.84444444444426</v>
      </c>
      <c r="AG319" s="25">
        <f t="shared" si="81"/>
        <v>122.88888888888903</v>
      </c>
      <c r="AH319" s="25">
        <f t="shared" si="81"/>
        <v>131.66666666666708</v>
      </c>
      <c r="AI319" s="26">
        <f t="shared" si="81"/>
        <v>100.06666666666683</v>
      </c>
      <c r="AJ319" s="26">
        <f t="shared" si="84"/>
        <v>114.11111111111097</v>
      </c>
      <c r="AK319" s="26">
        <f t="shared" si="85"/>
        <v>122.88888888888903</v>
      </c>
    </row>
    <row r="320" spans="4:37" ht="20.100000000000001" customHeight="1">
      <c r="D320" s="27">
        <f t="shared" si="72"/>
        <v>0.88055555555555298</v>
      </c>
      <c r="E320" s="16">
        <f t="shared" si="83"/>
        <v>251.83888888888964</v>
      </c>
      <c r="F320" s="16">
        <f t="shared" si="83"/>
        <v>265.92777777777718</v>
      </c>
      <c r="G320" s="16">
        <f t="shared" si="83"/>
        <v>274.73333333333301</v>
      </c>
      <c r="H320" s="17">
        <f t="shared" si="83"/>
        <v>234.22777777777816</v>
      </c>
      <c r="I320" s="17">
        <f t="shared" si="83"/>
        <v>248.31666666666581</v>
      </c>
      <c r="J320" s="17">
        <f t="shared" si="83"/>
        <v>257.12222222222135</v>
      </c>
      <c r="K320" s="18">
        <f t="shared" si="83"/>
        <v>216.6166666666665</v>
      </c>
      <c r="L320" s="18">
        <f t="shared" si="83"/>
        <v>230.70555555555532</v>
      </c>
      <c r="M320" s="18">
        <f t="shared" si="83"/>
        <v>239.51111111111152</v>
      </c>
      <c r="N320" s="19">
        <f t="shared" si="83"/>
        <v>162.02222222222184</v>
      </c>
      <c r="O320" s="19">
        <f t="shared" si="83"/>
        <v>176.11111111111165</v>
      </c>
      <c r="P320" s="19">
        <f t="shared" si="83"/>
        <v>184.91666666666626</v>
      </c>
      <c r="Q320" s="20">
        <f t="shared" si="83"/>
        <v>153.21666666666724</v>
      </c>
      <c r="R320" s="20">
        <f t="shared" si="83"/>
        <v>167.30555555555583</v>
      </c>
      <c r="S320" s="20">
        <f t="shared" si="83"/>
        <v>176.11111111111165</v>
      </c>
      <c r="T320" s="21">
        <f t="shared" si="83"/>
        <v>144.41111111111141</v>
      </c>
      <c r="U320" s="21">
        <f t="shared" si="81"/>
        <v>158.5</v>
      </c>
      <c r="V320" s="21">
        <f t="shared" si="81"/>
        <v>167.30555555555583</v>
      </c>
      <c r="W320" s="22">
        <f t="shared" si="81"/>
        <v>135.60555555555558</v>
      </c>
      <c r="X320" s="22">
        <f t="shared" si="81"/>
        <v>149.69444444444417</v>
      </c>
      <c r="Y320" s="22">
        <f t="shared" si="81"/>
        <v>158.5</v>
      </c>
      <c r="Z320" s="23">
        <f t="shared" si="81"/>
        <v>126.79999999999976</v>
      </c>
      <c r="AA320" s="23">
        <f t="shared" si="81"/>
        <v>140.88888888888835</v>
      </c>
      <c r="AB320" s="23">
        <f t="shared" si="81"/>
        <v>149.69444444444417</v>
      </c>
      <c r="AC320" s="24">
        <f t="shared" si="81"/>
        <v>117.99444444444431</v>
      </c>
      <c r="AD320" s="24">
        <f t="shared" si="81"/>
        <v>132.08333333333374</v>
      </c>
      <c r="AE320" s="24">
        <f t="shared" si="81"/>
        <v>140.88888888888835</v>
      </c>
      <c r="AF320" s="25">
        <f t="shared" si="81"/>
        <v>109.18888888888871</v>
      </c>
      <c r="AG320" s="25">
        <f t="shared" si="81"/>
        <v>123.27777777777791</v>
      </c>
      <c r="AH320" s="25">
        <f t="shared" si="81"/>
        <v>132.08333333333374</v>
      </c>
      <c r="AI320" s="26">
        <f t="shared" si="81"/>
        <v>100.3833333333335</v>
      </c>
      <c r="AJ320" s="26">
        <f t="shared" si="84"/>
        <v>114.47222222222209</v>
      </c>
      <c r="AK320" s="26">
        <f t="shared" si="85"/>
        <v>123.27777777777791</v>
      </c>
    </row>
    <row r="321" spans="4:37" ht="20.100000000000001" customHeight="1">
      <c r="D321" s="27">
        <f t="shared" si="72"/>
        <v>0.88333333333333075</v>
      </c>
      <c r="E321" s="16">
        <f t="shared" si="83"/>
        <v>252.63333333333409</v>
      </c>
      <c r="F321" s="16">
        <f t="shared" si="83"/>
        <v>266.76666666666608</v>
      </c>
      <c r="G321" s="16">
        <f t="shared" si="83"/>
        <v>275.59999999999968</v>
      </c>
      <c r="H321" s="17">
        <f t="shared" si="83"/>
        <v>234.96666666666704</v>
      </c>
      <c r="I321" s="17">
        <f t="shared" si="83"/>
        <v>249.09999999999914</v>
      </c>
      <c r="J321" s="17">
        <f t="shared" si="83"/>
        <v>257.93333333333248</v>
      </c>
      <c r="K321" s="18">
        <f t="shared" si="83"/>
        <v>217.29999999999984</v>
      </c>
      <c r="L321" s="18">
        <f t="shared" si="83"/>
        <v>231.43333333333311</v>
      </c>
      <c r="M321" s="18">
        <f t="shared" si="83"/>
        <v>240.26666666666708</v>
      </c>
      <c r="N321" s="19">
        <f t="shared" si="83"/>
        <v>162.53333333333296</v>
      </c>
      <c r="O321" s="19">
        <f t="shared" si="83"/>
        <v>176.6666666666672</v>
      </c>
      <c r="P321" s="19">
        <f t="shared" si="83"/>
        <v>185.4999999999996</v>
      </c>
      <c r="Q321" s="20">
        <f t="shared" si="83"/>
        <v>153.70000000000056</v>
      </c>
      <c r="R321" s="20">
        <f t="shared" si="83"/>
        <v>167.8333333333336</v>
      </c>
      <c r="S321" s="20">
        <f t="shared" si="83"/>
        <v>176.6666666666672</v>
      </c>
      <c r="T321" s="21">
        <f t="shared" si="83"/>
        <v>144.86666666666696</v>
      </c>
      <c r="U321" s="21">
        <f t="shared" si="81"/>
        <v>159</v>
      </c>
      <c r="V321" s="21">
        <f t="shared" si="81"/>
        <v>167.8333333333336</v>
      </c>
      <c r="W321" s="22">
        <f t="shared" si="81"/>
        <v>136.03333333333336</v>
      </c>
      <c r="X321" s="22">
        <f t="shared" si="81"/>
        <v>150.1666666666664</v>
      </c>
      <c r="Y321" s="22">
        <f t="shared" si="81"/>
        <v>159</v>
      </c>
      <c r="Z321" s="23">
        <f t="shared" si="81"/>
        <v>127.19999999999976</v>
      </c>
      <c r="AA321" s="23">
        <f t="shared" si="81"/>
        <v>141.3333333333328</v>
      </c>
      <c r="AB321" s="23">
        <f t="shared" si="81"/>
        <v>150.1666666666664</v>
      </c>
      <c r="AC321" s="24">
        <f t="shared" si="81"/>
        <v>118.36666666666653</v>
      </c>
      <c r="AD321" s="24">
        <f t="shared" si="81"/>
        <v>132.5000000000004</v>
      </c>
      <c r="AE321" s="24">
        <f t="shared" si="81"/>
        <v>141.3333333333328</v>
      </c>
      <c r="AF321" s="25">
        <f t="shared" si="81"/>
        <v>109.53333333333316</v>
      </c>
      <c r="AG321" s="25">
        <f t="shared" si="81"/>
        <v>123.6666666666668</v>
      </c>
      <c r="AH321" s="25">
        <f t="shared" si="81"/>
        <v>132.5000000000004</v>
      </c>
      <c r="AI321" s="26">
        <f t="shared" si="81"/>
        <v>100.70000000000016</v>
      </c>
      <c r="AJ321" s="26">
        <f t="shared" si="84"/>
        <v>114.8333333333332</v>
      </c>
      <c r="AK321" s="26">
        <f t="shared" si="85"/>
        <v>123.6666666666668</v>
      </c>
    </row>
    <row r="322" spans="4:37" ht="20.100000000000001" customHeight="1">
      <c r="D322" s="27">
        <f t="shared" si="72"/>
        <v>0.88611111111110852</v>
      </c>
      <c r="E322" s="16">
        <f t="shared" si="83"/>
        <v>253.42777777777854</v>
      </c>
      <c r="F322" s="16">
        <f t="shared" si="83"/>
        <v>267.60555555555499</v>
      </c>
      <c r="G322" s="16">
        <f t="shared" si="83"/>
        <v>276.46666666666636</v>
      </c>
      <c r="H322" s="17">
        <f t="shared" si="83"/>
        <v>235.70555555555592</v>
      </c>
      <c r="I322" s="17">
        <f t="shared" si="83"/>
        <v>249.88333333333247</v>
      </c>
      <c r="J322" s="17">
        <f t="shared" si="83"/>
        <v>258.74444444444362</v>
      </c>
      <c r="K322" s="18">
        <f t="shared" si="83"/>
        <v>217.98333333333318</v>
      </c>
      <c r="L322" s="18">
        <f t="shared" si="83"/>
        <v>232.1611111111109</v>
      </c>
      <c r="M322" s="18">
        <f t="shared" si="83"/>
        <v>241.02222222222264</v>
      </c>
      <c r="N322" s="19">
        <f t="shared" si="83"/>
        <v>163.04444444444408</v>
      </c>
      <c r="O322" s="19">
        <f t="shared" si="83"/>
        <v>177.22222222222274</v>
      </c>
      <c r="P322" s="19">
        <f t="shared" si="83"/>
        <v>186.08333333333294</v>
      </c>
      <c r="Q322" s="20">
        <f t="shared" si="83"/>
        <v>154.18333333333388</v>
      </c>
      <c r="R322" s="20">
        <f t="shared" si="83"/>
        <v>168.36111111111137</v>
      </c>
      <c r="S322" s="20">
        <f t="shared" si="83"/>
        <v>177.22222222222274</v>
      </c>
      <c r="T322" s="21">
        <f t="shared" si="83"/>
        <v>145.32222222222251</v>
      </c>
      <c r="U322" s="21">
        <f t="shared" si="81"/>
        <v>159.5</v>
      </c>
      <c r="V322" s="21">
        <f t="shared" si="81"/>
        <v>168.36111111111137</v>
      </c>
      <c r="W322" s="22">
        <f t="shared" si="81"/>
        <v>136.46111111111114</v>
      </c>
      <c r="X322" s="22">
        <f t="shared" si="81"/>
        <v>150.63888888888863</v>
      </c>
      <c r="Y322" s="22">
        <f t="shared" si="81"/>
        <v>159.5</v>
      </c>
      <c r="Z322" s="23">
        <f t="shared" si="81"/>
        <v>127.59999999999977</v>
      </c>
      <c r="AA322" s="23">
        <f t="shared" si="81"/>
        <v>141.77777777777726</v>
      </c>
      <c r="AB322" s="23">
        <f t="shared" si="81"/>
        <v>150.63888888888863</v>
      </c>
      <c r="AC322" s="24">
        <f t="shared" si="81"/>
        <v>118.73888888888875</v>
      </c>
      <c r="AD322" s="24">
        <f t="shared" si="81"/>
        <v>132.91666666666706</v>
      </c>
      <c r="AE322" s="24">
        <f t="shared" si="81"/>
        <v>141.77777777777726</v>
      </c>
      <c r="AF322" s="25">
        <f t="shared" si="81"/>
        <v>109.87777777777761</v>
      </c>
      <c r="AG322" s="25">
        <f t="shared" si="81"/>
        <v>124.05555555555569</v>
      </c>
      <c r="AH322" s="25">
        <f t="shared" si="81"/>
        <v>132.91666666666706</v>
      </c>
      <c r="AI322" s="26">
        <f t="shared" si="81"/>
        <v>101.01666666666682</v>
      </c>
      <c r="AJ322" s="26">
        <f t="shared" si="84"/>
        <v>115.19444444444431</v>
      </c>
      <c r="AK322" s="26">
        <f t="shared" si="85"/>
        <v>124.05555555555569</v>
      </c>
    </row>
    <row r="323" spans="4:37" ht="20.100000000000001" customHeight="1">
      <c r="D323" s="27">
        <f t="shared" si="72"/>
        <v>0.88888888888888629</v>
      </c>
      <c r="E323" s="16">
        <f t="shared" si="83"/>
        <v>254.222222222223</v>
      </c>
      <c r="F323" s="16">
        <f t="shared" si="83"/>
        <v>268.44444444444389</v>
      </c>
      <c r="G323" s="16">
        <f t="shared" si="83"/>
        <v>277.33333333333303</v>
      </c>
      <c r="H323" s="17">
        <f t="shared" si="83"/>
        <v>236.4444444444448</v>
      </c>
      <c r="I323" s="17">
        <f t="shared" si="83"/>
        <v>250.6666666666658</v>
      </c>
      <c r="J323" s="17">
        <f t="shared" si="83"/>
        <v>259.55555555555475</v>
      </c>
      <c r="K323" s="18">
        <f t="shared" si="83"/>
        <v>218.66666666666652</v>
      </c>
      <c r="L323" s="18">
        <f t="shared" si="83"/>
        <v>232.88888888888869</v>
      </c>
      <c r="M323" s="18">
        <f t="shared" si="83"/>
        <v>241.7777777777782</v>
      </c>
      <c r="N323" s="19">
        <f t="shared" si="83"/>
        <v>163.5555555555552</v>
      </c>
      <c r="O323" s="19">
        <f t="shared" si="83"/>
        <v>177.77777777777828</v>
      </c>
      <c r="P323" s="19">
        <f t="shared" si="83"/>
        <v>186.66666666666629</v>
      </c>
      <c r="Q323" s="20">
        <f t="shared" si="83"/>
        <v>154.6666666666672</v>
      </c>
      <c r="R323" s="20">
        <f t="shared" si="83"/>
        <v>168.88888888888914</v>
      </c>
      <c r="S323" s="20">
        <f t="shared" si="83"/>
        <v>177.77777777777828</v>
      </c>
      <c r="T323" s="21">
        <f>T324-(T$363/360)</f>
        <v>145.77777777777806</v>
      </c>
      <c r="U323" s="21">
        <f t="shared" si="81"/>
        <v>160</v>
      </c>
      <c r="V323" s="21">
        <f t="shared" si="81"/>
        <v>168.88888888888914</v>
      </c>
      <c r="W323" s="22">
        <f t="shared" si="81"/>
        <v>136.88888888888891</v>
      </c>
      <c r="X323" s="22">
        <f t="shared" si="81"/>
        <v>151.11111111111086</v>
      </c>
      <c r="Y323" s="22">
        <f t="shared" si="81"/>
        <v>160</v>
      </c>
      <c r="Z323" s="23">
        <f t="shared" si="81"/>
        <v>127.99999999999977</v>
      </c>
      <c r="AA323" s="23">
        <f t="shared" si="81"/>
        <v>142.22222222222172</v>
      </c>
      <c r="AB323" s="23">
        <f t="shared" si="81"/>
        <v>151.11111111111086</v>
      </c>
      <c r="AC323" s="24">
        <f t="shared" si="81"/>
        <v>119.11111111111097</v>
      </c>
      <c r="AD323" s="24">
        <f t="shared" si="81"/>
        <v>133.33333333333371</v>
      </c>
      <c r="AE323" s="24">
        <f t="shared" si="81"/>
        <v>142.22222222222172</v>
      </c>
      <c r="AF323" s="25">
        <f t="shared" si="81"/>
        <v>110.22222222222206</v>
      </c>
      <c r="AG323" s="25">
        <f t="shared" si="81"/>
        <v>124.44444444444457</v>
      </c>
      <c r="AH323" s="25">
        <f t="shared" si="81"/>
        <v>133.33333333333371</v>
      </c>
      <c r="AI323" s="26">
        <f t="shared" si="81"/>
        <v>101.33333333333348</v>
      </c>
      <c r="AJ323" s="26">
        <f t="shared" si="84"/>
        <v>115.55555555555543</v>
      </c>
      <c r="AK323" s="26">
        <f t="shared" si="85"/>
        <v>124.44444444444457</v>
      </c>
    </row>
    <row r="324" spans="4:37" ht="20.100000000000001" customHeight="1">
      <c r="D324" s="27">
        <f t="shared" si="72"/>
        <v>0.89166666666666405</v>
      </c>
      <c r="E324" s="16">
        <f t="shared" ref="E324:T339" si="86">E325-(E$363/360)</f>
        <v>255.01666666666745</v>
      </c>
      <c r="F324" s="16">
        <f t="shared" si="86"/>
        <v>269.28333333333279</v>
      </c>
      <c r="G324" s="16">
        <f t="shared" si="86"/>
        <v>278.1999999999997</v>
      </c>
      <c r="H324" s="17">
        <f t="shared" si="86"/>
        <v>237.18333333333368</v>
      </c>
      <c r="I324" s="17">
        <f t="shared" si="86"/>
        <v>251.44999999999914</v>
      </c>
      <c r="J324" s="17">
        <f t="shared" si="86"/>
        <v>260.36666666666588</v>
      </c>
      <c r="K324" s="18">
        <f t="shared" si="86"/>
        <v>219.34999999999985</v>
      </c>
      <c r="L324" s="18">
        <f t="shared" si="86"/>
        <v>233.61666666666648</v>
      </c>
      <c r="M324" s="18">
        <f t="shared" si="86"/>
        <v>242.53333333333376</v>
      </c>
      <c r="N324" s="19">
        <f t="shared" si="86"/>
        <v>164.06666666666632</v>
      </c>
      <c r="O324" s="19">
        <f t="shared" si="86"/>
        <v>178.33333333333383</v>
      </c>
      <c r="P324" s="19">
        <f t="shared" si="86"/>
        <v>187.24999999999963</v>
      </c>
      <c r="Q324" s="20">
        <f t="shared" si="86"/>
        <v>155.15000000000052</v>
      </c>
      <c r="R324" s="20">
        <f t="shared" si="86"/>
        <v>169.41666666666691</v>
      </c>
      <c r="S324" s="20">
        <f t="shared" si="86"/>
        <v>178.33333333333383</v>
      </c>
      <c r="T324" s="21">
        <f t="shared" si="86"/>
        <v>146.2333333333336</v>
      </c>
      <c r="U324" s="21">
        <f t="shared" ref="U324:AJ339" si="87">U325-(U$363/360)</f>
        <v>160.5</v>
      </c>
      <c r="V324" s="21">
        <f t="shared" si="87"/>
        <v>169.41666666666691</v>
      </c>
      <c r="W324" s="22">
        <f t="shared" si="87"/>
        <v>137.31666666666669</v>
      </c>
      <c r="X324" s="22">
        <f t="shared" si="87"/>
        <v>151.58333333333309</v>
      </c>
      <c r="Y324" s="22">
        <f t="shared" si="87"/>
        <v>160.5</v>
      </c>
      <c r="Z324" s="23">
        <f t="shared" si="87"/>
        <v>128.39999999999978</v>
      </c>
      <c r="AA324" s="23">
        <f t="shared" si="87"/>
        <v>142.66666666666617</v>
      </c>
      <c r="AB324" s="23">
        <f t="shared" si="87"/>
        <v>151.58333333333309</v>
      </c>
      <c r="AC324" s="24">
        <f t="shared" si="87"/>
        <v>119.48333333333319</v>
      </c>
      <c r="AD324" s="24">
        <f t="shared" si="87"/>
        <v>133.75000000000037</v>
      </c>
      <c r="AE324" s="24">
        <f t="shared" si="87"/>
        <v>142.66666666666617</v>
      </c>
      <c r="AF324" s="25">
        <f t="shared" si="87"/>
        <v>110.56666666666651</v>
      </c>
      <c r="AG324" s="25">
        <f t="shared" si="87"/>
        <v>124.83333333333346</v>
      </c>
      <c r="AH324" s="25">
        <f t="shared" si="87"/>
        <v>133.75000000000037</v>
      </c>
      <c r="AI324" s="26">
        <f t="shared" si="87"/>
        <v>101.65000000000015</v>
      </c>
      <c r="AJ324" s="26">
        <f t="shared" si="87"/>
        <v>115.91666666666654</v>
      </c>
      <c r="AK324" s="26">
        <f>AK325-(AK$363/360)</f>
        <v>124.83333333333346</v>
      </c>
    </row>
    <row r="325" spans="4:37" ht="20.100000000000001" customHeight="1">
      <c r="D325" s="27">
        <f t="shared" ref="D325:D363" si="88">D324+0.2/72</f>
        <v>0.89444444444444182</v>
      </c>
      <c r="E325" s="16">
        <f t="shared" si="86"/>
        <v>255.8111111111119</v>
      </c>
      <c r="F325" s="16">
        <f t="shared" si="86"/>
        <v>270.12222222222169</v>
      </c>
      <c r="G325" s="16">
        <f t="shared" si="86"/>
        <v>279.06666666666638</v>
      </c>
      <c r="H325" s="17">
        <f t="shared" si="86"/>
        <v>237.92222222222256</v>
      </c>
      <c r="I325" s="17">
        <f t="shared" si="86"/>
        <v>252.23333333333247</v>
      </c>
      <c r="J325" s="17">
        <f t="shared" si="86"/>
        <v>261.17777777777701</v>
      </c>
      <c r="K325" s="18">
        <f t="shared" si="86"/>
        <v>220.03333333333319</v>
      </c>
      <c r="L325" s="18">
        <f t="shared" si="86"/>
        <v>234.34444444444426</v>
      </c>
      <c r="M325" s="18">
        <f t="shared" si="86"/>
        <v>243.28888888888932</v>
      </c>
      <c r="N325" s="19">
        <f t="shared" si="86"/>
        <v>164.57777777777744</v>
      </c>
      <c r="O325" s="19">
        <f t="shared" si="86"/>
        <v>178.88888888888937</v>
      </c>
      <c r="P325" s="19">
        <f t="shared" si="86"/>
        <v>187.83333333333297</v>
      </c>
      <c r="Q325" s="20">
        <f t="shared" si="86"/>
        <v>155.63333333333384</v>
      </c>
      <c r="R325" s="20">
        <f t="shared" si="86"/>
        <v>169.94444444444468</v>
      </c>
      <c r="S325" s="20">
        <f t="shared" si="86"/>
        <v>178.88888888888937</v>
      </c>
      <c r="T325" s="21">
        <f t="shared" si="86"/>
        <v>146.68888888888915</v>
      </c>
      <c r="U325" s="21">
        <f t="shared" si="87"/>
        <v>161</v>
      </c>
      <c r="V325" s="21">
        <f t="shared" si="87"/>
        <v>169.94444444444468</v>
      </c>
      <c r="W325" s="22">
        <f t="shared" si="87"/>
        <v>137.74444444444447</v>
      </c>
      <c r="X325" s="22">
        <f t="shared" si="87"/>
        <v>152.05555555555532</v>
      </c>
      <c r="Y325" s="22">
        <f t="shared" si="87"/>
        <v>161</v>
      </c>
      <c r="Z325" s="23">
        <f t="shared" si="87"/>
        <v>128.79999999999978</v>
      </c>
      <c r="AA325" s="23">
        <f t="shared" si="87"/>
        <v>143.11111111111063</v>
      </c>
      <c r="AB325" s="23">
        <f t="shared" si="87"/>
        <v>152.05555555555532</v>
      </c>
      <c r="AC325" s="24">
        <f t="shared" si="87"/>
        <v>119.85555555555541</v>
      </c>
      <c r="AD325" s="24">
        <f t="shared" si="87"/>
        <v>134.16666666666703</v>
      </c>
      <c r="AE325" s="24">
        <f t="shared" si="87"/>
        <v>143.11111111111063</v>
      </c>
      <c r="AF325" s="25">
        <f t="shared" si="87"/>
        <v>110.91111111111096</v>
      </c>
      <c r="AG325" s="25">
        <f t="shared" si="87"/>
        <v>125.22222222222234</v>
      </c>
      <c r="AH325" s="25">
        <f t="shared" si="87"/>
        <v>134.16666666666703</v>
      </c>
      <c r="AI325" s="26">
        <f t="shared" si="87"/>
        <v>101.96666666666681</v>
      </c>
      <c r="AJ325" s="26">
        <f t="shared" si="87"/>
        <v>116.27777777777766</v>
      </c>
      <c r="AK325" s="26">
        <f t="shared" ref="AK325:AK362" si="89">AK326-(AK$363/360)</f>
        <v>125.22222222222234</v>
      </c>
    </row>
    <row r="326" spans="4:37" ht="20.100000000000001" customHeight="1">
      <c r="D326" s="27">
        <f t="shared" si="88"/>
        <v>0.89722222222221959</v>
      </c>
      <c r="E326" s="16">
        <f t="shared" si="86"/>
        <v>256.60555555555635</v>
      </c>
      <c r="F326" s="16">
        <f t="shared" si="86"/>
        <v>270.9611111111106</v>
      </c>
      <c r="G326" s="16">
        <f t="shared" si="86"/>
        <v>279.93333333333305</v>
      </c>
      <c r="H326" s="17">
        <f t="shared" si="86"/>
        <v>238.66111111111144</v>
      </c>
      <c r="I326" s="17">
        <f t="shared" si="86"/>
        <v>253.0166666666658</v>
      </c>
      <c r="J326" s="17">
        <f t="shared" si="86"/>
        <v>261.98888888888814</v>
      </c>
      <c r="K326" s="18">
        <f t="shared" si="86"/>
        <v>220.71666666666653</v>
      </c>
      <c r="L326" s="18">
        <f t="shared" si="86"/>
        <v>235.07222222222205</v>
      </c>
      <c r="M326" s="18">
        <f t="shared" si="86"/>
        <v>244.04444444444488</v>
      </c>
      <c r="N326" s="19">
        <f t="shared" si="86"/>
        <v>165.08888888888856</v>
      </c>
      <c r="O326" s="19">
        <f t="shared" si="86"/>
        <v>179.44444444444491</v>
      </c>
      <c r="P326" s="19">
        <f t="shared" si="86"/>
        <v>188.41666666666632</v>
      </c>
      <c r="Q326" s="20">
        <f t="shared" si="86"/>
        <v>156.11666666666716</v>
      </c>
      <c r="R326" s="20">
        <f t="shared" si="86"/>
        <v>170.47222222222246</v>
      </c>
      <c r="S326" s="20">
        <f t="shared" si="86"/>
        <v>179.44444444444491</v>
      </c>
      <c r="T326" s="21">
        <f t="shared" si="86"/>
        <v>147.1444444444447</v>
      </c>
      <c r="U326" s="21">
        <f t="shared" si="87"/>
        <v>161.5</v>
      </c>
      <c r="V326" s="21">
        <f t="shared" si="87"/>
        <v>170.47222222222246</v>
      </c>
      <c r="W326" s="22">
        <f t="shared" si="87"/>
        <v>138.17222222222225</v>
      </c>
      <c r="X326" s="22">
        <f t="shared" si="87"/>
        <v>152.52777777777754</v>
      </c>
      <c r="Y326" s="22">
        <f t="shared" si="87"/>
        <v>161.5</v>
      </c>
      <c r="Z326" s="23">
        <f t="shared" si="87"/>
        <v>129.19999999999979</v>
      </c>
      <c r="AA326" s="23">
        <f t="shared" si="87"/>
        <v>143.55555555555509</v>
      </c>
      <c r="AB326" s="23">
        <f t="shared" si="87"/>
        <v>152.52777777777754</v>
      </c>
      <c r="AC326" s="24">
        <f t="shared" si="87"/>
        <v>120.22777777777763</v>
      </c>
      <c r="AD326" s="24">
        <f t="shared" si="87"/>
        <v>134.58333333333368</v>
      </c>
      <c r="AE326" s="24">
        <f t="shared" si="87"/>
        <v>143.55555555555509</v>
      </c>
      <c r="AF326" s="25">
        <f t="shared" si="87"/>
        <v>111.2555555555554</v>
      </c>
      <c r="AG326" s="25">
        <f t="shared" si="87"/>
        <v>125.61111111111123</v>
      </c>
      <c r="AH326" s="25">
        <f t="shared" si="87"/>
        <v>134.58333333333368</v>
      </c>
      <c r="AI326" s="26">
        <f t="shared" si="87"/>
        <v>102.28333333333347</v>
      </c>
      <c r="AJ326" s="26">
        <f t="shared" si="87"/>
        <v>116.63888888888877</v>
      </c>
      <c r="AK326" s="26">
        <f t="shared" si="89"/>
        <v>125.61111111111123</v>
      </c>
    </row>
    <row r="327" spans="4:37" ht="20.100000000000001" customHeight="1">
      <c r="D327" s="27">
        <f t="shared" si="88"/>
        <v>0.89999999999999736</v>
      </c>
      <c r="E327" s="16">
        <f t="shared" si="86"/>
        <v>257.40000000000077</v>
      </c>
      <c r="F327" s="16">
        <f t="shared" si="86"/>
        <v>271.7999999999995</v>
      </c>
      <c r="G327" s="16">
        <f t="shared" si="86"/>
        <v>280.79999999999973</v>
      </c>
      <c r="H327" s="17">
        <f t="shared" si="86"/>
        <v>239.40000000000032</v>
      </c>
      <c r="I327" s="17">
        <f t="shared" si="86"/>
        <v>253.79999999999913</v>
      </c>
      <c r="J327" s="17">
        <f t="shared" si="86"/>
        <v>262.79999999999927</v>
      </c>
      <c r="K327" s="18">
        <f t="shared" si="86"/>
        <v>221.39999999999986</v>
      </c>
      <c r="L327" s="18">
        <f t="shared" si="86"/>
        <v>235.79999999999984</v>
      </c>
      <c r="M327" s="18">
        <f t="shared" si="86"/>
        <v>244.80000000000044</v>
      </c>
      <c r="N327" s="19">
        <f t="shared" si="86"/>
        <v>165.59999999999968</v>
      </c>
      <c r="O327" s="19">
        <f t="shared" si="86"/>
        <v>180.00000000000045</v>
      </c>
      <c r="P327" s="19">
        <f t="shared" si="86"/>
        <v>188.99999999999966</v>
      </c>
      <c r="Q327" s="20">
        <f t="shared" si="86"/>
        <v>156.60000000000048</v>
      </c>
      <c r="R327" s="20">
        <f t="shared" si="86"/>
        <v>171.00000000000023</v>
      </c>
      <c r="S327" s="20">
        <f t="shared" si="86"/>
        <v>180.00000000000045</v>
      </c>
      <c r="T327" s="21">
        <f t="shared" si="86"/>
        <v>147.60000000000025</v>
      </c>
      <c r="U327" s="21">
        <f t="shared" si="87"/>
        <v>162</v>
      </c>
      <c r="V327" s="21">
        <f t="shared" si="87"/>
        <v>171.00000000000023</v>
      </c>
      <c r="W327" s="22">
        <f t="shared" si="87"/>
        <v>138.60000000000002</v>
      </c>
      <c r="X327" s="22">
        <f t="shared" si="87"/>
        <v>152.99999999999977</v>
      </c>
      <c r="Y327" s="22">
        <f t="shared" si="87"/>
        <v>162</v>
      </c>
      <c r="Z327" s="23">
        <f t="shared" si="87"/>
        <v>129.5999999999998</v>
      </c>
      <c r="AA327" s="23">
        <f t="shared" si="87"/>
        <v>143.99999999999955</v>
      </c>
      <c r="AB327" s="23">
        <f t="shared" si="87"/>
        <v>152.99999999999977</v>
      </c>
      <c r="AC327" s="24">
        <f t="shared" si="87"/>
        <v>120.59999999999985</v>
      </c>
      <c r="AD327" s="24">
        <f t="shared" si="87"/>
        <v>135.00000000000034</v>
      </c>
      <c r="AE327" s="24">
        <f t="shared" si="87"/>
        <v>143.99999999999955</v>
      </c>
      <c r="AF327" s="25">
        <f t="shared" si="87"/>
        <v>111.59999999999985</v>
      </c>
      <c r="AG327" s="25">
        <f t="shared" si="87"/>
        <v>126.00000000000011</v>
      </c>
      <c r="AH327" s="25">
        <f t="shared" si="87"/>
        <v>135.00000000000034</v>
      </c>
      <c r="AI327" s="26">
        <f t="shared" si="87"/>
        <v>102.60000000000014</v>
      </c>
      <c r="AJ327" s="26">
        <f t="shared" si="87"/>
        <v>116.99999999999989</v>
      </c>
      <c r="AK327" s="26">
        <f t="shared" si="89"/>
        <v>126.00000000000011</v>
      </c>
    </row>
    <row r="328" spans="4:37" ht="20.100000000000001" customHeight="1">
      <c r="D328" s="27">
        <f t="shared" si="88"/>
        <v>0.90277777777777513</v>
      </c>
      <c r="E328" s="16">
        <f t="shared" si="86"/>
        <v>258.1944444444452</v>
      </c>
      <c r="F328" s="16">
        <f t="shared" si="86"/>
        <v>272.6388888888884</v>
      </c>
      <c r="G328" s="16">
        <f t="shared" si="86"/>
        <v>281.6666666666664</v>
      </c>
      <c r="H328" s="17">
        <f t="shared" si="86"/>
        <v>240.1388888888892</v>
      </c>
      <c r="I328" s="17">
        <f t="shared" si="86"/>
        <v>254.58333333333246</v>
      </c>
      <c r="J328" s="17">
        <f t="shared" si="86"/>
        <v>263.6111111111104</v>
      </c>
      <c r="K328" s="18">
        <f t="shared" si="86"/>
        <v>222.0833333333332</v>
      </c>
      <c r="L328" s="18">
        <f t="shared" si="86"/>
        <v>236.52777777777763</v>
      </c>
      <c r="M328" s="18">
        <f t="shared" si="86"/>
        <v>245.555555555556</v>
      </c>
      <c r="N328" s="19">
        <f t="shared" si="86"/>
        <v>166.1111111111108</v>
      </c>
      <c r="O328" s="19">
        <f t="shared" si="86"/>
        <v>180.555555555556</v>
      </c>
      <c r="P328" s="19">
        <f t="shared" si="86"/>
        <v>189.583333333333</v>
      </c>
      <c r="Q328" s="20">
        <f t="shared" si="86"/>
        <v>157.0833333333338</v>
      </c>
      <c r="R328" s="20">
        <f t="shared" si="86"/>
        <v>171.527777777778</v>
      </c>
      <c r="S328" s="20">
        <f t="shared" si="86"/>
        <v>180.555555555556</v>
      </c>
      <c r="T328" s="21">
        <f t="shared" si="86"/>
        <v>148.0555555555558</v>
      </c>
      <c r="U328" s="21">
        <f t="shared" si="87"/>
        <v>162.5</v>
      </c>
      <c r="V328" s="21">
        <f t="shared" si="87"/>
        <v>171.527777777778</v>
      </c>
      <c r="W328" s="22">
        <f t="shared" si="87"/>
        <v>139.0277777777778</v>
      </c>
      <c r="X328" s="22">
        <f t="shared" si="87"/>
        <v>153.472222222222</v>
      </c>
      <c r="Y328" s="22">
        <f t="shared" si="87"/>
        <v>162.5</v>
      </c>
      <c r="Z328" s="23">
        <f t="shared" si="87"/>
        <v>129.9999999999998</v>
      </c>
      <c r="AA328" s="23">
        <f t="shared" si="87"/>
        <v>144.444444444444</v>
      </c>
      <c r="AB328" s="23">
        <f t="shared" si="87"/>
        <v>153.472222222222</v>
      </c>
      <c r="AC328" s="24">
        <f t="shared" si="87"/>
        <v>120.97222222222207</v>
      </c>
      <c r="AD328" s="24">
        <f t="shared" si="87"/>
        <v>135.416666666667</v>
      </c>
      <c r="AE328" s="24">
        <f t="shared" si="87"/>
        <v>144.444444444444</v>
      </c>
      <c r="AF328" s="25">
        <f t="shared" si="87"/>
        <v>111.9444444444443</v>
      </c>
      <c r="AG328" s="25">
        <f t="shared" si="87"/>
        <v>126.388888888889</v>
      </c>
      <c r="AH328" s="25">
        <f t="shared" si="87"/>
        <v>135.416666666667</v>
      </c>
      <c r="AI328" s="26">
        <f t="shared" si="87"/>
        <v>102.9166666666668</v>
      </c>
      <c r="AJ328" s="26">
        <f t="shared" si="87"/>
        <v>117.361111111111</v>
      </c>
      <c r="AK328" s="26">
        <f t="shared" si="89"/>
        <v>126.388888888889</v>
      </c>
    </row>
    <row r="329" spans="4:37" ht="20.100000000000001" customHeight="1">
      <c r="D329" s="27">
        <f t="shared" si="88"/>
        <v>0.90555555555555289</v>
      </c>
      <c r="E329" s="16">
        <f t="shared" si="86"/>
        <v>258.98888888888962</v>
      </c>
      <c r="F329" s="16">
        <f t="shared" si="86"/>
        <v>273.47777777777731</v>
      </c>
      <c r="G329" s="16">
        <f t="shared" si="86"/>
        <v>282.53333333333308</v>
      </c>
      <c r="H329" s="17">
        <f t="shared" si="86"/>
        <v>240.87777777777808</v>
      </c>
      <c r="I329" s="17">
        <f t="shared" si="86"/>
        <v>255.36666666666579</v>
      </c>
      <c r="J329" s="17">
        <f t="shared" si="86"/>
        <v>264.42222222222154</v>
      </c>
      <c r="K329" s="18">
        <f t="shared" si="86"/>
        <v>222.76666666666654</v>
      </c>
      <c r="L329" s="18">
        <f t="shared" si="86"/>
        <v>237.25555555555542</v>
      </c>
      <c r="M329" s="18">
        <f t="shared" si="86"/>
        <v>246.31111111111156</v>
      </c>
      <c r="N329" s="19">
        <f t="shared" si="86"/>
        <v>166.62222222222192</v>
      </c>
      <c r="O329" s="19">
        <f t="shared" si="86"/>
        <v>181.11111111111154</v>
      </c>
      <c r="P329" s="19">
        <f t="shared" si="86"/>
        <v>190.16666666666634</v>
      </c>
      <c r="Q329" s="20">
        <f t="shared" si="86"/>
        <v>157.56666666666712</v>
      </c>
      <c r="R329" s="20">
        <f t="shared" si="86"/>
        <v>172.05555555555577</v>
      </c>
      <c r="S329" s="20">
        <f t="shared" si="86"/>
        <v>181.11111111111154</v>
      </c>
      <c r="T329" s="21">
        <f t="shared" si="86"/>
        <v>148.51111111111135</v>
      </c>
      <c r="U329" s="21">
        <f t="shared" si="87"/>
        <v>163</v>
      </c>
      <c r="V329" s="21">
        <f t="shared" si="87"/>
        <v>172.05555555555577</v>
      </c>
      <c r="W329" s="22">
        <f t="shared" si="87"/>
        <v>139.45555555555558</v>
      </c>
      <c r="X329" s="22">
        <f t="shared" si="87"/>
        <v>153.94444444444423</v>
      </c>
      <c r="Y329" s="22">
        <f t="shared" si="87"/>
        <v>163</v>
      </c>
      <c r="Z329" s="23">
        <f t="shared" si="87"/>
        <v>130.39999999999981</v>
      </c>
      <c r="AA329" s="23">
        <f t="shared" si="87"/>
        <v>144.88888888888846</v>
      </c>
      <c r="AB329" s="23">
        <f t="shared" si="87"/>
        <v>153.94444444444423</v>
      </c>
      <c r="AC329" s="24">
        <f t="shared" si="87"/>
        <v>121.34444444444429</v>
      </c>
      <c r="AD329" s="24">
        <f t="shared" si="87"/>
        <v>135.83333333333366</v>
      </c>
      <c r="AE329" s="24">
        <f t="shared" si="87"/>
        <v>144.88888888888846</v>
      </c>
      <c r="AF329" s="25">
        <f t="shared" si="87"/>
        <v>112.28888888888875</v>
      </c>
      <c r="AG329" s="25">
        <f t="shared" si="87"/>
        <v>126.77777777777789</v>
      </c>
      <c r="AH329" s="25">
        <f t="shared" si="87"/>
        <v>135.83333333333366</v>
      </c>
      <c r="AI329" s="26">
        <f t="shared" si="87"/>
        <v>103.23333333333346</v>
      </c>
      <c r="AJ329" s="26">
        <f t="shared" si="87"/>
        <v>117.72222222222211</v>
      </c>
      <c r="AK329" s="26">
        <f t="shared" si="89"/>
        <v>126.77777777777789</v>
      </c>
    </row>
    <row r="330" spans="4:37" ht="20.100000000000001" customHeight="1">
      <c r="D330" s="27">
        <f t="shared" si="88"/>
        <v>0.90833333333333066</v>
      </c>
      <c r="E330" s="16">
        <f t="shared" si="86"/>
        <v>259.78333333333404</v>
      </c>
      <c r="F330" s="16">
        <f t="shared" si="86"/>
        <v>274.31666666666621</v>
      </c>
      <c r="G330" s="16">
        <f t="shared" si="86"/>
        <v>283.39999999999975</v>
      </c>
      <c r="H330" s="17">
        <f t="shared" si="86"/>
        <v>241.61666666666696</v>
      </c>
      <c r="I330" s="17">
        <f t="shared" si="86"/>
        <v>256.14999999999912</v>
      </c>
      <c r="J330" s="17">
        <f t="shared" si="86"/>
        <v>265.23333333333267</v>
      </c>
      <c r="K330" s="18">
        <f t="shared" si="86"/>
        <v>223.44999999999987</v>
      </c>
      <c r="L330" s="18">
        <f t="shared" si="86"/>
        <v>237.98333333333321</v>
      </c>
      <c r="M330" s="18">
        <f t="shared" si="86"/>
        <v>247.06666666666712</v>
      </c>
      <c r="N330" s="19">
        <f t="shared" si="86"/>
        <v>167.13333333333304</v>
      </c>
      <c r="O330" s="19">
        <f t="shared" si="86"/>
        <v>181.66666666666708</v>
      </c>
      <c r="P330" s="19">
        <f t="shared" si="86"/>
        <v>190.74999999999969</v>
      </c>
      <c r="Q330" s="20">
        <f t="shared" si="86"/>
        <v>158.05000000000044</v>
      </c>
      <c r="R330" s="20">
        <f t="shared" si="86"/>
        <v>172.58333333333354</v>
      </c>
      <c r="S330" s="20">
        <f t="shared" si="86"/>
        <v>181.66666666666708</v>
      </c>
      <c r="T330" s="21">
        <f t="shared" si="86"/>
        <v>148.9666666666669</v>
      </c>
      <c r="U330" s="21">
        <f t="shared" si="87"/>
        <v>163.5</v>
      </c>
      <c r="V330" s="21">
        <f t="shared" si="87"/>
        <v>172.58333333333354</v>
      </c>
      <c r="W330" s="22">
        <f t="shared" si="87"/>
        <v>139.88333333333335</v>
      </c>
      <c r="X330" s="22">
        <f t="shared" si="87"/>
        <v>154.41666666666646</v>
      </c>
      <c r="Y330" s="22">
        <f t="shared" si="87"/>
        <v>163.5</v>
      </c>
      <c r="Z330" s="23">
        <f t="shared" si="87"/>
        <v>130.79999999999981</v>
      </c>
      <c r="AA330" s="23">
        <f t="shared" si="87"/>
        <v>145.33333333333292</v>
      </c>
      <c r="AB330" s="23">
        <f t="shared" si="87"/>
        <v>154.41666666666646</v>
      </c>
      <c r="AC330" s="24">
        <f t="shared" si="87"/>
        <v>121.71666666666651</v>
      </c>
      <c r="AD330" s="24">
        <f t="shared" si="87"/>
        <v>136.25000000000031</v>
      </c>
      <c r="AE330" s="24">
        <f t="shared" si="87"/>
        <v>145.33333333333292</v>
      </c>
      <c r="AF330" s="25">
        <f t="shared" si="87"/>
        <v>112.6333333333332</v>
      </c>
      <c r="AG330" s="25">
        <f t="shared" si="87"/>
        <v>127.16666666666677</v>
      </c>
      <c r="AH330" s="25">
        <f t="shared" si="87"/>
        <v>136.25000000000031</v>
      </c>
      <c r="AI330" s="26">
        <f t="shared" si="87"/>
        <v>103.55000000000013</v>
      </c>
      <c r="AJ330" s="26">
        <f t="shared" si="87"/>
        <v>118.08333333333323</v>
      </c>
      <c r="AK330" s="26">
        <f t="shared" si="89"/>
        <v>127.16666666666677</v>
      </c>
    </row>
    <row r="331" spans="4:37" ht="20.100000000000001" customHeight="1">
      <c r="D331" s="27">
        <f t="shared" si="88"/>
        <v>0.91111111111110843</v>
      </c>
      <c r="E331" s="16">
        <f t="shared" si="86"/>
        <v>260.57777777777846</v>
      </c>
      <c r="F331" s="16">
        <f t="shared" si="86"/>
        <v>275.15555555555511</v>
      </c>
      <c r="G331" s="16">
        <f t="shared" si="86"/>
        <v>284.26666666666642</v>
      </c>
      <c r="H331" s="17">
        <f t="shared" si="86"/>
        <v>242.35555555555584</v>
      </c>
      <c r="I331" s="17">
        <f t="shared" si="86"/>
        <v>256.93333333333248</v>
      </c>
      <c r="J331" s="17">
        <f t="shared" si="86"/>
        <v>266.0444444444438</v>
      </c>
      <c r="K331" s="18">
        <f t="shared" si="86"/>
        <v>224.13333333333321</v>
      </c>
      <c r="L331" s="18">
        <f t="shared" si="86"/>
        <v>238.71111111111099</v>
      </c>
      <c r="M331" s="18">
        <f t="shared" si="86"/>
        <v>247.82222222222268</v>
      </c>
      <c r="N331" s="19">
        <f t="shared" si="86"/>
        <v>167.64444444444416</v>
      </c>
      <c r="O331" s="19">
        <f t="shared" si="86"/>
        <v>182.22222222222263</v>
      </c>
      <c r="P331" s="19">
        <f t="shared" si="86"/>
        <v>191.33333333333303</v>
      </c>
      <c r="Q331" s="20">
        <f t="shared" si="86"/>
        <v>158.53333333333376</v>
      </c>
      <c r="R331" s="20">
        <f t="shared" si="86"/>
        <v>173.11111111111131</v>
      </c>
      <c r="S331" s="20">
        <f t="shared" si="86"/>
        <v>182.22222222222263</v>
      </c>
      <c r="T331" s="21">
        <f t="shared" si="86"/>
        <v>149.42222222222244</v>
      </c>
      <c r="U331" s="21">
        <f t="shared" si="87"/>
        <v>164</v>
      </c>
      <c r="V331" s="21">
        <f t="shared" si="87"/>
        <v>173.11111111111131</v>
      </c>
      <c r="W331" s="22">
        <f t="shared" si="87"/>
        <v>140.31111111111113</v>
      </c>
      <c r="X331" s="22">
        <f t="shared" si="87"/>
        <v>154.88888888888869</v>
      </c>
      <c r="Y331" s="22">
        <f t="shared" si="87"/>
        <v>164</v>
      </c>
      <c r="Z331" s="23">
        <f t="shared" si="87"/>
        <v>131.19999999999982</v>
      </c>
      <c r="AA331" s="23">
        <f t="shared" si="87"/>
        <v>145.77777777777737</v>
      </c>
      <c r="AB331" s="23">
        <f t="shared" si="87"/>
        <v>154.88888888888869</v>
      </c>
      <c r="AC331" s="24">
        <f t="shared" si="87"/>
        <v>122.08888888888873</v>
      </c>
      <c r="AD331" s="24">
        <f t="shared" si="87"/>
        <v>136.66666666666697</v>
      </c>
      <c r="AE331" s="24">
        <f t="shared" si="87"/>
        <v>145.77777777777737</v>
      </c>
      <c r="AF331" s="25">
        <f t="shared" si="87"/>
        <v>112.97777777777765</v>
      </c>
      <c r="AG331" s="25">
        <f t="shared" si="87"/>
        <v>127.55555555555566</v>
      </c>
      <c r="AH331" s="25">
        <f t="shared" si="87"/>
        <v>136.66666666666697</v>
      </c>
      <c r="AI331" s="26">
        <f t="shared" si="87"/>
        <v>103.86666666666679</v>
      </c>
      <c r="AJ331" s="26">
        <f t="shared" si="87"/>
        <v>118.44444444444434</v>
      </c>
      <c r="AK331" s="26">
        <f t="shared" si="89"/>
        <v>127.55555555555566</v>
      </c>
    </row>
    <row r="332" spans="4:37" ht="20.100000000000001" customHeight="1">
      <c r="D332" s="27">
        <f t="shared" si="88"/>
        <v>0.9138888888888862</v>
      </c>
      <c r="E332" s="16">
        <f t="shared" si="86"/>
        <v>261.37222222222289</v>
      </c>
      <c r="F332" s="16">
        <f t="shared" si="86"/>
        <v>275.99444444444401</v>
      </c>
      <c r="G332" s="16">
        <f t="shared" si="86"/>
        <v>285.1333333333331</v>
      </c>
      <c r="H332" s="17">
        <f t="shared" si="86"/>
        <v>243.09444444444472</v>
      </c>
      <c r="I332" s="17">
        <f t="shared" si="86"/>
        <v>257.71666666666584</v>
      </c>
      <c r="J332" s="17">
        <f t="shared" si="86"/>
        <v>266.85555555555493</v>
      </c>
      <c r="K332" s="18">
        <f t="shared" si="86"/>
        <v>224.81666666666655</v>
      </c>
      <c r="L332" s="18">
        <f t="shared" si="86"/>
        <v>239.43888888888878</v>
      </c>
      <c r="M332" s="18">
        <f t="shared" si="86"/>
        <v>248.57777777777824</v>
      </c>
      <c r="N332" s="19">
        <f t="shared" si="86"/>
        <v>168.15555555555528</v>
      </c>
      <c r="O332" s="19">
        <f t="shared" si="86"/>
        <v>182.77777777777817</v>
      </c>
      <c r="P332" s="19">
        <f t="shared" si="86"/>
        <v>191.91666666666637</v>
      </c>
      <c r="Q332" s="20">
        <f t="shared" si="86"/>
        <v>159.01666666666708</v>
      </c>
      <c r="R332" s="20">
        <f t="shared" si="86"/>
        <v>173.63888888888908</v>
      </c>
      <c r="S332" s="20">
        <f t="shared" si="86"/>
        <v>182.77777777777817</v>
      </c>
      <c r="T332" s="21">
        <f t="shared" si="86"/>
        <v>149.87777777777799</v>
      </c>
      <c r="U332" s="21">
        <f t="shared" si="87"/>
        <v>164.5</v>
      </c>
      <c r="V332" s="21">
        <f t="shared" si="87"/>
        <v>173.63888888888908</v>
      </c>
      <c r="W332" s="22">
        <f t="shared" si="87"/>
        <v>140.73888888888891</v>
      </c>
      <c r="X332" s="22">
        <f t="shared" si="87"/>
        <v>155.36111111111092</v>
      </c>
      <c r="Y332" s="22">
        <f t="shared" si="87"/>
        <v>164.5</v>
      </c>
      <c r="Z332" s="23">
        <f t="shared" si="87"/>
        <v>131.59999999999982</v>
      </c>
      <c r="AA332" s="23">
        <f t="shared" si="87"/>
        <v>146.22222222222183</v>
      </c>
      <c r="AB332" s="23">
        <f t="shared" si="87"/>
        <v>155.36111111111092</v>
      </c>
      <c r="AC332" s="24">
        <f t="shared" si="87"/>
        <v>122.46111111111095</v>
      </c>
      <c r="AD332" s="24">
        <f t="shared" si="87"/>
        <v>137.08333333333363</v>
      </c>
      <c r="AE332" s="24">
        <f t="shared" si="87"/>
        <v>146.22222222222183</v>
      </c>
      <c r="AF332" s="25">
        <f t="shared" si="87"/>
        <v>113.32222222222209</v>
      </c>
      <c r="AG332" s="25">
        <f t="shared" si="87"/>
        <v>127.94444444444454</v>
      </c>
      <c r="AH332" s="25">
        <f t="shared" si="87"/>
        <v>137.08333333333363</v>
      </c>
      <c r="AI332" s="26">
        <f t="shared" si="87"/>
        <v>104.18333333333345</v>
      </c>
      <c r="AJ332" s="26">
        <f t="shared" si="87"/>
        <v>118.80555555555546</v>
      </c>
      <c r="AK332" s="26">
        <f t="shared" si="89"/>
        <v>127.94444444444454</v>
      </c>
    </row>
    <row r="333" spans="4:37" ht="20.100000000000001" customHeight="1">
      <c r="D333" s="27">
        <f t="shared" si="88"/>
        <v>0.91666666666666397</v>
      </c>
      <c r="E333" s="16">
        <f t="shared" si="86"/>
        <v>262.16666666666731</v>
      </c>
      <c r="F333" s="16">
        <f t="shared" si="86"/>
        <v>276.83333333333292</v>
      </c>
      <c r="G333" s="16">
        <f t="shared" si="86"/>
        <v>285.99999999999977</v>
      </c>
      <c r="H333" s="17">
        <f t="shared" si="86"/>
        <v>243.8333333333336</v>
      </c>
      <c r="I333" s="17">
        <f t="shared" si="86"/>
        <v>258.4999999999992</v>
      </c>
      <c r="J333" s="17">
        <f t="shared" si="86"/>
        <v>267.66666666666606</v>
      </c>
      <c r="K333" s="18">
        <f t="shared" si="86"/>
        <v>225.49999999999989</v>
      </c>
      <c r="L333" s="18">
        <f t="shared" si="86"/>
        <v>240.16666666666657</v>
      </c>
      <c r="M333" s="18">
        <f t="shared" si="86"/>
        <v>249.3333333333338</v>
      </c>
      <c r="N333" s="19">
        <f t="shared" si="86"/>
        <v>168.6666666666664</v>
      </c>
      <c r="O333" s="19">
        <f t="shared" si="86"/>
        <v>183.33333333333371</v>
      </c>
      <c r="P333" s="19">
        <f t="shared" si="86"/>
        <v>192.49999999999972</v>
      </c>
      <c r="Q333" s="20">
        <f t="shared" si="86"/>
        <v>159.5000000000004</v>
      </c>
      <c r="R333" s="20">
        <f t="shared" si="86"/>
        <v>174.16666666666686</v>
      </c>
      <c r="S333" s="20">
        <f t="shared" si="86"/>
        <v>183.33333333333371</v>
      </c>
      <c r="T333" s="21">
        <f t="shared" si="86"/>
        <v>150.33333333333354</v>
      </c>
      <c r="U333" s="21">
        <f t="shared" si="87"/>
        <v>165</v>
      </c>
      <c r="V333" s="21">
        <f t="shared" si="87"/>
        <v>174.16666666666686</v>
      </c>
      <c r="W333" s="22">
        <f t="shared" si="87"/>
        <v>141.16666666666669</v>
      </c>
      <c r="X333" s="22">
        <f t="shared" si="87"/>
        <v>155.83333333333314</v>
      </c>
      <c r="Y333" s="22">
        <f t="shared" si="87"/>
        <v>165</v>
      </c>
      <c r="Z333" s="23">
        <f t="shared" si="87"/>
        <v>131.99999999999983</v>
      </c>
      <c r="AA333" s="23">
        <f t="shared" si="87"/>
        <v>146.66666666666629</v>
      </c>
      <c r="AB333" s="23">
        <f t="shared" si="87"/>
        <v>155.83333333333314</v>
      </c>
      <c r="AC333" s="24">
        <f t="shared" si="87"/>
        <v>122.83333333333317</v>
      </c>
      <c r="AD333" s="24">
        <f t="shared" si="87"/>
        <v>137.50000000000028</v>
      </c>
      <c r="AE333" s="24">
        <f t="shared" si="87"/>
        <v>146.66666666666629</v>
      </c>
      <c r="AF333" s="25">
        <f t="shared" si="87"/>
        <v>113.66666666666654</v>
      </c>
      <c r="AG333" s="25">
        <f t="shared" si="87"/>
        <v>128.33333333333343</v>
      </c>
      <c r="AH333" s="25">
        <f t="shared" si="87"/>
        <v>137.50000000000028</v>
      </c>
      <c r="AI333" s="26">
        <f t="shared" si="87"/>
        <v>104.50000000000011</v>
      </c>
      <c r="AJ333" s="26">
        <f t="shared" si="87"/>
        <v>119.16666666666657</v>
      </c>
      <c r="AK333" s="26">
        <f t="shared" si="89"/>
        <v>128.33333333333343</v>
      </c>
    </row>
    <row r="334" spans="4:37" ht="20.100000000000001" customHeight="1">
      <c r="D334" s="27">
        <f t="shared" si="88"/>
        <v>0.91944444444444173</v>
      </c>
      <c r="E334" s="16">
        <f t="shared" si="86"/>
        <v>262.96111111111173</v>
      </c>
      <c r="F334" s="16">
        <f t="shared" si="86"/>
        <v>277.67222222222182</v>
      </c>
      <c r="G334" s="16">
        <f t="shared" si="86"/>
        <v>286.86666666666645</v>
      </c>
      <c r="H334" s="17">
        <f t="shared" si="86"/>
        <v>244.57222222222248</v>
      </c>
      <c r="I334" s="17">
        <f t="shared" si="86"/>
        <v>259.28333333333256</v>
      </c>
      <c r="J334" s="17">
        <f t="shared" si="86"/>
        <v>268.47777777777719</v>
      </c>
      <c r="K334" s="18">
        <f t="shared" si="86"/>
        <v>226.18333333333322</v>
      </c>
      <c r="L334" s="18">
        <f t="shared" si="86"/>
        <v>240.89444444444436</v>
      </c>
      <c r="M334" s="18">
        <f t="shared" si="86"/>
        <v>250.08888888888936</v>
      </c>
      <c r="N334" s="19">
        <f t="shared" si="86"/>
        <v>169.17777777777752</v>
      </c>
      <c r="O334" s="19">
        <f t="shared" si="86"/>
        <v>183.88888888888926</v>
      </c>
      <c r="P334" s="19">
        <f t="shared" si="86"/>
        <v>193.08333333333306</v>
      </c>
      <c r="Q334" s="20">
        <f t="shared" si="86"/>
        <v>159.98333333333372</v>
      </c>
      <c r="R334" s="20">
        <f t="shared" si="86"/>
        <v>174.69444444444463</v>
      </c>
      <c r="S334" s="20">
        <f t="shared" si="86"/>
        <v>183.88888888888926</v>
      </c>
      <c r="T334" s="21">
        <f t="shared" si="86"/>
        <v>150.78888888888909</v>
      </c>
      <c r="U334" s="21">
        <f t="shared" si="87"/>
        <v>165.5</v>
      </c>
      <c r="V334" s="21">
        <f t="shared" si="87"/>
        <v>174.69444444444463</v>
      </c>
      <c r="W334" s="22">
        <f t="shared" si="87"/>
        <v>141.59444444444446</v>
      </c>
      <c r="X334" s="22">
        <f t="shared" si="87"/>
        <v>156.30555555555537</v>
      </c>
      <c r="Y334" s="22">
        <f t="shared" si="87"/>
        <v>165.5</v>
      </c>
      <c r="Z334" s="23">
        <f t="shared" si="87"/>
        <v>132.39999999999984</v>
      </c>
      <c r="AA334" s="23">
        <f t="shared" si="87"/>
        <v>147.11111111111074</v>
      </c>
      <c r="AB334" s="23">
        <f t="shared" si="87"/>
        <v>156.30555555555537</v>
      </c>
      <c r="AC334" s="24">
        <f t="shared" si="87"/>
        <v>123.20555555555539</v>
      </c>
      <c r="AD334" s="24">
        <f t="shared" si="87"/>
        <v>137.91666666666694</v>
      </c>
      <c r="AE334" s="24">
        <f t="shared" si="87"/>
        <v>147.11111111111074</v>
      </c>
      <c r="AF334" s="25">
        <f t="shared" si="87"/>
        <v>114.01111111111099</v>
      </c>
      <c r="AG334" s="25">
        <f t="shared" si="87"/>
        <v>128.72222222222231</v>
      </c>
      <c r="AH334" s="25">
        <f t="shared" si="87"/>
        <v>137.91666666666694</v>
      </c>
      <c r="AI334" s="26">
        <f t="shared" si="87"/>
        <v>104.81666666666678</v>
      </c>
      <c r="AJ334" s="26">
        <f t="shared" si="87"/>
        <v>119.52777777777769</v>
      </c>
      <c r="AK334" s="26">
        <f t="shared" si="89"/>
        <v>128.72222222222231</v>
      </c>
    </row>
    <row r="335" spans="4:37" ht="20.100000000000001" customHeight="1">
      <c r="D335" s="27">
        <f t="shared" si="88"/>
        <v>0.9222222222222195</v>
      </c>
      <c r="E335" s="16">
        <f t="shared" si="86"/>
        <v>263.75555555555616</v>
      </c>
      <c r="F335" s="16">
        <f t="shared" si="86"/>
        <v>278.51111111111072</v>
      </c>
      <c r="G335" s="16">
        <f t="shared" si="86"/>
        <v>287.73333333333312</v>
      </c>
      <c r="H335" s="17">
        <f t="shared" si="86"/>
        <v>245.31111111111136</v>
      </c>
      <c r="I335" s="17">
        <f t="shared" si="86"/>
        <v>260.06666666666592</v>
      </c>
      <c r="J335" s="17">
        <f t="shared" si="86"/>
        <v>269.28888888888832</v>
      </c>
      <c r="K335" s="18">
        <f t="shared" si="86"/>
        <v>226.86666666666656</v>
      </c>
      <c r="L335" s="18">
        <f t="shared" si="86"/>
        <v>241.62222222222215</v>
      </c>
      <c r="M335" s="18">
        <f t="shared" si="86"/>
        <v>250.84444444444492</v>
      </c>
      <c r="N335" s="19">
        <f t="shared" si="86"/>
        <v>169.68888888888864</v>
      </c>
      <c r="O335" s="19">
        <f t="shared" si="86"/>
        <v>184.4444444444448</v>
      </c>
      <c r="P335" s="19">
        <f t="shared" si="86"/>
        <v>193.6666666666664</v>
      </c>
      <c r="Q335" s="20">
        <f t="shared" si="86"/>
        <v>160.46666666666704</v>
      </c>
      <c r="R335" s="20">
        <f t="shared" si="86"/>
        <v>175.2222222222224</v>
      </c>
      <c r="S335" s="20">
        <f t="shared" si="86"/>
        <v>184.4444444444448</v>
      </c>
      <c r="T335" s="21">
        <f t="shared" si="86"/>
        <v>151.24444444444464</v>
      </c>
      <c r="U335" s="21">
        <f t="shared" si="87"/>
        <v>166</v>
      </c>
      <c r="V335" s="21">
        <f t="shared" si="87"/>
        <v>175.2222222222224</v>
      </c>
      <c r="W335" s="22">
        <f t="shared" si="87"/>
        <v>142.02222222222224</v>
      </c>
      <c r="X335" s="22">
        <f t="shared" si="87"/>
        <v>156.7777777777776</v>
      </c>
      <c r="Y335" s="22">
        <f t="shared" si="87"/>
        <v>166</v>
      </c>
      <c r="Z335" s="23">
        <f t="shared" si="87"/>
        <v>132.79999999999984</v>
      </c>
      <c r="AA335" s="23">
        <f t="shared" si="87"/>
        <v>147.5555555555552</v>
      </c>
      <c r="AB335" s="23">
        <f t="shared" si="87"/>
        <v>156.7777777777776</v>
      </c>
      <c r="AC335" s="24">
        <f t="shared" si="87"/>
        <v>123.57777777777761</v>
      </c>
      <c r="AD335" s="24">
        <f t="shared" si="87"/>
        <v>138.3333333333336</v>
      </c>
      <c r="AE335" s="24">
        <f t="shared" si="87"/>
        <v>147.5555555555552</v>
      </c>
      <c r="AF335" s="25">
        <f t="shared" si="87"/>
        <v>114.35555555555544</v>
      </c>
      <c r="AG335" s="25">
        <f t="shared" si="87"/>
        <v>129.1111111111112</v>
      </c>
      <c r="AH335" s="25">
        <f t="shared" si="87"/>
        <v>138.3333333333336</v>
      </c>
      <c r="AI335" s="26">
        <f t="shared" si="87"/>
        <v>105.13333333333344</v>
      </c>
      <c r="AJ335" s="26">
        <f t="shared" si="87"/>
        <v>119.8888888888888</v>
      </c>
      <c r="AK335" s="26">
        <f t="shared" si="89"/>
        <v>129.1111111111112</v>
      </c>
    </row>
    <row r="336" spans="4:37" ht="20.100000000000001" customHeight="1">
      <c r="D336" s="27">
        <f t="shared" si="88"/>
        <v>0.92499999999999727</v>
      </c>
      <c r="E336" s="16">
        <f t="shared" si="86"/>
        <v>264.55000000000058</v>
      </c>
      <c r="F336" s="16">
        <f t="shared" si="86"/>
        <v>279.34999999999962</v>
      </c>
      <c r="G336" s="16">
        <f t="shared" si="86"/>
        <v>288.5999999999998</v>
      </c>
      <c r="H336" s="17">
        <f t="shared" si="86"/>
        <v>246.05000000000024</v>
      </c>
      <c r="I336" s="17">
        <f t="shared" si="86"/>
        <v>260.84999999999928</v>
      </c>
      <c r="J336" s="17">
        <f t="shared" si="86"/>
        <v>270.09999999999945</v>
      </c>
      <c r="K336" s="18">
        <f t="shared" si="86"/>
        <v>227.5499999999999</v>
      </c>
      <c r="L336" s="18">
        <f t="shared" si="86"/>
        <v>242.34999999999994</v>
      </c>
      <c r="M336" s="18">
        <f t="shared" si="86"/>
        <v>251.60000000000048</v>
      </c>
      <c r="N336" s="19">
        <f t="shared" si="86"/>
        <v>170.19999999999976</v>
      </c>
      <c r="O336" s="19">
        <f t="shared" si="86"/>
        <v>185.00000000000034</v>
      </c>
      <c r="P336" s="19">
        <f t="shared" si="86"/>
        <v>194.24999999999974</v>
      </c>
      <c r="Q336" s="20">
        <f t="shared" si="86"/>
        <v>160.95000000000036</v>
      </c>
      <c r="R336" s="20">
        <f t="shared" si="86"/>
        <v>175.75000000000017</v>
      </c>
      <c r="S336" s="20">
        <f t="shared" si="86"/>
        <v>185.00000000000034</v>
      </c>
      <c r="T336" s="21">
        <f t="shared" si="86"/>
        <v>151.70000000000019</v>
      </c>
      <c r="U336" s="21">
        <f t="shared" si="87"/>
        <v>166.5</v>
      </c>
      <c r="V336" s="21">
        <f t="shared" si="87"/>
        <v>175.75000000000017</v>
      </c>
      <c r="W336" s="22">
        <f t="shared" si="87"/>
        <v>142.45000000000002</v>
      </c>
      <c r="X336" s="22">
        <f t="shared" si="87"/>
        <v>157.24999999999983</v>
      </c>
      <c r="Y336" s="22">
        <f t="shared" si="87"/>
        <v>166.5</v>
      </c>
      <c r="Z336" s="23">
        <f t="shared" si="87"/>
        <v>133.19999999999985</v>
      </c>
      <c r="AA336" s="23">
        <f t="shared" si="87"/>
        <v>147.99999999999966</v>
      </c>
      <c r="AB336" s="23">
        <f t="shared" si="87"/>
        <v>157.24999999999983</v>
      </c>
      <c r="AC336" s="24">
        <f t="shared" si="87"/>
        <v>123.94999999999983</v>
      </c>
      <c r="AD336" s="24">
        <f t="shared" si="87"/>
        <v>138.75000000000026</v>
      </c>
      <c r="AE336" s="24">
        <f t="shared" si="87"/>
        <v>147.99999999999966</v>
      </c>
      <c r="AF336" s="25">
        <f t="shared" si="87"/>
        <v>114.69999999999989</v>
      </c>
      <c r="AG336" s="25">
        <f t="shared" si="87"/>
        <v>129.50000000000009</v>
      </c>
      <c r="AH336" s="25">
        <f t="shared" si="87"/>
        <v>138.75000000000026</v>
      </c>
      <c r="AI336" s="26">
        <f t="shared" si="87"/>
        <v>105.4500000000001</v>
      </c>
      <c r="AJ336" s="26">
        <f t="shared" si="87"/>
        <v>120.24999999999991</v>
      </c>
      <c r="AK336" s="26">
        <f t="shared" si="89"/>
        <v>129.50000000000009</v>
      </c>
    </row>
    <row r="337" spans="4:37" ht="20.100000000000001" customHeight="1">
      <c r="D337" s="27">
        <f t="shared" si="88"/>
        <v>0.92777777777777504</v>
      </c>
      <c r="E337" s="16">
        <f t="shared" si="86"/>
        <v>265.344444444445</v>
      </c>
      <c r="F337" s="16">
        <f t="shared" si="86"/>
        <v>280.18888888888853</v>
      </c>
      <c r="G337" s="16">
        <f t="shared" si="86"/>
        <v>289.46666666666647</v>
      </c>
      <c r="H337" s="17">
        <f t="shared" si="86"/>
        <v>246.78888888888912</v>
      </c>
      <c r="I337" s="17">
        <f t="shared" si="86"/>
        <v>261.63333333333264</v>
      </c>
      <c r="J337" s="17">
        <f t="shared" si="86"/>
        <v>270.91111111111059</v>
      </c>
      <c r="K337" s="18">
        <f t="shared" si="86"/>
        <v>228.23333333333323</v>
      </c>
      <c r="L337" s="18">
        <f t="shared" si="86"/>
        <v>243.07777777777773</v>
      </c>
      <c r="M337" s="18">
        <f t="shared" si="86"/>
        <v>252.35555555555604</v>
      </c>
      <c r="N337" s="19">
        <f t="shared" si="86"/>
        <v>170.71111111111088</v>
      </c>
      <c r="O337" s="19">
        <f t="shared" si="86"/>
        <v>185.55555555555588</v>
      </c>
      <c r="P337" s="19">
        <f t="shared" si="86"/>
        <v>194.83333333333309</v>
      </c>
      <c r="Q337" s="20">
        <f t="shared" si="86"/>
        <v>161.43333333333368</v>
      </c>
      <c r="R337" s="20">
        <f t="shared" si="86"/>
        <v>176.27777777777794</v>
      </c>
      <c r="S337" s="20">
        <f t="shared" si="86"/>
        <v>185.55555555555588</v>
      </c>
      <c r="T337" s="21">
        <f t="shared" si="86"/>
        <v>152.15555555555574</v>
      </c>
      <c r="U337" s="21">
        <f t="shared" si="87"/>
        <v>167</v>
      </c>
      <c r="V337" s="21">
        <f t="shared" si="87"/>
        <v>176.27777777777794</v>
      </c>
      <c r="W337" s="22">
        <f t="shared" si="87"/>
        <v>142.87777777777779</v>
      </c>
      <c r="X337" s="22">
        <f t="shared" si="87"/>
        <v>157.72222222222206</v>
      </c>
      <c r="Y337" s="22">
        <f t="shared" si="87"/>
        <v>167</v>
      </c>
      <c r="Z337" s="23">
        <f t="shared" si="87"/>
        <v>133.59999999999985</v>
      </c>
      <c r="AA337" s="23">
        <f t="shared" si="87"/>
        <v>148.44444444444412</v>
      </c>
      <c r="AB337" s="23">
        <f t="shared" si="87"/>
        <v>157.72222222222206</v>
      </c>
      <c r="AC337" s="24">
        <f t="shared" si="87"/>
        <v>124.32222222222205</v>
      </c>
      <c r="AD337" s="24">
        <f t="shared" si="87"/>
        <v>139.16666666666691</v>
      </c>
      <c r="AE337" s="24">
        <f t="shared" si="87"/>
        <v>148.44444444444412</v>
      </c>
      <c r="AF337" s="25">
        <f t="shared" si="87"/>
        <v>115.04444444444434</v>
      </c>
      <c r="AG337" s="25">
        <f t="shared" si="87"/>
        <v>129.88888888888897</v>
      </c>
      <c r="AH337" s="25">
        <f t="shared" si="87"/>
        <v>139.16666666666691</v>
      </c>
      <c r="AI337" s="26">
        <f t="shared" si="87"/>
        <v>105.76666666666677</v>
      </c>
      <c r="AJ337" s="26">
        <f t="shared" si="87"/>
        <v>120.61111111111103</v>
      </c>
      <c r="AK337" s="26">
        <f t="shared" si="89"/>
        <v>129.88888888888897</v>
      </c>
    </row>
    <row r="338" spans="4:37" ht="20.100000000000001" customHeight="1">
      <c r="D338" s="27">
        <f t="shared" si="88"/>
        <v>0.9305555555555528</v>
      </c>
      <c r="E338" s="16">
        <f t="shared" si="86"/>
        <v>266.13888888888943</v>
      </c>
      <c r="F338" s="16">
        <f t="shared" si="86"/>
        <v>281.02777777777743</v>
      </c>
      <c r="G338" s="16">
        <f t="shared" si="86"/>
        <v>290.33333333333314</v>
      </c>
      <c r="H338" s="17">
        <f t="shared" si="86"/>
        <v>247.527777777778</v>
      </c>
      <c r="I338" s="17">
        <f t="shared" si="86"/>
        <v>262.416666666666</v>
      </c>
      <c r="J338" s="17">
        <f t="shared" si="86"/>
        <v>271.72222222222172</v>
      </c>
      <c r="K338" s="18">
        <f t="shared" si="86"/>
        <v>228.91666666666657</v>
      </c>
      <c r="L338" s="18">
        <f t="shared" si="86"/>
        <v>243.80555555555551</v>
      </c>
      <c r="M338" s="18">
        <f t="shared" si="86"/>
        <v>253.1111111111116</v>
      </c>
      <c r="N338" s="19">
        <f t="shared" si="86"/>
        <v>171.222222222222</v>
      </c>
      <c r="O338" s="19">
        <f t="shared" si="86"/>
        <v>186.11111111111143</v>
      </c>
      <c r="P338" s="19">
        <f t="shared" si="86"/>
        <v>195.41666666666643</v>
      </c>
      <c r="Q338" s="20">
        <f t="shared" si="86"/>
        <v>161.916666666667</v>
      </c>
      <c r="R338" s="20">
        <f t="shared" si="86"/>
        <v>176.80555555555571</v>
      </c>
      <c r="S338" s="20">
        <f t="shared" si="86"/>
        <v>186.11111111111143</v>
      </c>
      <c r="T338" s="21">
        <f t="shared" si="86"/>
        <v>152.61111111111128</v>
      </c>
      <c r="U338" s="21">
        <f t="shared" si="87"/>
        <v>167.5</v>
      </c>
      <c r="V338" s="21">
        <f t="shared" si="87"/>
        <v>176.80555555555571</v>
      </c>
      <c r="W338" s="22">
        <f t="shared" si="87"/>
        <v>143.30555555555557</v>
      </c>
      <c r="X338" s="22">
        <f t="shared" si="87"/>
        <v>158.19444444444429</v>
      </c>
      <c r="Y338" s="22">
        <f t="shared" si="87"/>
        <v>167.5</v>
      </c>
      <c r="Z338" s="23">
        <f t="shared" si="87"/>
        <v>133.99999999999986</v>
      </c>
      <c r="AA338" s="23">
        <f t="shared" si="87"/>
        <v>148.88888888888857</v>
      </c>
      <c r="AB338" s="23">
        <f t="shared" si="87"/>
        <v>158.19444444444429</v>
      </c>
      <c r="AC338" s="24">
        <f t="shared" si="87"/>
        <v>124.69444444444427</v>
      </c>
      <c r="AD338" s="24">
        <f t="shared" si="87"/>
        <v>139.58333333333357</v>
      </c>
      <c r="AE338" s="24">
        <f t="shared" si="87"/>
        <v>148.88888888888857</v>
      </c>
      <c r="AF338" s="25">
        <f t="shared" si="87"/>
        <v>115.38888888888879</v>
      </c>
      <c r="AG338" s="25">
        <f t="shared" si="87"/>
        <v>130.27777777777786</v>
      </c>
      <c r="AH338" s="25">
        <f t="shared" si="87"/>
        <v>139.58333333333357</v>
      </c>
      <c r="AI338" s="26">
        <f t="shared" si="87"/>
        <v>106.08333333333343</v>
      </c>
      <c r="AJ338" s="26">
        <f t="shared" si="87"/>
        <v>120.97222222222214</v>
      </c>
      <c r="AK338" s="26">
        <f t="shared" si="89"/>
        <v>130.27777777777786</v>
      </c>
    </row>
    <row r="339" spans="4:37" ht="20.100000000000001" customHeight="1">
      <c r="D339" s="27">
        <f t="shared" si="88"/>
        <v>0.93333333333333057</v>
      </c>
      <c r="E339" s="16">
        <f t="shared" si="86"/>
        <v>266.93333333333385</v>
      </c>
      <c r="F339" s="16">
        <f t="shared" si="86"/>
        <v>281.86666666666633</v>
      </c>
      <c r="G339" s="16">
        <f t="shared" si="86"/>
        <v>291.19999999999982</v>
      </c>
      <c r="H339" s="17">
        <f t="shared" si="86"/>
        <v>248.26666666666688</v>
      </c>
      <c r="I339" s="17">
        <f t="shared" si="86"/>
        <v>263.19999999999936</v>
      </c>
      <c r="J339" s="17">
        <f t="shared" si="86"/>
        <v>272.53333333333285</v>
      </c>
      <c r="K339" s="18">
        <f t="shared" si="86"/>
        <v>229.59999999999991</v>
      </c>
      <c r="L339" s="18">
        <f t="shared" si="86"/>
        <v>244.5333333333333</v>
      </c>
      <c r="M339" s="18">
        <f t="shared" si="86"/>
        <v>253.86666666666716</v>
      </c>
      <c r="N339" s="19">
        <f t="shared" si="86"/>
        <v>171.73333333333312</v>
      </c>
      <c r="O339" s="19">
        <f t="shared" si="86"/>
        <v>186.66666666666697</v>
      </c>
      <c r="P339" s="19">
        <f t="shared" si="86"/>
        <v>195.99999999999977</v>
      </c>
      <c r="Q339" s="20">
        <f t="shared" si="86"/>
        <v>162.40000000000032</v>
      </c>
      <c r="R339" s="20">
        <f t="shared" si="86"/>
        <v>177.33333333333348</v>
      </c>
      <c r="S339" s="20">
        <f t="shared" si="86"/>
        <v>186.66666666666697</v>
      </c>
      <c r="T339" s="21">
        <f>T340-(T$363/360)</f>
        <v>153.06666666666683</v>
      </c>
      <c r="U339" s="21">
        <f t="shared" si="87"/>
        <v>168</v>
      </c>
      <c r="V339" s="21">
        <f t="shared" si="87"/>
        <v>177.33333333333348</v>
      </c>
      <c r="W339" s="22">
        <f t="shared" si="87"/>
        <v>143.73333333333335</v>
      </c>
      <c r="X339" s="22">
        <f t="shared" si="87"/>
        <v>158.66666666666652</v>
      </c>
      <c r="Y339" s="22">
        <f t="shared" si="87"/>
        <v>168</v>
      </c>
      <c r="Z339" s="23">
        <f t="shared" si="87"/>
        <v>134.39999999999986</v>
      </c>
      <c r="AA339" s="23">
        <f t="shared" si="87"/>
        <v>149.33333333333303</v>
      </c>
      <c r="AB339" s="23">
        <f t="shared" si="87"/>
        <v>158.66666666666652</v>
      </c>
      <c r="AC339" s="24">
        <f t="shared" si="87"/>
        <v>125.06666666666649</v>
      </c>
      <c r="AD339" s="24">
        <f t="shared" si="87"/>
        <v>140.00000000000023</v>
      </c>
      <c r="AE339" s="24">
        <f t="shared" si="87"/>
        <v>149.33333333333303</v>
      </c>
      <c r="AF339" s="25">
        <f t="shared" si="87"/>
        <v>115.73333333333323</v>
      </c>
      <c r="AG339" s="25">
        <f t="shared" si="87"/>
        <v>130.66666666666674</v>
      </c>
      <c r="AH339" s="25">
        <f t="shared" si="87"/>
        <v>140.00000000000023</v>
      </c>
      <c r="AI339" s="26">
        <f t="shared" si="87"/>
        <v>106.40000000000009</v>
      </c>
      <c r="AJ339" s="26">
        <f>AJ340-(AJ$363/360)</f>
        <v>121.33333333333326</v>
      </c>
      <c r="AK339" s="26">
        <f t="shared" si="89"/>
        <v>130.66666666666674</v>
      </c>
    </row>
    <row r="340" spans="4:37" ht="20.100000000000001" customHeight="1">
      <c r="D340" s="27">
        <f t="shared" si="88"/>
        <v>0.93611111111110834</v>
      </c>
      <c r="E340" s="16">
        <f t="shared" ref="E340:T355" si="90">E341-(E$363/360)</f>
        <v>267.72777777777827</v>
      </c>
      <c r="F340" s="16">
        <f t="shared" si="90"/>
        <v>282.70555555555524</v>
      </c>
      <c r="G340" s="16">
        <f t="shared" si="90"/>
        <v>292.06666666666649</v>
      </c>
      <c r="H340" s="17">
        <f t="shared" si="90"/>
        <v>249.00555555555576</v>
      </c>
      <c r="I340" s="17">
        <f t="shared" si="90"/>
        <v>263.98333333333272</v>
      </c>
      <c r="J340" s="17">
        <f t="shared" si="90"/>
        <v>273.34444444444398</v>
      </c>
      <c r="K340" s="18">
        <f t="shared" si="90"/>
        <v>230.28333333333325</v>
      </c>
      <c r="L340" s="18">
        <f t="shared" si="90"/>
        <v>245.26111111111109</v>
      </c>
      <c r="M340" s="18">
        <f t="shared" si="90"/>
        <v>254.62222222222272</v>
      </c>
      <c r="N340" s="19">
        <f t="shared" si="90"/>
        <v>172.24444444444424</v>
      </c>
      <c r="O340" s="19">
        <f t="shared" si="90"/>
        <v>187.22222222222251</v>
      </c>
      <c r="P340" s="19">
        <f t="shared" si="90"/>
        <v>196.58333333333312</v>
      </c>
      <c r="Q340" s="20">
        <f t="shared" si="90"/>
        <v>162.88333333333364</v>
      </c>
      <c r="R340" s="20">
        <f t="shared" si="90"/>
        <v>177.86111111111126</v>
      </c>
      <c r="S340" s="20">
        <f t="shared" si="90"/>
        <v>187.22222222222251</v>
      </c>
      <c r="T340" s="21">
        <f t="shared" si="90"/>
        <v>153.52222222222238</v>
      </c>
      <c r="U340" s="21">
        <f t="shared" ref="U340:AJ355" si="91">U341-(U$363/360)</f>
        <v>168.5</v>
      </c>
      <c r="V340" s="21">
        <f t="shared" si="91"/>
        <v>177.86111111111126</v>
      </c>
      <c r="W340" s="22">
        <f t="shared" si="91"/>
        <v>144.16111111111113</v>
      </c>
      <c r="X340" s="22">
        <f t="shared" si="91"/>
        <v>159.13888888888874</v>
      </c>
      <c r="Y340" s="22">
        <f t="shared" si="91"/>
        <v>168.5</v>
      </c>
      <c r="Z340" s="23">
        <f t="shared" si="91"/>
        <v>134.79999999999987</v>
      </c>
      <c r="AA340" s="23">
        <f t="shared" si="91"/>
        <v>149.77777777777749</v>
      </c>
      <c r="AB340" s="23">
        <f t="shared" si="91"/>
        <v>159.13888888888874</v>
      </c>
      <c r="AC340" s="24">
        <f t="shared" si="91"/>
        <v>125.43888888888871</v>
      </c>
      <c r="AD340" s="24">
        <f t="shared" si="91"/>
        <v>140.41666666666688</v>
      </c>
      <c r="AE340" s="24">
        <f t="shared" si="91"/>
        <v>149.77777777777749</v>
      </c>
      <c r="AF340" s="25">
        <f t="shared" si="91"/>
        <v>116.07777777777768</v>
      </c>
      <c r="AG340" s="25">
        <f t="shared" si="91"/>
        <v>131.05555555555563</v>
      </c>
      <c r="AH340" s="25">
        <f t="shared" si="91"/>
        <v>140.41666666666688</v>
      </c>
      <c r="AI340" s="26">
        <f t="shared" si="91"/>
        <v>106.71666666666675</v>
      </c>
      <c r="AJ340" s="26">
        <f t="shared" si="91"/>
        <v>121.69444444444437</v>
      </c>
      <c r="AK340" s="26">
        <f t="shared" si="89"/>
        <v>131.05555555555563</v>
      </c>
    </row>
    <row r="341" spans="4:37" ht="20.100000000000001" customHeight="1">
      <c r="D341" s="27">
        <f t="shared" si="88"/>
        <v>0.93888888888888611</v>
      </c>
      <c r="E341" s="16">
        <f t="shared" si="90"/>
        <v>268.52222222222269</v>
      </c>
      <c r="F341" s="16">
        <f t="shared" si="90"/>
        <v>283.54444444444414</v>
      </c>
      <c r="G341" s="16">
        <f t="shared" si="90"/>
        <v>292.93333333333317</v>
      </c>
      <c r="H341" s="17">
        <f t="shared" si="90"/>
        <v>249.74444444444464</v>
      </c>
      <c r="I341" s="17">
        <f t="shared" si="90"/>
        <v>264.76666666666608</v>
      </c>
      <c r="J341" s="17">
        <f t="shared" si="90"/>
        <v>274.15555555555511</v>
      </c>
      <c r="K341" s="18">
        <f t="shared" si="90"/>
        <v>230.96666666666658</v>
      </c>
      <c r="L341" s="18">
        <f t="shared" si="90"/>
        <v>245.98888888888888</v>
      </c>
      <c r="M341" s="18">
        <f t="shared" si="90"/>
        <v>255.37777777777828</v>
      </c>
      <c r="N341" s="19">
        <f t="shared" si="90"/>
        <v>172.75555555555536</v>
      </c>
      <c r="O341" s="19">
        <f t="shared" si="90"/>
        <v>187.77777777777806</v>
      </c>
      <c r="P341" s="19">
        <f t="shared" si="90"/>
        <v>197.16666666666646</v>
      </c>
      <c r="Q341" s="20">
        <f t="shared" si="90"/>
        <v>163.36666666666696</v>
      </c>
      <c r="R341" s="20">
        <f t="shared" si="90"/>
        <v>178.38888888888903</v>
      </c>
      <c r="S341" s="20">
        <f t="shared" si="90"/>
        <v>187.77777777777806</v>
      </c>
      <c r="T341" s="21">
        <f t="shared" si="90"/>
        <v>153.97777777777793</v>
      </c>
      <c r="U341" s="21">
        <f t="shared" si="91"/>
        <v>169</v>
      </c>
      <c r="V341" s="21">
        <f t="shared" si="91"/>
        <v>178.38888888888903</v>
      </c>
      <c r="W341" s="22">
        <f t="shared" si="91"/>
        <v>144.5888888888889</v>
      </c>
      <c r="X341" s="22">
        <f t="shared" si="91"/>
        <v>159.61111111111097</v>
      </c>
      <c r="Y341" s="22">
        <f t="shared" si="91"/>
        <v>169</v>
      </c>
      <c r="Z341" s="23">
        <f t="shared" si="91"/>
        <v>135.19999999999987</v>
      </c>
      <c r="AA341" s="23">
        <f t="shared" si="91"/>
        <v>150.22222222222194</v>
      </c>
      <c r="AB341" s="23">
        <f t="shared" si="91"/>
        <v>159.61111111111097</v>
      </c>
      <c r="AC341" s="24">
        <f t="shared" si="91"/>
        <v>125.81111111111093</v>
      </c>
      <c r="AD341" s="24">
        <f t="shared" si="91"/>
        <v>140.83333333333354</v>
      </c>
      <c r="AE341" s="24">
        <f t="shared" si="91"/>
        <v>150.22222222222194</v>
      </c>
      <c r="AF341" s="25">
        <f t="shared" si="91"/>
        <v>116.42222222222213</v>
      </c>
      <c r="AG341" s="25">
        <f t="shared" si="91"/>
        <v>131.44444444444451</v>
      </c>
      <c r="AH341" s="25">
        <f t="shared" si="91"/>
        <v>140.83333333333354</v>
      </c>
      <c r="AI341" s="26">
        <f t="shared" si="91"/>
        <v>107.03333333333342</v>
      </c>
      <c r="AJ341" s="26">
        <f t="shared" si="91"/>
        <v>122.05555555555549</v>
      </c>
      <c r="AK341" s="26">
        <f t="shared" si="89"/>
        <v>131.44444444444451</v>
      </c>
    </row>
    <row r="342" spans="4:37" ht="20.100000000000001" customHeight="1">
      <c r="D342" s="27">
        <f t="shared" si="88"/>
        <v>0.94166666666666388</v>
      </c>
      <c r="E342" s="16">
        <f t="shared" si="90"/>
        <v>269.31666666666712</v>
      </c>
      <c r="F342" s="16">
        <f t="shared" si="90"/>
        <v>284.38333333333304</v>
      </c>
      <c r="G342" s="16">
        <f t="shared" si="90"/>
        <v>293.79999999999984</v>
      </c>
      <c r="H342" s="17">
        <f t="shared" si="90"/>
        <v>250.48333333333352</v>
      </c>
      <c r="I342" s="17">
        <f t="shared" si="90"/>
        <v>265.54999999999944</v>
      </c>
      <c r="J342" s="17">
        <f t="shared" si="90"/>
        <v>274.96666666666624</v>
      </c>
      <c r="K342" s="18">
        <f t="shared" si="90"/>
        <v>231.64999999999992</v>
      </c>
      <c r="L342" s="18">
        <f t="shared" si="90"/>
        <v>246.71666666666667</v>
      </c>
      <c r="M342" s="18">
        <f t="shared" si="90"/>
        <v>256.13333333333384</v>
      </c>
      <c r="N342" s="19">
        <f t="shared" si="90"/>
        <v>173.26666666666648</v>
      </c>
      <c r="O342" s="19">
        <f t="shared" si="90"/>
        <v>188.3333333333336</v>
      </c>
      <c r="P342" s="19">
        <f t="shared" si="90"/>
        <v>197.7499999999998</v>
      </c>
      <c r="Q342" s="20">
        <f t="shared" si="90"/>
        <v>163.85000000000028</v>
      </c>
      <c r="R342" s="20">
        <f t="shared" si="90"/>
        <v>178.9166666666668</v>
      </c>
      <c r="S342" s="20">
        <f t="shared" si="90"/>
        <v>188.3333333333336</v>
      </c>
      <c r="T342" s="21">
        <f t="shared" si="90"/>
        <v>154.43333333333348</v>
      </c>
      <c r="U342" s="21">
        <f t="shared" si="91"/>
        <v>169.5</v>
      </c>
      <c r="V342" s="21">
        <f t="shared" si="91"/>
        <v>178.9166666666668</v>
      </c>
      <c r="W342" s="22">
        <f t="shared" si="91"/>
        <v>145.01666666666668</v>
      </c>
      <c r="X342" s="22">
        <f t="shared" si="91"/>
        <v>160.0833333333332</v>
      </c>
      <c r="Y342" s="22">
        <f t="shared" si="91"/>
        <v>169.5</v>
      </c>
      <c r="Z342" s="23">
        <f t="shared" si="91"/>
        <v>135.59999999999988</v>
      </c>
      <c r="AA342" s="23">
        <f t="shared" si="91"/>
        <v>150.6666666666664</v>
      </c>
      <c r="AB342" s="23">
        <f t="shared" si="91"/>
        <v>160.0833333333332</v>
      </c>
      <c r="AC342" s="24">
        <f t="shared" si="91"/>
        <v>126.18333333333315</v>
      </c>
      <c r="AD342" s="24">
        <f t="shared" si="91"/>
        <v>141.2500000000002</v>
      </c>
      <c r="AE342" s="24">
        <f t="shared" si="91"/>
        <v>150.6666666666664</v>
      </c>
      <c r="AF342" s="25">
        <f t="shared" si="91"/>
        <v>116.76666666666658</v>
      </c>
      <c r="AG342" s="25">
        <f t="shared" si="91"/>
        <v>131.8333333333334</v>
      </c>
      <c r="AH342" s="25">
        <f t="shared" si="91"/>
        <v>141.2500000000002</v>
      </c>
      <c r="AI342" s="26">
        <f t="shared" si="91"/>
        <v>107.35000000000008</v>
      </c>
      <c r="AJ342" s="26">
        <f t="shared" si="91"/>
        <v>122.4166666666666</v>
      </c>
      <c r="AK342" s="26">
        <f t="shared" si="89"/>
        <v>131.8333333333334</v>
      </c>
    </row>
    <row r="343" spans="4:37" ht="20.100000000000001" customHeight="1">
      <c r="D343" s="27">
        <f t="shared" si="88"/>
        <v>0.94444444444444164</v>
      </c>
      <c r="E343" s="16">
        <f t="shared" si="90"/>
        <v>270.11111111111154</v>
      </c>
      <c r="F343" s="16">
        <f t="shared" si="90"/>
        <v>285.22222222222194</v>
      </c>
      <c r="G343" s="16">
        <f t="shared" si="90"/>
        <v>294.66666666666652</v>
      </c>
      <c r="H343" s="17">
        <f t="shared" si="90"/>
        <v>251.2222222222224</v>
      </c>
      <c r="I343" s="17">
        <f t="shared" si="90"/>
        <v>266.3333333333328</v>
      </c>
      <c r="J343" s="17">
        <f t="shared" si="90"/>
        <v>275.77777777777737</v>
      </c>
      <c r="K343" s="18">
        <f t="shared" si="90"/>
        <v>232.33333333333326</v>
      </c>
      <c r="L343" s="18">
        <f t="shared" si="90"/>
        <v>247.44444444444446</v>
      </c>
      <c r="M343" s="18">
        <f t="shared" si="90"/>
        <v>256.88888888888937</v>
      </c>
      <c r="N343" s="19">
        <f t="shared" si="90"/>
        <v>173.7777777777776</v>
      </c>
      <c r="O343" s="19">
        <f t="shared" si="90"/>
        <v>188.88888888888914</v>
      </c>
      <c r="P343" s="19">
        <f t="shared" si="90"/>
        <v>198.33333333333314</v>
      </c>
      <c r="Q343" s="20">
        <f t="shared" si="90"/>
        <v>164.3333333333336</v>
      </c>
      <c r="R343" s="20">
        <f t="shared" si="90"/>
        <v>179.44444444444457</v>
      </c>
      <c r="S343" s="20">
        <f t="shared" si="90"/>
        <v>188.88888888888914</v>
      </c>
      <c r="T343" s="21">
        <f t="shared" si="90"/>
        <v>154.88888888888903</v>
      </c>
      <c r="U343" s="21">
        <f t="shared" si="91"/>
        <v>170</v>
      </c>
      <c r="V343" s="21">
        <f t="shared" si="91"/>
        <v>179.44444444444457</v>
      </c>
      <c r="W343" s="22">
        <f t="shared" si="91"/>
        <v>145.44444444444446</v>
      </c>
      <c r="X343" s="22">
        <f t="shared" si="91"/>
        <v>160.55555555555543</v>
      </c>
      <c r="Y343" s="22">
        <f t="shared" si="91"/>
        <v>170</v>
      </c>
      <c r="Z343" s="23">
        <f t="shared" si="91"/>
        <v>135.99999999999989</v>
      </c>
      <c r="AA343" s="23">
        <f t="shared" si="91"/>
        <v>151.11111111111086</v>
      </c>
      <c r="AB343" s="23">
        <f t="shared" si="91"/>
        <v>160.55555555555543</v>
      </c>
      <c r="AC343" s="24">
        <f t="shared" si="91"/>
        <v>126.55555555555537</v>
      </c>
      <c r="AD343" s="24">
        <f t="shared" si="91"/>
        <v>141.66666666666686</v>
      </c>
      <c r="AE343" s="24">
        <f t="shared" si="91"/>
        <v>151.11111111111086</v>
      </c>
      <c r="AF343" s="25">
        <f t="shared" si="91"/>
        <v>117.11111111111103</v>
      </c>
      <c r="AG343" s="25">
        <f t="shared" si="91"/>
        <v>132.22222222222229</v>
      </c>
      <c r="AH343" s="25">
        <f t="shared" si="91"/>
        <v>141.66666666666686</v>
      </c>
      <c r="AI343" s="26">
        <f t="shared" si="91"/>
        <v>107.66666666666674</v>
      </c>
      <c r="AJ343" s="26">
        <f t="shared" si="91"/>
        <v>122.77777777777771</v>
      </c>
      <c r="AK343" s="26">
        <f t="shared" si="89"/>
        <v>132.22222222222229</v>
      </c>
    </row>
    <row r="344" spans="4:37" ht="20.100000000000001" customHeight="1">
      <c r="D344" s="27">
        <f t="shared" si="88"/>
        <v>0.94722222222221941</v>
      </c>
      <c r="E344" s="16">
        <f t="shared" si="90"/>
        <v>270.90555555555596</v>
      </c>
      <c r="F344" s="16">
        <f t="shared" si="90"/>
        <v>286.06111111111085</v>
      </c>
      <c r="G344" s="16">
        <f t="shared" si="90"/>
        <v>295.53333333333319</v>
      </c>
      <c r="H344" s="17">
        <f t="shared" si="90"/>
        <v>251.96111111111128</v>
      </c>
      <c r="I344" s="17">
        <f t="shared" si="90"/>
        <v>267.11666666666616</v>
      </c>
      <c r="J344" s="17">
        <f t="shared" si="90"/>
        <v>276.5888888888885</v>
      </c>
      <c r="K344" s="18">
        <f t="shared" si="90"/>
        <v>233.01666666666659</v>
      </c>
      <c r="L344" s="18">
        <f t="shared" si="90"/>
        <v>248.17222222222225</v>
      </c>
      <c r="M344" s="18">
        <f t="shared" si="90"/>
        <v>257.6444444444449</v>
      </c>
      <c r="N344" s="19">
        <f t="shared" si="90"/>
        <v>174.28888888888872</v>
      </c>
      <c r="O344" s="19">
        <f t="shared" si="90"/>
        <v>189.44444444444468</v>
      </c>
      <c r="P344" s="19">
        <f t="shared" si="90"/>
        <v>198.91666666666649</v>
      </c>
      <c r="Q344" s="20">
        <f t="shared" si="90"/>
        <v>164.81666666666692</v>
      </c>
      <c r="R344" s="20">
        <f t="shared" si="90"/>
        <v>179.97222222222234</v>
      </c>
      <c r="S344" s="20">
        <f t="shared" si="90"/>
        <v>189.44444444444468</v>
      </c>
      <c r="T344" s="21">
        <f t="shared" si="90"/>
        <v>155.34444444444458</v>
      </c>
      <c r="U344" s="21">
        <f t="shared" si="91"/>
        <v>170.5</v>
      </c>
      <c r="V344" s="21">
        <f t="shared" si="91"/>
        <v>179.97222222222234</v>
      </c>
      <c r="W344" s="22">
        <f t="shared" si="91"/>
        <v>145.87222222222223</v>
      </c>
      <c r="X344" s="22">
        <f t="shared" si="91"/>
        <v>161.02777777777766</v>
      </c>
      <c r="Y344" s="22">
        <f t="shared" si="91"/>
        <v>170.5</v>
      </c>
      <c r="Z344" s="23">
        <f t="shared" si="91"/>
        <v>136.39999999999989</v>
      </c>
      <c r="AA344" s="23">
        <f t="shared" si="91"/>
        <v>151.55555555555532</v>
      </c>
      <c r="AB344" s="23">
        <f t="shared" si="91"/>
        <v>161.02777777777766</v>
      </c>
      <c r="AC344" s="24">
        <f t="shared" si="91"/>
        <v>126.92777777777759</v>
      </c>
      <c r="AD344" s="24">
        <f t="shared" si="91"/>
        <v>142.08333333333351</v>
      </c>
      <c r="AE344" s="24">
        <f t="shared" si="91"/>
        <v>151.55555555555532</v>
      </c>
      <c r="AF344" s="25">
        <f t="shared" si="91"/>
        <v>117.45555555555548</v>
      </c>
      <c r="AG344" s="25">
        <f t="shared" si="91"/>
        <v>132.61111111111117</v>
      </c>
      <c r="AH344" s="25">
        <f t="shared" si="91"/>
        <v>142.08333333333351</v>
      </c>
      <c r="AI344" s="26">
        <f t="shared" si="91"/>
        <v>107.98333333333341</v>
      </c>
      <c r="AJ344" s="26">
        <f t="shared" si="91"/>
        <v>123.13888888888883</v>
      </c>
      <c r="AK344" s="26">
        <f t="shared" si="89"/>
        <v>132.61111111111117</v>
      </c>
    </row>
    <row r="345" spans="4:37" ht="20.100000000000001" customHeight="1">
      <c r="D345" s="27">
        <f t="shared" si="88"/>
        <v>0.94999999999999718</v>
      </c>
      <c r="E345" s="16">
        <f t="shared" si="90"/>
        <v>271.70000000000039</v>
      </c>
      <c r="F345" s="16">
        <f t="shared" si="90"/>
        <v>286.89999999999975</v>
      </c>
      <c r="G345" s="16">
        <f t="shared" si="90"/>
        <v>296.39999999999986</v>
      </c>
      <c r="H345" s="17">
        <f t="shared" si="90"/>
        <v>252.70000000000016</v>
      </c>
      <c r="I345" s="17">
        <f t="shared" si="90"/>
        <v>267.89999999999952</v>
      </c>
      <c r="J345" s="17">
        <f t="shared" si="90"/>
        <v>277.39999999999964</v>
      </c>
      <c r="K345" s="18">
        <f t="shared" si="90"/>
        <v>233.69999999999993</v>
      </c>
      <c r="L345" s="18">
        <f t="shared" si="90"/>
        <v>248.90000000000003</v>
      </c>
      <c r="M345" s="18">
        <f t="shared" si="90"/>
        <v>258.40000000000043</v>
      </c>
      <c r="N345" s="19">
        <f t="shared" si="90"/>
        <v>174.79999999999984</v>
      </c>
      <c r="O345" s="19">
        <f t="shared" si="90"/>
        <v>190.00000000000023</v>
      </c>
      <c r="P345" s="19">
        <f t="shared" si="90"/>
        <v>199.49999999999983</v>
      </c>
      <c r="Q345" s="20">
        <f t="shared" si="90"/>
        <v>165.30000000000024</v>
      </c>
      <c r="R345" s="20">
        <f t="shared" si="90"/>
        <v>180.50000000000011</v>
      </c>
      <c r="S345" s="20">
        <f t="shared" si="90"/>
        <v>190.00000000000023</v>
      </c>
      <c r="T345" s="21">
        <f t="shared" si="90"/>
        <v>155.80000000000013</v>
      </c>
      <c r="U345" s="21">
        <f t="shared" si="91"/>
        <v>171</v>
      </c>
      <c r="V345" s="21">
        <f t="shared" si="91"/>
        <v>180.50000000000011</v>
      </c>
      <c r="W345" s="22">
        <f t="shared" si="91"/>
        <v>146.30000000000001</v>
      </c>
      <c r="X345" s="22">
        <f t="shared" si="91"/>
        <v>161.49999999999989</v>
      </c>
      <c r="Y345" s="22">
        <f t="shared" si="91"/>
        <v>171</v>
      </c>
      <c r="Z345" s="23">
        <f t="shared" si="91"/>
        <v>136.7999999999999</v>
      </c>
      <c r="AA345" s="23">
        <f t="shared" si="91"/>
        <v>151.99999999999977</v>
      </c>
      <c r="AB345" s="23">
        <f t="shared" si="91"/>
        <v>161.49999999999989</v>
      </c>
      <c r="AC345" s="24">
        <f t="shared" si="91"/>
        <v>127.29999999999981</v>
      </c>
      <c r="AD345" s="24">
        <f t="shared" si="91"/>
        <v>142.50000000000017</v>
      </c>
      <c r="AE345" s="24">
        <f t="shared" si="91"/>
        <v>151.99999999999977</v>
      </c>
      <c r="AF345" s="25">
        <f t="shared" si="91"/>
        <v>117.79999999999993</v>
      </c>
      <c r="AG345" s="25">
        <f t="shared" si="91"/>
        <v>133.00000000000006</v>
      </c>
      <c r="AH345" s="25">
        <f t="shared" si="91"/>
        <v>142.50000000000017</v>
      </c>
      <c r="AI345" s="26">
        <f t="shared" si="91"/>
        <v>108.30000000000007</v>
      </c>
      <c r="AJ345" s="26">
        <f t="shared" si="91"/>
        <v>123.49999999999994</v>
      </c>
      <c r="AK345" s="26">
        <f t="shared" si="89"/>
        <v>133.00000000000006</v>
      </c>
    </row>
    <row r="346" spans="4:37" ht="20.100000000000001" customHeight="1">
      <c r="D346" s="27">
        <f t="shared" si="88"/>
        <v>0.95277777777777495</v>
      </c>
      <c r="E346" s="16">
        <f t="shared" si="90"/>
        <v>272.49444444444481</v>
      </c>
      <c r="F346" s="16">
        <f t="shared" si="90"/>
        <v>287.73888888888865</v>
      </c>
      <c r="G346" s="16">
        <f t="shared" si="90"/>
        <v>297.26666666666654</v>
      </c>
      <c r="H346" s="17">
        <f t="shared" si="90"/>
        <v>253.43888888888904</v>
      </c>
      <c r="I346" s="17">
        <f t="shared" si="90"/>
        <v>268.68333333333288</v>
      </c>
      <c r="J346" s="17">
        <f t="shared" si="90"/>
        <v>278.21111111111077</v>
      </c>
      <c r="K346" s="18">
        <f t="shared" si="90"/>
        <v>234.38333333333327</v>
      </c>
      <c r="L346" s="18">
        <f t="shared" si="90"/>
        <v>249.62777777777782</v>
      </c>
      <c r="M346" s="18">
        <f t="shared" si="90"/>
        <v>259.15555555555596</v>
      </c>
      <c r="N346" s="19">
        <f t="shared" si="90"/>
        <v>175.31111111111096</v>
      </c>
      <c r="O346" s="19">
        <f t="shared" si="90"/>
        <v>190.55555555555577</v>
      </c>
      <c r="P346" s="19">
        <f t="shared" si="90"/>
        <v>200.08333333333317</v>
      </c>
      <c r="Q346" s="20">
        <f t="shared" si="90"/>
        <v>165.78333333333356</v>
      </c>
      <c r="R346" s="20">
        <f t="shared" si="90"/>
        <v>181.02777777777789</v>
      </c>
      <c r="S346" s="20">
        <f t="shared" si="90"/>
        <v>190.55555555555577</v>
      </c>
      <c r="T346" s="21">
        <f t="shared" si="90"/>
        <v>156.25555555555567</v>
      </c>
      <c r="U346" s="21">
        <f t="shared" si="91"/>
        <v>171.5</v>
      </c>
      <c r="V346" s="21">
        <f t="shared" si="91"/>
        <v>181.02777777777789</v>
      </c>
      <c r="W346" s="22">
        <f t="shared" si="91"/>
        <v>146.72777777777779</v>
      </c>
      <c r="X346" s="22">
        <f t="shared" si="91"/>
        <v>161.97222222222211</v>
      </c>
      <c r="Y346" s="22">
        <f t="shared" si="91"/>
        <v>171.5</v>
      </c>
      <c r="Z346" s="23">
        <f t="shared" si="91"/>
        <v>137.1999999999999</v>
      </c>
      <c r="AA346" s="23">
        <f t="shared" si="91"/>
        <v>152.44444444444423</v>
      </c>
      <c r="AB346" s="23">
        <f t="shared" si="91"/>
        <v>161.97222222222211</v>
      </c>
      <c r="AC346" s="24">
        <f t="shared" si="91"/>
        <v>127.67222222222203</v>
      </c>
      <c r="AD346" s="24">
        <f t="shared" si="91"/>
        <v>142.91666666666683</v>
      </c>
      <c r="AE346" s="24">
        <f t="shared" si="91"/>
        <v>152.44444444444423</v>
      </c>
      <c r="AF346" s="25">
        <f t="shared" si="91"/>
        <v>118.14444444444437</v>
      </c>
      <c r="AG346" s="25">
        <f t="shared" si="91"/>
        <v>133.38888888888894</v>
      </c>
      <c r="AH346" s="25">
        <f t="shared" si="91"/>
        <v>142.91666666666683</v>
      </c>
      <c r="AI346" s="26">
        <f t="shared" si="91"/>
        <v>108.61666666666673</v>
      </c>
      <c r="AJ346" s="26">
        <f t="shared" si="91"/>
        <v>123.86111111111106</v>
      </c>
      <c r="AK346" s="26">
        <f t="shared" si="89"/>
        <v>133.38888888888894</v>
      </c>
    </row>
    <row r="347" spans="4:37" ht="20.100000000000001" customHeight="1">
      <c r="D347" s="27">
        <f t="shared" si="88"/>
        <v>0.95555555555555272</v>
      </c>
      <c r="E347" s="16">
        <f t="shared" si="90"/>
        <v>273.28888888888923</v>
      </c>
      <c r="F347" s="16">
        <f t="shared" si="90"/>
        <v>288.57777777777756</v>
      </c>
      <c r="G347" s="16">
        <f t="shared" si="90"/>
        <v>298.13333333333321</v>
      </c>
      <c r="H347" s="17">
        <f t="shared" si="90"/>
        <v>254.17777777777792</v>
      </c>
      <c r="I347" s="17">
        <f t="shared" si="90"/>
        <v>269.46666666666624</v>
      </c>
      <c r="J347" s="17">
        <f t="shared" si="90"/>
        <v>279.0222222222219</v>
      </c>
      <c r="K347" s="18">
        <f t="shared" si="90"/>
        <v>235.06666666666661</v>
      </c>
      <c r="L347" s="18">
        <f t="shared" si="90"/>
        <v>250.35555555555561</v>
      </c>
      <c r="M347" s="18">
        <f t="shared" si="90"/>
        <v>259.9111111111115</v>
      </c>
      <c r="N347" s="19">
        <f t="shared" si="90"/>
        <v>175.82222222222208</v>
      </c>
      <c r="O347" s="19">
        <f t="shared" si="90"/>
        <v>191.11111111111131</v>
      </c>
      <c r="P347" s="19">
        <f t="shared" si="90"/>
        <v>200.66666666666652</v>
      </c>
      <c r="Q347" s="20">
        <f t="shared" si="90"/>
        <v>166.26666666666688</v>
      </c>
      <c r="R347" s="20">
        <f t="shared" si="90"/>
        <v>181.55555555555566</v>
      </c>
      <c r="S347" s="20">
        <f t="shared" si="90"/>
        <v>191.11111111111131</v>
      </c>
      <c r="T347" s="21">
        <f t="shared" si="90"/>
        <v>156.71111111111122</v>
      </c>
      <c r="U347" s="21">
        <f t="shared" si="91"/>
        <v>172</v>
      </c>
      <c r="V347" s="21">
        <f t="shared" si="91"/>
        <v>181.55555555555566</v>
      </c>
      <c r="W347" s="22">
        <f t="shared" si="91"/>
        <v>147.15555555555557</v>
      </c>
      <c r="X347" s="22">
        <f t="shared" si="91"/>
        <v>162.44444444444434</v>
      </c>
      <c r="Y347" s="22">
        <f t="shared" si="91"/>
        <v>172</v>
      </c>
      <c r="Z347" s="23">
        <f t="shared" si="91"/>
        <v>137.59999999999991</v>
      </c>
      <c r="AA347" s="23">
        <f t="shared" si="91"/>
        <v>152.88888888888869</v>
      </c>
      <c r="AB347" s="23">
        <f t="shared" si="91"/>
        <v>162.44444444444434</v>
      </c>
      <c r="AC347" s="24">
        <f t="shared" si="91"/>
        <v>128.04444444444425</v>
      </c>
      <c r="AD347" s="24">
        <f t="shared" si="91"/>
        <v>143.33333333333348</v>
      </c>
      <c r="AE347" s="24">
        <f t="shared" si="91"/>
        <v>152.88888888888869</v>
      </c>
      <c r="AF347" s="25">
        <f t="shared" si="91"/>
        <v>118.48888888888882</v>
      </c>
      <c r="AG347" s="25">
        <f t="shared" si="91"/>
        <v>133.77777777777783</v>
      </c>
      <c r="AH347" s="25">
        <f t="shared" si="91"/>
        <v>143.33333333333348</v>
      </c>
      <c r="AI347" s="26">
        <f t="shared" si="91"/>
        <v>108.93333333333339</v>
      </c>
      <c r="AJ347" s="26">
        <f t="shared" si="91"/>
        <v>124.22222222222217</v>
      </c>
      <c r="AK347" s="26">
        <f t="shared" si="89"/>
        <v>133.77777777777783</v>
      </c>
    </row>
    <row r="348" spans="4:37" ht="20.100000000000001" customHeight="1">
      <c r="D348" s="27">
        <f t="shared" si="88"/>
        <v>0.95833333333333048</v>
      </c>
      <c r="E348" s="16">
        <f t="shared" si="90"/>
        <v>274.08333333333366</v>
      </c>
      <c r="F348" s="16">
        <f t="shared" si="90"/>
        <v>289.41666666666646</v>
      </c>
      <c r="G348" s="16">
        <f t="shared" si="90"/>
        <v>298.99999999999989</v>
      </c>
      <c r="H348" s="17">
        <f t="shared" si="90"/>
        <v>254.9166666666668</v>
      </c>
      <c r="I348" s="17">
        <f t="shared" si="90"/>
        <v>270.2499999999996</v>
      </c>
      <c r="J348" s="17">
        <f t="shared" si="90"/>
        <v>279.83333333333303</v>
      </c>
      <c r="K348" s="18">
        <f t="shared" si="90"/>
        <v>235.74999999999994</v>
      </c>
      <c r="L348" s="18">
        <f t="shared" si="90"/>
        <v>251.0833333333334</v>
      </c>
      <c r="M348" s="18">
        <f t="shared" si="90"/>
        <v>260.66666666666703</v>
      </c>
      <c r="N348" s="19">
        <f t="shared" si="90"/>
        <v>176.3333333333332</v>
      </c>
      <c r="O348" s="19">
        <f t="shared" si="90"/>
        <v>191.66666666666686</v>
      </c>
      <c r="P348" s="19">
        <f t="shared" si="90"/>
        <v>201.24999999999986</v>
      </c>
      <c r="Q348" s="20">
        <f t="shared" si="90"/>
        <v>166.7500000000002</v>
      </c>
      <c r="R348" s="20">
        <f t="shared" si="90"/>
        <v>182.08333333333343</v>
      </c>
      <c r="S348" s="20">
        <f t="shared" si="90"/>
        <v>191.66666666666686</v>
      </c>
      <c r="T348" s="21">
        <f t="shared" si="90"/>
        <v>157.16666666666677</v>
      </c>
      <c r="U348" s="21">
        <f t="shared" si="91"/>
        <v>172.5</v>
      </c>
      <c r="V348" s="21">
        <f t="shared" si="91"/>
        <v>182.08333333333343</v>
      </c>
      <c r="W348" s="22">
        <f t="shared" si="91"/>
        <v>147.58333333333334</v>
      </c>
      <c r="X348" s="22">
        <f t="shared" si="91"/>
        <v>162.91666666666657</v>
      </c>
      <c r="Y348" s="22">
        <f t="shared" si="91"/>
        <v>172.5</v>
      </c>
      <c r="Z348" s="23">
        <f t="shared" si="91"/>
        <v>137.99999999999991</v>
      </c>
      <c r="AA348" s="23">
        <f t="shared" si="91"/>
        <v>153.33333333333314</v>
      </c>
      <c r="AB348" s="23">
        <f t="shared" si="91"/>
        <v>162.91666666666657</v>
      </c>
      <c r="AC348" s="24">
        <f t="shared" si="91"/>
        <v>128.41666666666649</v>
      </c>
      <c r="AD348" s="24">
        <f t="shared" si="91"/>
        <v>143.75000000000014</v>
      </c>
      <c r="AE348" s="24">
        <f t="shared" si="91"/>
        <v>153.33333333333314</v>
      </c>
      <c r="AF348" s="25">
        <f t="shared" si="91"/>
        <v>118.83333333333327</v>
      </c>
      <c r="AG348" s="25">
        <f t="shared" si="91"/>
        <v>134.16666666666671</v>
      </c>
      <c r="AH348" s="25">
        <f t="shared" si="91"/>
        <v>143.75000000000014</v>
      </c>
      <c r="AI348" s="26">
        <f t="shared" si="91"/>
        <v>109.25000000000006</v>
      </c>
      <c r="AJ348" s="26">
        <f t="shared" si="91"/>
        <v>124.58333333333329</v>
      </c>
      <c r="AK348" s="26">
        <f t="shared" si="89"/>
        <v>134.16666666666671</v>
      </c>
    </row>
    <row r="349" spans="4:37" ht="20.100000000000001" customHeight="1">
      <c r="D349" s="27">
        <f t="shared" si="88"/>
        <v>0.96111111111110825</v>
      </c>
      <c r="E349" s="16">
        <f t="shared" si="90"/>
        <v>274.87777777777808</v>
      </c>
      <c r="F349" s="16">
        <f t="shared" si="90"/>
        <v>290.25555555555536</v>
      </c>
      <c r="G349" s="16">
        <f t="shared" si="90"/>
        <v>299.86666666666656</v>
      </c>
      <c r="H349" s="17">
        <f t="shared" si="90"/>
        <v>255.65555555555568</v>
      </c>
      <c r="I349" s="17">
        <f t="shared" si="90"/>
        <v>271.03333333333296</v>
      </c>
      <c r="J349" s="17">
        <f t="shared" si="90"/>
        <v>280.64444444444416</v>
      </c>
      <c r="K349" s="18">
        <f t="shared" si="90"/>
        <v>236.43333333333328</v>
      </c>
      <c r="L349" s="18">
        <f t="shared" si="90"/>
        <v>251.81111111111119</v>
      </c>
      <c r="M349" s="18">
        <f t="shared" si="90"/>
        <v>261.42222222222256</v>
      </c>
      <c r="N349" s="19">
        <f t="shared" si="90"/>
        <v>176.84444444444432</v>
      </c>
      <c r="O349" s="19">
        <f t="shared" si="90"/>
        <v>192.2222222222224</v>
      </c>
      <c r="P349" s="19">
        <f t="shared" si="90"/>
        <v>201.8333333333332</v>
      </c>
      <c r="Q349" s="20">
        <f t="shared" si="90"/>
        <v>167.23333333333352</v>
      </c>
      <c r="R349" s="20">
        <f t="shared" si="90"/>
        <v>182.6111111111112</v>
      </c>
      <c r="S349" s="20">
        <f t="shared" si="90"/>
        <v>192.2222222222224</v>
      </c>
      <c r="T349" s="21">
        <f t="shared" si="90"/>
        <v>157.62222222222232</v>
      </c>
      <c r="U349" s="21">
        <f t="shared" si="91"/>
        <v>173</v>
      </c>
      <c r="V349" s="21">
        <f t="shared" si="91"/>
        <v>182.6111111111112</v>
      </c>
      <c r="W349" s="22">
        <f t="shared" si="91"/>
        <v>148.01111111111112</v>
      </c>
      <c r="X349" s="22">
        <f t="shared" si="91"/>
        <v>163.3888888888888</v>
      </c>
      <c r="Y349" s="22">
        <f t="shared" si="91"/>
        <v>173</v>
      </c>
      <c r="Z349" s="23">
        <f t="shared" si="91"/>
        <v>138.39999999999992</v>
      </c>
      <c r="AA349" s="23">
        <f t="shared" si="91"/>
        <v>153.7777777777776</v>
      </c>
      <c r="AB349" s="23">
        <f t="shared" si="91"/>
        <v>163.3888888888888</v>
      </c>
      <c r="AC349" s="24">
        <f t="shared" si="91"/>
        <v>128.78888888888872</v>
      </c>
      <c r="AD349" s="24">
        <f t="shared" si="91"/>
        <v>144.1666666666668</v>
      </c>
      <c r="AE349" s="24">
        <f t="shared" si="91"/>
        <v>153.7777777777776</v>
      </c>
      <c r="AF349" s="25">
        <f t="shared" si="91"/>
        <v>119.17777777777772</v>
      </c>
      <c r="AG349" s="25">
        <f t="shared" si="91"/>
        <v>134.5555555555556</v>
      </c>
      <c r="AH349" s="25">
        <f t="shared" si="91"/>
        <v>144.1666666666668</v>
      </c>
      <c r="AI349" s="26">
        <f t="shared" si="91"/>
        <v>109.56666666666672</v>
      </c>
      <c r="AJ349" s="26">
        <f t="shared" si="91"/>
        <v>124.9444444444444</v>
      </c>
      <c r="AK349" s="26">
        <f t="shared" si="89"/>
        <v>134.5555555555556</v>
      </c>
    </row>
    <row r="350" spans="4:37" ht="20.100000000000001" customHeight="1">
      <c r="D350" s="27">
        <f t="shared" si="88"/>
        <v>0.96388888888888602</v>
      </c>
      <c r="E350" s="16">
        <f t="shared" si="90"/>
        <v>275.6722222222225</v>
      </c>
      <c r="F350" s="16">
        <f t="shared" si="90"/>
        <v>291.09444444444426</v>
      </c>
      <c r="G350" s="16">
        <f t="shared" si="90"/>
        <v>300.73333333333323</v>
      </c>
      <c r="H350" s="17">
        <f t="shared" si="90"/>
        <v>256.39444444444456</v>
      </c>
      <c r="I350" s="17">
        <f t="shared" si="90"/>
        <v>271.81666666666632</v>
      </c>
      <c r="J350" s="17">
        <f t="shared" si="90"/>
        <v>281.45555555555529</v>
      </c>
      <c r="K350" s="18">
        <f t="shared" si="90"/>
        <v>237.11666666666662</v>
      </c>
      <c r="L350" s="18">
        <f t="shared" si="90"/>
        <v>252.53888888888898</v>
      </c>
      <c r="M350" s="18">
        <f t="shared" si="90"/>
        <v>262.17777777777809</v>
      </c>
      <c r="N350" s="19">
        <f t="shared" si="90"/>
        <v>177.35555555555544</v>
      </c>
      <c r="O350" s="19">
        <f t="shared" si="90"/>
        <v>192.77777777777794</v>
      </c>
      <c r="P350" s="19">
        <f t="shared" si="90"/>
        <v>202.41666666666654</v>
      </c>
      <c r="Q350" s="20">
        <f t="shared" si="90"/>
        <v>167.71666666666684</v>
      </c>
      <c r="R350" s="20">
        <f t="shared" si="90"/>
        <v>183.13888888888897</v>
      </c>
      <c r="S350" s="20">
        <f t="shared" si="90"/>
        <v>192.77777777777794</v>
      </c>
      <c r="T350" s="21">
        <f t="shared" si="90"/>
        <v>158.07777777777787</v>
      </c>
      <c r="U350" s="21">
        <f t="shared" si="91"/>
        <v>173.5</v>
      </c>
      <c r="V350" s="21">
        <f t="shared" si="91"/>
        <v>183.13888888888897</v>
      </c>
      <c r="W350" s="22">
        <f t="shared" si="91"/>
        <v>148.4388888888889</v>
      </c>
      <c r="X350" s="22">
        <f t="shared" si="91"/>
        <v>163.86111111111103</v>
      </c>
      <c r="Y350" s="22">
        <f t="shared" si="91"/>
        <v>173.5</v>
      </c>
      <c r="Z350" s="23">
        <f t="shared" si="91"/>
        <v>138.79999999999993</v>
      </c>
      <c r="AA350" s="23">
        <f t="shared" si="91"/>
        <v>154.22222222222206</v>
      </c>
      <c r="AB350" s="23">
        <f t="shared" si="91"/>
        <v>163.86111111111103</v>
      </c>
      <c r="AC350" s="24">
        <f t="shared" si="91"/>
        <v>129.16111111111096</v>
      </c>
      <c r="AD350" s="24">
        <f t="shared" si="91"/>
        <v>144.58333333333346</v>
      </c>
      <c r="AE350" s="24">
        <f t="shared" si="91"/>
        <v>154.22222222222206</v>
      </c>
      <c r="AF350" s="25">
        <f t="shared" si="91"/>
        <v>119.52222222222217</v>
      </c>
      <c r="AG350" s="25">
        <f t="shared" si="91"/>
        <v>134.94444444444449</v>
      </c>
      <c r="AH350" s="25">
        <f t="shared" si="91"/>
        <v>144.58333333333346</v>
      </c>
      <c r="AI350" s="26">
        <f t="shared" si="91"/>
        <v>109.88333333333338</v>
      </c>
      <c r="AJ350" s="26">
        <f t="shared" si="91"/>
        <v>125.30555555555551</v>
      </c>
      <c r="AK350" s="26">
        <f t="shared" si="89"/>
        <v>134.94444444444449</v>
      </c>
    </row>
    <row r="351" spans="4:37" ht="20.100000000000001" customHeight="1">
      <c r="D351" s="27">
        <f t="shared" si="88"/>
        <v>0.96666666666666379</v>
      </c>
      <c r="E351" s="16">
        <f t="shared" si="90"/>
        <v>276.46666666666692</v>
      </c>
      <c r="F351" s="16">
        <f t="shared" si="90"/>
        <v>291.93333333333317</v>
      </c>
      <c r="G351" s="16">
        <f t="shared" si="90"/>
        <v>301.59999999999991</v>
      </c>
      <c r="H351" s="17">
        <f t="shared" si="90"/>
        <v>257.13333333333344</v>
      </c>
      <c r="I351" s="17">
        <f t="shared" si="90"/>
        <v>272.59999999999968</v>
      </c>
      <c r="J351" s="17">
        <f t="shared" si="90"/>
        <v>282.26666666666642</v>
      </c>
      <c r="K351" s="18">
        <f t="shared" si="90"/>
        <v>237.79999999999995</v>
      </c>
      <c r="L351" s="18">
        <f t="shared" si="90"/>
        <v>253.26666666666677</v>
      </c>
      <c r="M351" s="18">
        <f t="shared" si="90"/>
        <v>262.93333333333362</v>
      </c>
      <c r="N351" s="19">
        <f t="shared" si="90"/>
        <v>177.86666666666656</v>
      </c>
      <c r="O351" s="19">
        <f t="shared" si="90"/>
        <v>193.33333333333348</v>
      </c>
      <c r="P351" s="19">
        <f t="shared" si="90"/>
        <v>202.99999999999989</v>
      </c>
      <c r="Q351" s="20">
        <f t="shared" si="90"/>
        <v>168.20000000000016</v>
      </c>
      <c r="R351" s="20">
        <f t="shared" si="90"/>
        <v>183.66666666666674</v>
      </c>
      <c r="S351" s="20">
        <f t="shared" si="90"/>
        <v>193.33333333333348</v>
      </c>
      <c r="T351" s="21">
        <f t="shared" si="90"/>
        <v>158.53333333333342</v>
      </c>
      <c r="U351" s="21">
        <f t="shared" si="91"/>
        <v>174</v>
      </c>
      <c r="V351" s="21">
        <f t="shared" si="91"/>
        <v>183.66666666666674</v>
      </c>
      <c r="W351" s="22">
        <f t="shared" si="91"/>
        <v>148.86666666666667</v>
      </c>
      <c r="X351" s="22">
        <f t="shared" si="91"/>
        <v>164.33333333333326</v>
      </c>
      <c r="Y351" s="22">
        <f t="shared" si="91"/>
        <v>174</v>
      </c>
      <c r="Z351" s="23">
        <f t="shared" si="91"/>
        <v>139.19999999999993</v>
      </c>
      <c r="AA351" s="23">
        <f t="shared" si="91"/>
        <v>154.66666666666652</v>
      </c>
      <c r="AB351" s="23">
        <f t="shared" si="91"/>
        <v>164.33333333333326</v>
      </c>
      <c r="AC351" s="24">
        <f t="shared" si="91"/>
        <v>129.53333333333319</v>
      </c>
      <c r="AD351" s="24">
        <f t="shared" si="91"/>
        <v>145.00000000000011</v>
      </c>
      <c r="AE351" s="24">
        <f t="shared" si="91"/>
        <v>154.66666666666652</v>
      </c>
      <c r="AF351" s="25">
        <f t="shared" si="91"/>
        <v>119.86666666666662</v>
      </c>
      <c r="AG351" s="25">
        <f t="shared" si="91"/>
        <v>135.33333333333337</v>
      </c>
      <c r="AH351" s="25">
        <f t="shared" si="91"/>
        <v>145.00000000000011</v>
      </c>
      <c r="AI351" s="26">
        <f t="shared" si="91"/>
        <v>110.20000000000005</v>
      </c>
      <c r="AJ351" s="26">
        <f t="shared" si="91"/>
        <v>125.66666666666663</v>
      </c>
      <c r="AK351" s="26">
        <f t="shared" si="89"/>
        <v>135.33333333333337</v>
      </c>
    </row>
    <row r="352" spans="4:37" ht="20.100000000000001" customHeight="1">
      <c r="D352" s="27">
        <f t="shared" si="88"/>
        <v>0.96944444444444156</v>
      </c>
      <c r="E352" s="16">
        <f t="shared" si="90"/>
        <v>277.26111111111135</v>
      </c>
      <c r="F352" s="16">
        <f t="shared" si="90"/>
        <v>292.77222222222207</v>
      </c>
      <c r="G352" s="16">
        <f t="shared" si="90"/>
        <v>302.46666666666658</v>
      </c>
      <c r="H352" s="17">
        <f t="shared" si="90"/>
        <v>257.87222222222232</v>
      </c>
      <c r="I352" s="17">
        <f t="shared" si="90"/>
        <v>273.38333333333304</v>
      </c>
      <c r="J352" s="17">
        <f t="shared" si="90"/>
        <v>283.07777777777756</v>
      </c>
      <c r="K352" s="18">
        <f t="shared" si="90"/>
        <v>238.48333333333329</v>
      </c>
      <c r="L352" s="18">
        <f t="shared" si="90"/>
        <v>253.99444444444455</v>
      </c>
      <c r="M352" s="18">
        <f t="shared" si="90"/>
        <v>263.68888888888915</v>
      </c>
      <c r="N352" s="19">
        <f t="shared" si="90"/>
        <v>178.37777777777768</v>
      </c>
      <c r="O352" s="19">
        <f t="shared" si="90"/>
        <v>193.88888888888903</v>
      </c>
      <c r="P352" s="19">
        <f t="shared" si="90"/>
        <v>203.58333333333323</v>
      </c>
      <c r="Q352" s="20">
        <f t="shared" si="90"/>
        <v>168.68333333333348</v>
      </c>
      <c r="R352" s="20">
        <f t="shared" si="90"/>
        <v>184.19444444444451</v>
      </c>
      <c r="S352" s="20">
        <f t="shared" si="90"/>
        <v>193.88888888888903</v>
      </c>
      <c r="T352" s="21">
        <f t="shared" si="90"/>
        <v>158.98888888888897</v>
      </c>
      <c r="U352" s="21">
        <f t="shared" si="91"/>
        <v>174.5</v>
      </c>
      <c r="V352" s="21">
        <f t="shared" si="91"/>
        <v>184.19444444444451</v>
      </c>
      <c r="W352" s="22">
        <f t="shared" si="91"/>
        <v>149.29444444444445</v>
      </c>
      <c r="X352" s="22">
        <f t="shared" si="91"/>
        <v>164.80555555555549</v>
      </c>
      <c r="Y352" s="22">
        <f t="shared" si="91"/>
        <v>174.5</v>
      </c>
      <c r="Z352" s="23">
        <f t="shared" si="91"/>
        <v>139.59999999999994</v>
      </c>
      <c r="AA352" s="23">
        <f t="shared" si="91"/>
        <v>155.11111111111097</v>
      </c>
      <c r="AB352" s="23">
        <f t="shared" si="91"/>
        <v>164.80555555555549</v>
      </c>
      <c r="AC352" s="24">
        <f t="shared" si="91"/>
        <v>129.90555555555542</v>
      </c>
      <c r="AD352" s="24">
        <f t="shared" si="91"/>
        <v>145.41666666666677</v>
      </c>
      <c r="AE352" s="24">
        <f t="shared" si="91"/>
        <v>155.11111111111097</v>
      </c>
      <c r="AF352" s="25">
        <f t="shared" si="91"/>
        <v>120.21111111111107</v>
      </c>
      <c r="AG352" s="25">
        <f t="shared" si="91"/>
        <v>135.72222222222226</v>
      </c>
      <c r="AH352" s="25">
        <f t="shared" si="91"/>
        <v>145.41666666666677</v>
      </c>
      <c r="AI352" s="26">
        <f t="shared" si="91"/>
        <v>110.51666666666671</v>
      </c>
      <c r="AJ352" s="26">
        <f t="shared" si="91"/>
        <v>126.02777777777774</v>
      </c>
      <c r="AK352" s="26">
        <f t="shared" si="89"/>
        <v>135.72222222222226</v>
      </c>
    </row>
    <row r="353" spans="4:37" ht="20.100000000000001" customHeight="1">
      <c r="D353" s="27">
        <f t="shared" si="88"/>
        <v>0.97222222222221932</v>
      </c>
      <c r="E353" s="16">
        <f t="shared" si="90"/>
        <v>278.05555555555577</v>
      </c>
      <c r="F353" s="16">
        <f t="shared" si="90"/>
        <v>293.61111111111097</v>
      </c>
      <c r="G353" s="16">
        <f t="shared" si="90"/>
        <v>303.33333333333326</v>
      </c>
      <c r="H353" s="17">
        <f t="shared" si="90"/>
        <v>258.6111111111112</v>
      </c>
      <c r="I353" s="17">
        <f t="shared" si="90"/>
        <v>274.1666666666664</v>
      </c>
      <c r="J353" s="17">
        <f t="shared" si="90"/>
        <v>283.88888888888869</v>
      </c>
      <c r="K353" s="18">
        <f t="shared" si="90"/>
        <v>239.16666666666663</v>
      </c>
      <c r="L353" s="18">
        <f t="shared" si="90"/>
        <v>254.72222222222234</v>
      </c>
      <c r="M353" s="18">
        <f t="shared" si="90"/>
        <v>264.44444444444468</v>
      </c>
      <c r="N353" s="19">
        <f t="shared" si="90"/>
        <v>178.8888888888888</v>
      </c>
      <c r="O353" s="19">
        <f t="shared" si="90"/>
        <v>194.44444444444457</v>
      </c>
      <c r="P353" s="19">
        <f t="shared" si="90"/>
        <v>204.16666666666657</v>
      </c>
      <c r="Q353" s="20">
        <f t="shared" si="90"/>
        <v>169.1666666666668</v>
      </c>
      <c r="R353" s="20">
        <f t="shared" si="90"/>
        <v>184.72222222222229</v>
      </c>
      <c r="S353" s="20">
        <f t="shared" si="90"/>
        <v>194.44444444444457</v>
      </c>
      <c r="T353" s="21">
        <f t="shared" si="90"/>
        <v>159.44444444444451</v>
      </c>
      <c r="U353" s="21">
        <f t="shared" si="91"/>
        <v>175</v>
      </c>
      <c r="V353" s="21">
        <f t="shared" si="91"/>
        <v>184.72222222222229</v>
      </c>
      <c r="W353" s="22">
        <f t="shared" si="91"/>
        <v>149.72222222222223</v>
      </c>
      <c r="X353" s="22">
        <f t="shared" si="91"/>
        <v>165.27777777777771</v>
      </c>
      <c r="Y353" s="22">
        <f t="shared" si="91"/>
        <v>175</v>
      </c>
      <c r="Z353" s="23">
        <f t="shared" si="91"/>
        <v>139.99999999999994</v>
      </c>
      <c r="AA353" s="23">
        <f t="shared" si="91"/>
        <v>155.55555555555543</v>
      </c>
      <c r="AB353" s="23">
        <f t="shared" si="91"/>
        <v>165.27777777777771</v>
      </c>
      <c r="AC353" s="24">
        <f t="shared" si="91"/>
        <v>130.27777777777766</v>
      </c>
      <c r="AD353" s="24">
        <f t="shared" si="91"/>
        <v>145.83333333333343</v>
      </c>
      <c r="AE353" s="24">
        <f t="shared" si="91"/>
        <v>155.55555555555543</v>
      </c>
      <c r="AF353" s="25">
        <f t="shared" si="91"/>
        <v>120.55555555555551</v>
      </c>
      <c r="AG353" s="25">
        <f t="shared" si="91"/>
        <v>136.11111111111114</v>
      </c>
      <c r="AH353" s="25">
        <f t="shared" si="91"/>
        <v>145.83333333333343</v>
      </c>
      <c r="AI353" s="26">
        <f t="shared" si="91"/>
        <v>110.83333333333337</v>
      </c>
      <c r="AJ353" s="26">
        <f t="shared" si="91"/>
        <v>126.38888888888886</v>
      </c>
      <c r="AK353" s="26">
        <f t="shared" si="89"/>
        <v>136.11111111111114</v>
      </c>
    </row>
    <row r="354" spans="4:37" ht="20.100000000000001" customHeight="1">
      <c r="D354" s="27">
        <f t="shared" si="88"/>
        <v>0.97499999999999709</v>
      </c>
      <c r="E354" s="16">
        <f t="shared" si="90"/>
        <v>278.85000000000019</v>
      </c>
      <c r="F354" s="16">
        <f t="shared" si="90"/>
        <v>294.44999999999987</v>
      </c>
      <c r="G354" s="16">
        <f t="shared" si="90"/>
        <v>304.19999999999993</v>
      </c>
      <c r="H354" s="17">
        <f t="shared" si="90"/>
        <v>259.35000000000008</v>
      </c>
      <c r="I354" s="17">
        <f t="shared" si="90"/>
        <v>274.94999999999976</v>
      </c>
      <c r="J354" s="17">
        <f t="shared" si="90"/>
        <v>284.69999999999982</v>
      </c>
      <c r="K354" s="18">
        <f t="shared" si="90"/>
        <v>239.84999999999997</v>
      </c>
      <c r="L354" s="18">
        <f t="shared" si="90"/>
        <v>255.45000000000013</v>
      </c>
      <c r="M354" s="18">
        <f t="shared" si="90"/>
        <v>265.20000000000022</v>
      </c>
      <c r="N354" s="19">
        <f t="shared" si="90"/>
        <v>179.39999999999992</v>
      </c>
      <c r="O354" s="19">
        <f t="shared" si="90"/>
        <v>195.00000000000011</v>
      </c>
      <c r="P354" s="19">
        <f t="shared" si="90"/>
        <v>204.74999999999991</v>
      </c>
      <c r="Q354" s="20">
        <f t="shared" si="90"/>
        <v>169.65000000000012</v>
      </c>
      <c r="R354" s="20">
        <f t="shared" si="90"/>
        <v>185.25000000000006</v>
      </c>
      <c r="S354" s="20">
        <f t="shared" si="90"/>
        <v>195.00000000000011</v>
      </c>
      <c r="T354" s="21">
        <f t="shared" si="90"/>
        <v>159.90000000000006</v>
      </c>
      <c r="U354" s="21">
        <f t="shared" si="91"/>
        <v>175.5</v>
      </c>
      <c r="V354" s="21">
        <f t="shared" si="91"/>
        <v>185.25000000000006</v>
      </c>
      <c r="W354" s="22">
        <f t="shared" si="91"/>
        <v>150.15</v>
      </c>
      <c r="X354" s="22">
        <f t="shared" si="91"/>
        <v>165.74999999999994</v>
      </c>
      <c r="Y354" s="22">
        <f t="shared" si="91"/>
        <v>175.5</v>
      </c>
      <c r="Z354" s="23">
        <f t="shared" si="91"/>
        <v>140.39999999999995</v>
      </c>
      <c r="AA354" s="23">
        <f t="shared" si="91"/>
        <v>155.99999999999989</v>
      </c>
      <c r="AB354" s="23">
        <f t="shared" si="91"/>
        <v>165.74999999999994</v>
      </c>
      <c r="AC354" s="24">
        <f t="shared" si="91"/>
        <v>130.64999999999989</v>
      </c>
      <c r="AD354" s="24">
        <f t="shared" si="91"/>
        <v>146.25000000000009</v>
      </c>
      <c r="AE354" s="24">
        <f t="shared" si="91"/>
        <v>155.99999999999989</v>
      </c>
      <c r="AF354" s="25">
        <f t="shared" si="91"/>
        <v>120.89999999999996</v>
      </c>
      <c r="AG354" s="25">
        <f t="shared" si="91"/>
        <v>136.50000000000003</v>
      </c>
      <c r="AH354" s="25">
        <f t="shared" si="91"/>
        <v>146.25000000000009</v>
      </c>
      <c r="AI354" s="26">
        <f t="shared" si="91"/>
        <v>111.15000000000003</v>
      </c>
      <c r="AJ354" s="26">
        <f t="shared" si="91"/>
        <v>126.74999999999997</v>
      </c>
      <c r="AK354" s="26">
        <f t="shared" si="89"/>
        <v>136.50000000000003</v>
      </c>
    </row>
    <row r="355" spans="4:37" ht="20.100000000000001" customHeight="1">
      <c r="D355" s="27">
        <f t="shared" si="88"/>
        <v>0.97777777777777486</v>
      </c>
      <c r="E355" s="16">
        <f t="shared" si="90"/>
        <v>279.64444444444462</v>
      </c>
      <c r="F355" s="16">
        <f t="shared" si="90"/>
        <v>295.28888888888878</v>
      </c>
      <c r="G355" s="16">
        <f t="shared" si="90"/>
        <v>305.06666666666661</v>
      </c>
      <c r="H355" s="17">
        <f t="shared" si="90"/>
        <v>260.08888888888896</v>
      </c>
      <c r="I355" s="17">
        <f t="shared" si="90"/>
        <v>275.73333333333312</v>
      </c>
      <c r="J355" s="17">
        <f t="shared" si="90"/>
        <v>285.51111111111095</v>
      </c>
      <c r="K355" s="18">
        <f t="shared" si="90"/>
        <v>240.5333333333333</v>
      </c>
      <c r="L355" s="18">
        <f t="shared" si="90"/>
        <v>256.17777777777792</v>
      </c>
      <c r="M355" s="18">
        <f t="shared" si="90"/>
        <v>265.95555555555575</v>
      </c>
      <c r="N355" s="19">
        <f t="shared" si="90"/>
        <v>179.91111111111104</v>
      </c>
      <c r="O355" s="19">
        <f t="shared" si="90"/>
        <v>195.55555555555566</v>
      </c>
      <c r="P355" s="19">
        <f t="shared" si="90"/>
        <v>205.33333333333326</v>
      </c>
      <c r="Q355" s="20">
        <f t="shared" si="90"/>
        <v>170.13333333333344</v>
      </c>
      <c r="R355" s="20">
        <f t="shared" si="90"/>
        <v>185.77777777777783</v>
      </c>
      <c r="S355" s="20">
        <f t="shared" si="90"/>
        <v>195.55555555555566</v>
      </c>
      <c r="T355" s="21">
        <f>T356-(T$363/360)</f>
        <v>160.35555555555561</v>
      </c>
      <c r="U355" s="21">
        <f t="shared" si="91"/>
        <v>176</v>
      </c>
      <c r="V355" s="21">
        <f t="shared" si="91"/>
        <v>185.77777777777783</v>
      </c>
      <c r="W355" s="22">
        <f t="shared" si="91"/>
        <v>150.57777777777778</v>
      </c>
      <c r="X355" s="22">
        <f t="shared" si="91"/>
        <v>166.22222222222217</v>
      </c>
      <c r="Y355" s="22">
        <f t="shared" si="91"/>
        <v>176</v>
      </c>
      <c r="Z355" s="23">
        <f t="shared" si="91"/>
        <v>140.79999999999995</v>
      </c>
      <c r="AA355" s="23">
        <f t="shared" si="91"/>
        <v>156.44444444444434</v>
      </c>
      <c r="AB355" s="23">
        <f t="shared" si="91"/>
        <v>166.22222222222217</v>
      </c>
      <c r="AC355" s="24">
        <f t="shared" si="91"/>
        <v>131.02222222222213</v>
      </c>
      <c r="AD355" s="24">
        <f t="shared" si="91"/>
        <v>146.66666666666674</v>
      </c>
      <c r="AE355" s="24">
        <f t="shared" si="91"/>
        <v>156.44444444444434</v>
      </c>
      <c r="AF355" s="25">
        <f t="shared" si="91"/>
        <v>121.24444444444441</v>
      </c>
      <c r="AG355" s="25">
        <f t="shared" si="91"/>
        <v>136.88888888888891</v>
      </c>
      <c r="AH355" s="25">
        <f t="shared" si="91"/>
        <v>146.66666666666674</v>
      </c>
      <c r="AI355" s="26">
        <f t="shared" si="91"/>
        <v>111.4666666666667</v>
      </c>
      <c r="AJ355" s="26">
        <f>AJ356-(AJ$363/360)</f>
        <v>127.11111111111109</v>
      </c>
      <c r="AK355" s="26">
        <f t="shared" si="89"/>
        <v>136.88888888888891</v>
      </c>
    </row>
    <row r="356" spans="4:37" ht="20.100000000000001" customHeight="1">
      <c r="D356" s="27">
        <f t="shared" si="88"/>
        <v>0.98055555555555263</v>
      </c>
      <c r="E356" s="16">
        <f t="shared" ref="E356:T362" si="92">E357-(E$363/360)</f>
        <v>280.43888888888904</v>
      </c>
      <c r="F356" s="16">
        <f t="shared" si="92"/>
        <v>296.12777777777768</v>
      </c>
      <c r="G356" s="16">
        <f t="shared" si="92"/>
        <v>305.93333333333328</v>
      </c>
      <c r="H356" s="17">
        <f t="shared" si="92"/>
        <v>260.82777777777784</v>
      </c>
      <c r="I356" s="17">
        <f t="shared" si="92"/>
        <v>276.51666666666648</v>
      </c>
      <c r="J356" s="17">
        <f t="shared" si="92"/>
        <v>286.32222222222208</v>
      </c>
      <c r="K356" s="18">
        <f t="shared" si="92"/>
        <v>241.21666666666664</v>
      </c>
      <c r="L356" s="18">
        <f t="shared" si="92"/>
        <v>256.90555555555568</v>
      </c>
      <c r="M356" s="18">
        <f t="shared" si="92"/>
        <v>266.71111111111128</v>
      </c>
      <c r="N356" s="19">
        <f t="shared" si="92"/>
        <v>180.42222222222216</v>
      </c>
      <c r="O356" s="19">
        <f t="shared" si="92"/>
        <v>196.1111111111112</v>
      </c>
      <c r="P356" s="19">
        <f t="shared" si="92"/>
        <v>205.9166666666666</v>
      </c>
      <c r="Q356" s="20">
        <f t="shared" si="92"/>
        <v>170.61666666666676</v>
      </c>
      <c r="R356" s="20">
        <f t="shared" si="92"/>
        <v>186.3055555555556</v>
      </c>
      <c r="S356" s="20">
        <f t="shared" si="92"/>
        <v>196.1111111111112</v>
      </c>
      <c r="T356" s="21">
        <f t="shared" si="92"/>
        <v>160.81111111111116</v>
      </c>
      <c r="U356" s="21">
        <f t="shared" ref="U356:AJ362" si="93">U357-(U$363/360)</f>
        <v>176.5</v>
      </c>
      <c r="V356" s="21">
        <f t="shared" si="93"/>
        <v>186.3055555555556</v>
      </c>
      <c r="W356" s="22">
        <f t="shared" si="93"/>
        <v>151.00555555555556</v>
      </c>
      <c r="X356" s="22">
        <f t="shared" si="93"/>
        <v>166.6944444444444</v>
      </c>
      <c r="Y356" s="22">
        <f t="shared" si="93"/>
        <v>176.5</v>
      </c>
      <c r="Z356" s="23">
        <f t="shared" si="93"/>
        <v>141.19999999999996</v>
      </c>
      <c r="AA356" s="23">
        <f t="shared" si="93"/>
        <v>156.8888888888888</v>
      </c>
      <c r="AB356" s="23">
        <f t="shared" si="93"/>
        <v>166.6944444444444</v>
      </c>
      <c r="AC356" s="24">
        <f t="shared" si="93"/>
        <v>131.39444444444436</v>
      </c>
      <c r="AD356" s="24">
        <f t="shared" si="93"/>
        <v>147.0833333333334</v>
      </c>
      <c r="AE356" s="24">
        <f t="shared" si="93"/>
        <v>156.8888888888888</v>
      </c>
      <c r="AF356" s="25">
        <f t="shared" si="93"/>
        <v>121.58888888888886</v>
      </c>
      <c r="AG356" s="25">
        <f t="shared" si="93"/>
        <v>137.2777777777778</v>
      </c>
      <c r="AH356" s="25">
        <f t="shared" si="93"/>
        <v>147.0833333333334</v>
      </c>
      <c r="AI356" s="26">
        <f t="shared" si="93"/>
        <v>111.78333333333336</v>
      </c>
      <c r="AJ356" s="26">
        <f t="shared" si="93"/>
        <v>127.4722222222222</v>
      </c>
      <c r="AK356" s="26">
        <f t="shared" si="89"/>
        <v>137.2777777777778</v>
      </c>
    </row>
    <row r="357" spans="4:37" ht="20.100000000000001" customHeight="1">
      <c r="D357" s="27">
        <f t="shared" si="88"/>
        <v>0.98333333333333039</v>
      </c>
      <c r="E357" s="16">
        <f t="shared" si="92"/>
        <v>281.23333333333346</v>
      </c>
      <c r="F357" s="16">
        <f t="shared" si="92"/>
        <v>296.96666666666658</v>
      </c>
      <c r="G357" s="16">
        <f t="shared" si="92"/>
        <v>306.79999999999995</v>
      </c>
      <c r="H357" s="17">
        <f t="shared" si="92"/>
        <v>261.56666666666672</v>
      </c>
      <c r="I357" s="17">
        <f t="shared" si="92"/>
        <v>277.29999999999984</v>
      </c>
      <c r="J357" s="17">
        <f t="shared" si="92"/>
        <v>287.13333333333321</v>
      </c>
      <c r="K357" s="18">
        <f t="shared" si="92"/>
        <v>241.89999999999998</v>
      </c>
      <c r="L357" s="18">
        <f t="shared" si="92"/>
        <v>257.63333333333344</v>
      </c>
      <c r="M357" s="18">
        <f t="shared" si="92"/>
        <v>267.46666666666681</v>
      </c>
      <c r="N357" s="19">
        <f t="shared" si="92"/>
        <v>180.93333333333328</v>
      </c>
      <c r="O357" s="19">
        <f t="shared" si="92"/>
        <v>196.66666666666674</v>
      </c>
      <c r="P357" s="19">
        <f t="shared" si="92"/>
        <v>206.49999999999994</v>
      </c>
      <c r="Q357" s="20">
        <f t="shared" si="92"/>
        <v>171.10000000000008</v>
      </c>
      <c r="R357" s="20">
        <f t="shared" si="92"/>
        <v>186.83333333333337</v>
      </c>
      <c r="S357" s="20">
        <f t="shared" si="92"/>
        <v>196.66666666666674</v>
      </c>
      <c r="T357" s="21">
        <f t="shared" si="92"/>
        <v>161.26666666666671</v>
      </c>
      <c r="U357" s="21">
        <f t="shared" si="93"/>
        <v>177</v>
      </c>
      <c r="V357" s="21">
        <f t="shared" si="93"/>
        <v>186.83333333333337</v>
      </c>
      <c r="W357" s="22">
        <f t="shared" si="93"/>
        <v>151.43333333333334</v>
      </c>
      <c r="X357" s="22">
        <f t="shared" si="93"/>
        <v>167.16666666666663</v>
      </c>
      <c r="Y357" s="22">
        <f t="shared" si="93"/>
        <v>177</v>
      </c>
      <c r="Z357" s="23">
        <f t="shared" si="93"/>
        <v>141.59999999999997</v>
      </c>
      <c r="AA357" s="23">
        <f t="shared" si="93"/>
        <v>157.33333333333326</v>
      </c>
      <c r="AB357" s="23">
        <f t="shared" si="93"/>
        <v>167.16666666666663</v>
      </c>
      <c r="AC357" s="24">
        <f t="shared" si="93"/>
        <v>131.76666666666659</v>
      </c>
      <c r="AD357" s="24">
        <f t="shared" si="93"/>
        <v>147.50000000000006</v>
      </c>
      <c r="AE357" s="24">
        <f t="shared" si="93"/>
        <v>157.33333333333326</v>
      </c>
      <c r="AF357" s="25">
        <f t="shared" si="93"/>
        <v>121.93333333333331</v>
      </c>
      <c r="AG357" s="25">
        <f t="shared" si="93"/>
        <v>137.66666666666669</v>
      </c>
      <c r="AH357" s="25">
        <f t="shared" si="93"/>
        <v>147.50000000000006</v>
      </c>
      <c r="AI357" s="26">
        <f t="shared" si="93"/>
        <v>112.10000000000002</v>
      </c>
      <c r="AJ357" s="26">
        <f t="shared" si="93"/>
        <v>127.83333333333331</v>
      </c>
      <c r="AK357" s="26">
        <f t="shared" si="89"/>
        <v>137.66666666666669</v>
      </c>
    </row>
    <row r="358" spans="4:37" ht="20.100000000000001" customHeight="1">
      <c r="D358" s="27">
        <f t="shared" si="88"/>
        <v>0.98611111111110816</v>
      </c>
      <c r="E358" s="16">
        <f t="shared" si="92"/>
        <v>282.02777777777789</v>
      </c>
      <c r="F358" s="16">
        <f t="shared" si="92"/>
        <v>297.80555555555549</v>
      </c>
      <c r="G358" s="16">
        <f t="shared" si="92"/>
        <v>307.66666666666663</v>
      </c>
      <c r="H358" s="17">
        <f t="shared" si="92"/>
        <v>262.3055555555556</v>
      </c>
      <c r="I358" s="17">
        <f t="shared" si="92"/>
        <v>278.0833333333332</v>
      </c>
      <c r="J358" s="17">
        <f t="shared" si="92"/>
        <v>287.94444444444434</v>
      </c>
      <c r="K358" s="18">
        <f t="shared" si="92"/>
        <v>242.58333333333331</v>
      </c>
      <c r="L358" s="18">
        <f t="shared" si="92"/>
        <v>258.3611111111112</v>
      </c>
      <c r="M358" s="18">
        <f t="shared" si="92"/>
        <v>268.22222222222234</v>
      </c>
      <c r="N358" s="19">
        <f t="shared" si="92"/>
        <v>181.4444444444444</v>
      </c>
      <c r="O358" s="19">
        <f t="shared" si="92"/>
        <v>197.22222222222229</v>
      </c>
      <c r="P358" s="19">
        <f t="shared" si="92"/>
        <v>207.08333333333329</v>
      </c>
      <c r="Q358" s="20">
        <f t="shared" si="92"/>
        <v>171.5833333333334</v>
      </c>
      <c r="R358" s="20">
        <f t="shared" si="92"/>
        <v>187.36111111111114</v>
      </c>
      <c r="S358" s="20">
        <f t="shared" si="92"/>
        <v>197.22222222222229</v>
      </c>
      <c r="T358" s="21">
        <f t="shared" si="92"/>
        <v>161.72222222222226</v>
      </c>
      <c r="U358" s="21">
        <f t="shared" si="93"/>
        <v>177.5</v>
      </c>
      <c r="V358" s="21">
        <f t="shared" si="93"/>
        <v>187.36111111111114</v>
      </c>
      <c r="W358" s="22">
        <f t="shared" si="93"/>
        <v>151.86111111111111</v>
      </c>
      <c r="X358" s="22">
        <f t="shared" si="93"/>
        <v>167.63888888888886</v>
      </c>
      <c r="Y358" s="22">
        <f t="shared" si="93"/>
        <v>177.5</v>
      </c>
      <c r="Z358" s="23">
        <f t="shared" si="93"/>
        <v>141.99999999999997</v>
      </c>
      <c r="AA358" s="23">
        <f t="shared" si="93"/>
        <v>157.77777777777771</v>
      </c>
      <c r="AB358" s="23">
        <f t="shared" si="93"/>
        <v>167.63888888888886</v>
      </c>
      <c r="AC358" s="24">
        <f t="shared" si="93"/>
        <v>132.13888888888883</v>
      </c>
      <c r="AD358" s="24">
        <f t="shared" si="93"/>
        <v>147.91666666666671</v>
      </c>
      <c r="AE358" s="24">
        <f t="shared" si="93"/>
        <v>157.77777777777771</v>
      </c>
      <c r="AF358" s="25">
        <f t="shared" si="93"/>
        <v>122.27777777777776</v>
      </c>
      <c r="AG358" s="25">
        <f t="shared" si="93"/>
        <v>138.05555555555557</v>
      </c>
      <c r="AH358" s="25">
        <f t="shared" si="93"/>
        <v>147.91666666666671</v>
      </c>
      <c r="AI358" s="26">
        <f t="shared" si="93"/>
        <v>112.41666666666669</v>
      </c>
      <c r="AJ358" s="26">
        <f t="shared" si="93"/>
        <v>128.19444444444443</v>
      </c>
      <c r="AK358" s="26">
        <f t="shared" si="89"/>
        <v>138.05555555555557</v>
      </c>
    </row>
    <row r="359" spans="4:37" ht="20.100000000000001" customHeight="1">
      <c r="D359" s="27">
        <f t="shared" si="88"/>
        <v>0.98888888888888593</v>
      </c>
      <c r="E359" s="16">
        <f t="shared" si="92"/>
        <v>282.82222222222231</v>
      </c>
      <c r="F359" s="16">
        <f t="shared" si="92"/>
        <v>298.64444444444439</v>
      </c>
      <c r="G359" s="16">
        <f t="shared" si="92"/>
        <v>308.5333333333333</v>
      </c>
      <c r="H359" s="17">
        <f t="shared" si="92"/>
        <v>263.04444444444448</v>
      </c>
      <c r="I359" s="17">
        <f t="shared" si="92"/>
        <v>278.86666666666656</v>
      </c>
      <c r="J359" s="17">
        <f t="shared" si="92"/>
        <v>288.75555555555547</v>
      </c>
      <c r="K359" s="18">
        <f t="shared" si="92"/>
        <v>243.26666666666665</v>
      </c>
      <c r="L359" s="18">
        <f t="shared" si="92"/>
        <v>259.08888888888896</v>
      </c>
      <c r="M359" s="18">
        <f t="shared" si="92"/>
        <v>268.97777777777787</v>
      </c>
      <c r="N359" s="19">
        <f t="shared" si="92"/>
        <v>181.95555555555552</v>
      </c>
      <c r="O359" s="19">
        <f t="shared" si="92"/>
        <v>197.77777777777783</v>
      </c>
      <c r="P359" s="19">
        <f t="shared" si="92"/>
        <v>207.66666666666663</v>
      </c>
      <c r="Q359" s="20">
        <f t="shared" si="92"/>
        <v>172.06666666666672</v>
      </c>
      <c r="R359" s="20">
        <f t="shared" si="92"/>
        <v>187.88888888888891</v>
      </c>
      <c r="S359" s="20">
        <f t="shared" si="92"/>
        <v>197.77777777777783</v>
      </c>
      <c r="T359" s="21">
        <f t="shared" si="92"/>
        <v>162.17777777777781</v>
      </c>
      <c r="U359" s="21">
        <f t="shared" si="93"/>
        <v>178</v>
      </c>
      <c r="V359" s="21">
        <f t="shared" si="93"/>
        <v>187.88888888888891</v>
      </c>
      <c r="W359" s="22">
        <f t="shared" si="93"/>
        <v>152.28888888888889</v>
      </c>
      <c r="X359" s="22">
        <f t="shared" si="93"/>
        <v>168.11111111111109</v>
      </c>
      <c r="Y359" s="22">
        <f t="shared" si="93"/>
        <v>178</v>
      </c>
      <c r="Z359" s="23">
        <f t="shared" si="93"/>
        <v>142.39999999999998</v>
      </c>
      <c r="AA359" s="23">
        <f t="shared" si="93"/>
        <v>158.22222222222217</v>
      </c>
      <c r="AB359" s="23">
        <f t="shared" si="93"/>
        <v>168.11111111111109</v>
      </c>
      <c r="AC359" s="24">
        <f t="shared" si="93"/>
        <v>132.51111111111106</v>
      </c>
      <c r="AD359" s="24">
        <f t="shared" si="93"/>
        <v>148.33333333333337</v>
      </c>
      <c r="AE359" s="24">
        <f t="shared" si="93"/>
        <v>158.22222222222217</v>
      </c>
      <c r="AF359" s="25">
        <f t="shared" si="93"/>
        <v>122.62222222222221</v>
      </c>
      <c r="AG359" s="25">
        <f t="shared" si="93"/>
        <v>138.44444444444446</v>
      </c>
      <c r="AH359" s="25">
        <f t="shared" si="93"/>
        <v>148.33333333333337</v>
      </c>
      <c r="AI359" s="26">
        <f t="shared" si="93"/>
        <v>112.73333333333335</v>
      </c>
      <c r="AJ359" s="26">
        <f t="shared" si="93"/>
        <v>128.55555555555554</v>
      </c>
      <c r="AK359" s="26">
        <f t="shared" si="89"/>
        <v>138.44444444444446</v>
      </c>
    </row>
    <row r="360" spans="4:37" ht="20.100000000000001" customHeight="1">
      <c r="D360" s="27">
        <f t="shared" si="88"/>
        <v>0.9916666666666637</v>
      </c>
      <c r="E360" s="16">
        <f t="shared" si="92"/>
        <v>283.61666666666673</v>
      </c>
      <c r="F360" s="16">
        <f t="shared" si="92"/>
        <v>299.48333333333329</v>
      </c>
      <c r="G360" s="16">
        <f t="shared" si="92"/>
        <v>309.39999999999998</v>
      </c>
      <c r="H360" s="17">
        <f t="shared" si="92"/>
        <v>263.78333333333336</v>
      </c>
      <c r="I360" s="17">
        <f t="shared" si="92"/>
        <v>279.64999999999992</v>
      </c>
      <c r="J360" s="17">
        <f t="shared" si="92"/>
        <v>289.56666666666661</v>
      </c>
      <c r="K360" s="18">
        <f t="shared" si="92"/>
        <v>243.95</v>
      </c>
      <c r="L360" s="18">
        <f t="shared" si="92"/>
        <v>259.81666666666672</v>
      </c>
      <c r="M360" s="18">
        <f t="shared" si="92"/>
        <v>269.73333333333341</v>
      </c>
      <c r="N360" s="19">
        <f t="shared" si="92"/>
        <v>182.46666666666664</v>
      </c>
      <c r="O360" s="19">
        <f t="shared" si="92"/>
        <v>198.33333333333337</v>
      </c>
      <c r="P360" s="19">
        <f t="shared" si="92"/>
        <v>208.24999999999997</v>
      </c>
      <c r="Q360" s="20">
        <f t="shared" si="92"/>
        <v>172.55000000000004</v>
      </c>
      <c r="R360" s="20">
        <f t="shared" si="92"/>
        <v>188.41666666666669</v>
      </c>
      <c r="S360" s="20">
        <f t="shared" si="92"/>
        <v>198.33333333333337</v>
      </c>
      <c r="T360" s="21">
        <f t="shared" si="92"/>
        <v>162.63333333333335</v>
      </c>
      <c r="U360" s="21">
        <f t="shared" si="93"/>
        <v>178.5</v>
      </c>
      <c r="V360" s="21">
        <f t="shared" si="93"/>
        <v>188.41666666666669</v>
      </c>
      <c r="W360" s="22">
        <f t="shared" si="93"/>
        <v>152.71666666666667</v>
      </c>
      <c r="X360" s="22">
        <f t="shared" si="93"/>
        <v>168.58333333333331</v>
      </c>
      <c r="Y360" s="22">
        <f t="shared" si="93"/>
        <v>178.5</v>
      </c>
      <c r="Z360" s="23">
        <f t="shared" si="93"/>
        <v>142.79999999999998</v>
      </c>
      <c r="AA360" s="23">
        <f t="shared" si="93"/>
        <v>158.66666666666663</v>
      </c>
      <c r="AB360" s="23">
        <f t="shared" si="93"/>
        <v>168.58333333333331</v>
      </c>
      <c r="AC360" s="24">
        <f t="shared" si="93"/>
        <v>132.8833333333333</v>
      </c>
      <c r="AD360" s="24">
        <f t="shared" si="93"/>
        <v>148.75000000000003</v>
      </c>
      <c r="AE360" s="24">
        <f t="shared" si="93"/>
        <v>158.66666666666663</v>
      </c>
      <c r="AF360" s="25">
        <f t="shared" si="93"/>
        <v>122.96666666666665</v>
      </c>
      <c r="AG360" s="25">
        <f t="shared" si="93"/>
        <v>138.83333333333334</v>
      </c>
      <c r="AH360" s="25">
        <f t="shared" si="93"/>
        <v>148.75000000000003</v>
      </c>
      <c r="AI360" s="26">
        <f t="shared" si="93"/>
        <v>113.05000000000001</v>
      </c>
      <c r="AJ360" s="26">
        <f t="shared" si="93"/>
        <v>128.91666666666666</v>
      </c>
      <c r="AK360" s="26">
        <f t="shared" si="89"/>
        <v>138.83333333333334</v>
      </c>
    </row>
    <row r="361" spans="4:37" ht="20.100000000000001" customHeight="1">
      <c r="D361" s="27">
        <f t="shared" si="88"/>
        <v>0.99444444444444147</v>
      </c>
      <c r="E361" s="16">
        <f>E362-(E$363/360)</f>
        <v>284.41111111111115</v>
      </c>
      <c r="F361" s="16">
        <f t="shared" si="92"/>
        <v>300.32222222222219</v>
      </c>
      <c r="G361" s="16">
        <f t="shared" si="92"/>
        <v>310.26666666666665</v>
      </c>
      <c r="H361" s="17">
        <f t="shared" si="92"/>
        <v>264.52222222222224</v>
      </c>
      <c r="I361" s="17">
        <f t="shared" si="92"/>
        <v>280.43333333333328</v>
      </c>
      <c r="J361" s="17">
        <f t="shared" si="92"/>
        <v>290.37777777777774</v>
      </c>
      <c r="K361" s="18">
        <f t="shared" si="92"/>
        <v>244.63333333333333</v>
      </c>
      <c r="L361" s="18">
        <f t="shared" si="92"/>
        <v>260.54444444444448</v>
      </c>
      <c r="M361" s="18">
        <f t="shared" si="92"/>
        <v>270.48888888888894</v>
      </c>
      <c r="N361" s="19">
        <f t="shared" si="92"/>
        <v>182.97777777777776</v>
      </c>
      <c r="O361" s="19">
        <f t="shared" si="92"/>
        <v>198.88888888888891</v>
      </c>
      <c r="P361" s="19">
        <f t="shared" si="92"/>
        <v>208.83333333333331</v>
      </c>
      <c r="Q361" s="20">
        <f t="shared" si="92"/>
        <v>173.03333333333336</v>
      </c>
      <c r="R361" s="20">
        <f t="shared" si="92"/>
        <v>188.94444444444446</v>
      </c>
      <c r="S361" s="20">
        <f t="shared" si="92"/>
        <v>198.88888888888891</v>
      </c>
      <c r="T361" s="21">
        <f t="shared" si="92"/>
        <v>163.0888888888889</v>
      </c>
      <c r="U361" s="21">
        <f t="shared" si="93"/>
        <v>179</v>
      </c>
      <c r="V361" s="21">
        <f t="shared" si="93"/>
        <v>188.94444444444446</v>
      </c>
      <c r="W361" s="22">
        <f t="shared" si="93"/>
        <v>153.14444444444445</v>
      </c>
      <c r="X361" s="22">
        <f t="shared" si="93"/>
        <v>169.05555555555554</v>
      </c>
      <c r="Y361" s="22">
        <f t="shared" si="93"/>
        <v>179</v>
      </c>
      <c r="Z361" s="23">
        <f t="shared" si="93"/>
        <v>143.19999999999999</v>
      </c>
      <c r="AA361" s="23">
        <f t="shared" si="93"/>
        <v>159.11111111111109</v>
      </c>
      <c r="AB361" s="23">
        <f t="shared" si="93"/>
        <v>169.05555555555554</v>
      </c>
      <c r="AC361" s="24">
        <f t="shared" si="93"/>
        <v>133.25555555555553</v>
      </c>
      <c r="AD361" s="24">
        <f t="shared" si="93"/>
        <v>149.16666666666669</v>
      </c>
      <c r="AE361" s="24">
        <f t="shared" si="93"/>
        <v>159.11111111111109</v>
      </c>
      <c r="AF361" s="25">
        <f t="shared" si="93"/>
        <v>123.3111111111111</v>
      </c>
      <c r="AG361" s="25">
        <f t="shared" si="93"/>
        <v>139.22222222222223</v>
      </c>
      <c r="AH361" s="25">
        <f t="shared" si="93"/>
        <v>149.16666666666669</v>
      </c>
      <c r="AI361" s="26">
        <f t="shared" si="93"/>
        <v>113.36666666666667</v>
      </c>
      <c r="AJ361" s="26">
        <f t="shared" si="93"/>
        <v>129.27777777777777</v>
      </c>
      <c r="AK361" s="26">
        <f t="shared" si="89"/>
        <v>139.22222222222223</v>
      </c>
    </row>
    <row r="362" spans="4:37" ht="20.100000000000001" customHeight="1">
      <c r="D362" s="27">
        <f t="shared" si="88"/>
        <v>0.99722222222221923</v>
      </c>
      <c r="E362" s="16">
        <f>E363-(E$363/360)</f>
        <v>285.20555555555558</v>
      </c>
      <c r="F362" s="16">
        <f t="shared" si="92"/>
        <v>301.1611111111111</v>
      </c>
      <c r="G362" s="16">
        <f t="shared" si="92"/>
        <v>311.13333333333333</v>
      </c>
      <c r="H362" s="17">
        <f t="shared" si="92"/>
        <v>265.26111111111112</v>
      </c>
      <c r="I362" s="17">
        <f t="shared" si="92"/>
        <v>281.21666666666664</v>
      </c>
      <c r="J362" s="17">
        <f t="shared" si="92"/>
        <v>291.18888888888887</v>
      </c>
      <c r="K362" s="18">
        <f t="shared" si="92"/>
        <v>245.31666666666666</v>
      </c>
      <c r="L362" s="18">
        <f t="shared" si="92"/>
        <v>261.27222222222224</v>
      </c>
      <c r="M362" s="18">
        <f t="shared" si="92"/>
        <v>271.24444444444447</v>
      </c>
      <c r="N362" s="19">
        <f t="shared" si="92"/>
        <v>183.48888888888888</v>
      </c>
      <c r="O362" s="19">
        <f t="shared" si="92"/>
        <v>199.44444444444446</v>
      </c>
      <c r="P362" s="19">
        <f t="shared" si="92"/>
        <v>209.41666666666666</v>
      </c>
      <c r="Q362" s="20">
        <f t="shared" si="92"/>
        <v>173.51666666666668</v>
      </c>
      <c r="R362" s="20">
        <f t="shared" si="92"/>
        <v>189.47222222222223</v>
      </c>
      <c r="S362" s="20">
        <f t="shared" si="92"/>
        <v>199.44444444444446</v>
      </c>
      <c r="T362" s="21">
        <f t="shared" si="92"/>
        <v>163.54444444444445</v>
      </c>
      <c r="U362" s="21">
        <f>U363-(U$363/360)</f>
        <v>179.5</v>
      </c>
      <c r="V362" s="21">
        <f>V363-(V$363/360)</f>
        <v>189.47222222222223</v>
      </c>
      <c r="W362" s="22">
        <f>W363-(W$363/360)</f>
        <v>153.57222222222222</v>
      </c>
      <c r="X362" s="22">
        <f t="shared" si="93"/>
        <v>169.52777777777777</v>
      </c>
      <c r="Y362" s="22">
        <f t="shared" si="93"/>
        <v>179.5</v>
      </c>
      <c r="Z362" s="23">
        <f t="shared" si="93"/>
        <v>143.6</v>
      </c>
      <c r="AA362" s="23">
        <f t="shared" si="93"/>
        <v>159.55555555555554</v>
      </c>
      <c r="AB362" s="23">
        <f t="shared" si="93"/>
        <v>169.52777777777777</v>
      </c>
      <c r="AC362" s="24">
        <f t="shared" si="93"/>
        <v>133.62777777777777</v>
      </c>
      <c r="AD362" s="24">
        <f t="shared" si="93"/>
        <v>149.58333333333334</v>
      </c>
      <c r="AE362" s="24">
        <f t="shared" si="93"/>
        <v>159.55555555555554</v>
      </c>
      <c r="AF362" s="25">
        <f t="shared" si="93"/>
        <v>123.65555555555555</v>
      </c>
      <c r="AG362" s="25">
        <f t="shared" si="93"/>
        <v>139.61111111111111</v>
      </c>
      <c r="AH362" s="25">
        <f t="shared" si="93"/>
        <v>149.58333333333334</v>
      </c>
      <c r="AI362" s="26">
        <f t="shared" si="93"/>
        <v>113.68333333333334</v>
      </c>
      <c r="AJ362" s="26">
        <f t="shared" si="93"/>
        <v>129.63888888888889</v>
      </c>
      <c r="AK362" s="26">
        <f t="shared" si="89"/>
        <v>139.61111111111111</v>
      </c>
    </row>
    <row r="363" spans="4:37" ht="20.100000000000001" customHeight="1">
      <c r="D363" s="27">
        <f t="shared" si="88"/>
        <v>0.999999999999997</v>
      </c>
      <c r="E363" s="4">
        <f>B1+B2</f>
        <v>286</v>
      </c>
      <c r="F363" s="4">
        <f>E363+10+B3</f>
        <v>302</v>
      </c>
      <c r="G363" s="4">
        <f>F363+10</f>
        <v>312</v>
      </c>
      <c r="H363" s="5">
        <f t="shared" ref="H363:M363" si="94">E363-20</f>
        <v>266</v>
      </c>
      <c r="I363" s="5">
        <f t="shared" si="94"/>
        <v>282</v>
      </c>
      <c r="J363" s="5">
        <f t="shared" si="94"/>
        <v>292</v>
      </c>
      <c r="K363" s="6">
        <f t="shared" si="94"/>
        <v>246</v>
      </c>
      <c r="L363" s="6">
        <f t="shared" si="94"/>
        <v>262</v>
      </c>
      <c r="M363" s="6">
        <f t="shared" si="94"/>
        <v>272</v>
      </c>
      <c r="N363" s="7">
        <f>180+B2</f>
        <v>184</v>
      </c>
      <c r="O363" s="7">
        <f>N363+B3+10</f>
        <v>200</v>
      </c>
      <c r="P363" s="7">
        <f>O363+10</f>
        <v>210</v>
      </c>
      <c r="Q363" s="8">
        <f>N363-10</f>
        <v>174</v>
      </c>
      <c r="R363" s="8">
        <f>O363-10</f>
        <v>190</v>
      </c>
      <c r="S363" s="8">
        <f>P363-10</f>
        <v>200</v>
      </c>
      <c r="T363" s="9">
        <f>Q363-10</f>
        <v>164</v>
      </c>
      <c r="U363" s="9">
        <f t="shared" ref="U363:AK363" si="95">R363-10</f>
        <v>180</v>
      </c>
      <c r="V363" s="9">
        <f t="shared" si="95"/>
        <v>190</v>
      </c>
      <c r="W363" s="10">
        <f t="shared" si="95"/>
        <v>154</v>
      </c>
      <c r="X363" s="10">
        <f t="shared" si="95"/>
        <v>170</v>
      </c>
      <c r="Y363" s="10">
        <f t="shared" si="95"/>
        <v>180</v>
      </c>
      <c r="Z363" s="11">
        <f t="shared" si="95"/>
        <v>144</v>
      </c>
      <c r="AA363" s="11">
        <f t="shared" si="95"/>
        <v>160</v>
      </c>
      <c r="AB363" s="11">
        <f t="shared" si="95"/>
        <v>170</v>
      </c>
      <c r="AC363" s="12">
        <f t="shared" si="95"/>
        <v>134</v>
      </c>
      <c r="AD363" s="12">
        <f t="shared" si="95"/>
        <v>150</v>
      </c>
      <c r="AE363" s="12">
        <f t="shared" si="95"/>
        <v>160</v>
      </c>
      <c r="AF363" s="13">
        <f t="shared" si="95"/>
        <v>124</v>
      </c>
      <c r="AG363" s="13">
        <f t="shared" si="95"/>
        <v>140</v>
      </c>
      <c r="AH363" s="13">
        <f t="shared" si="95"/>
        <v>150</v>
      </c>
      <c r="AI363" s="14">
        <f t="shared" si="95"/>
        <v>114</v>
      </c>
      <c r="AJ363" s="14">
        <f t="shared" si="95"/>
        <v>130</v>
      </c>
      <c r="AK363" s="14">
        <f t="shared" si="95"/>
        <v>140</v>
      </c>
    </row>
  </sheetData>
  <sheetProtection sheet="1" objects="1" scenarios="1" selectLockedCells="1" selectUnlockedCells="1"/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4DA2-7E3A-4F54-97DE-0E41932D89C1}">
  <dimension ref="A1:AA66"/>
  <sheetViews>
    <sheetView showGridLines="0" showRowColHeaders="0" workbookViewId="0"/>
  </sheetViews>
  <sheetFormatPr defaultColWidth="10.5703125" defaultRowHeight="20.100000000000001" customHeight="1"/>
  <cols>
    <col min="1" max="16384" width="10.5703125" style="30"/>
  </cols>
  <sheetData>
    <row r="1" spans="1:27" ht="20.100000000000001" customHeight="1">
      <c r="A1" s="148" t="s">
        <v>79</v>
      </c>
      <c r="B1" s="148">
        <f>Index!B4</f>
        <v>236</v>
      </c>
      <c r="C1" s="112"/>
      <c r="F1" s="112"/>
      <c r="G1" s="137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7" ht="20.100000000000001" customHeight="1">
      <c r="A2" s="148" t="s">
        <v>196</v>
      </c>
      <c r="B2" s="148">
        <f>Index!C4</f>
        <v>4</v>
      </c>
      <c r="C2" s="112"/>
      <c r="F2" s="112"/>
      <c r="G2" s="137"/>
      <c r="J2" s="669">
        <v>80</v>
      </c>
      <c r="K2" s="669"/>
      <c r="L2" s="669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</row>
    <row r="3" spans="1:27" ht="20.100000000000001" customHeight="1">
      <c r="A3" s="156" t="s">
        <v>80</v>
      </c>
      <c r="B3" s="174">
        <f>Index!D4</f>
        <v>5</v>
      </c>
      <c r="C3" s="112"/>
      <c r="F3" s="112"/>
      <c r="G3" s="137"/>
      <c r="J3" s="289">
        <f>J5-K5</f>
        <v>0.26999999999998181</v>
      </c>
      <c r="K3" s="289"/>
      <c r="L3" s="288">
        <f>J5-L5</f>
        <v>0.56000000000000227</v>
      </c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</row>
    <row r="4" spans="1:27" ht="20.100000000000001" customHeight="1">
      <c r="A4" s="148" t="s">
        <v>197</v>
      </c>
      <c r="B4" s="148">
        <f>Index!E4</f>
        <v>50</v>
      </c>
      <c r="C4" s="112"/>
      <c r="D4" s="112"/>
      <c r="E4" s="112"/>
      <c r="F4" s="112"/>
      <c r="G4" s="112"/>
      <c r="H4" s="112"/>
      <c r="I4" s="150">
        <f>0*($B$6-0.85)*($B$6-0.7)/((1-0.85)*(1-0.7))+J3*($B$6-1)*($B$6-0.7)/((0.85-1)*(0.85-0.7))+L3*($B$6-1)*($B$6-0.85)/((0.7-1)*(0.7-0.85))++$B$1-(ABS($B$5/0.2/20))</f>
        <v>235.09625</v>
      </c>
      <c r="J4" s="111" t="s">
        <v>256</v>
      </c>
      <c r="K4" s="109" t="s">
        <v>255</v>
      </c>
      <c r="L4" s="109" t="s">
        <v>254</v>
      </c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1:27" ht="20.100000000000001" customHeight="1">
      <c r="A5" s="148" t="s">
        <v>253</v>
      </c>
      <c r="B5" s="148">
        <f>IF(Index!G4&lt;&gt;0,Index!G4/4,Index!F4)</f>
        <v>3.6149999999999998</v>
      </c>
      <c r="C5" s="112"/>
      <c r="D5" s="112"/>
      <c r="E5" s="112"/>
      <c r="F5" s="112"/>
      <c r="G5" s="112"/>
      <c r="H5" s="112"/>
      <c r="J5" s="287">
        <f>E15</f>
        <v>331.44</v>
      </c>
      <c r="K5" s="286">
        <v>331.17</v>
      </c>
      <c r="L5" s="286">
        <v>330.88</v>
      </c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spans="1:27" ht="20.100000000000001" customHeight="1">
      <c r="A6" s="173" t="s">
        <v>198</v>
      </c>
      <c r="B6" s="173">
        <f>Index!H4</f>
        <v>1</v>
      </c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spans="1:27" ht="20.100000000000001" customHeight="1">
      <c r="A7" s="163" t="s">
        <v>252</v>
      </c>
      <c r="B7" s="162"/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</row>
    <row r="8" spans="1:27" ht="20.100000000000001" customHeight="1">
      <c r="A8" s="112"/>
      <c r="B8" s="112"/>
      <c r="C8" s="112"/>
      <c r="D8" s="112"/>
      <c r="E8" s="158" t="s">
        <v>246</v>
      </c>
      <c r="F8" s="158" t="s">
        <v>245</v>
      </c>
      <c r="G8" s="158" t="s">
        <v>8</v>
      </c>
      <c r="H8" s="158" t="s">
        <v>244</v>
      </c>
      <c r="I8" s="158" t="s">
        <v>243</v>
      </c>
      <c r="J8" s="158" t="s">
        <v>242</v>
      </c>
      <c r="K8" s="112"/>
      <c r="L8" s="112"/>
      <c r="M8" s="121" t="s">
        <v>39</v>
      </c>
      <c r="N8" s="121" t="s">
        <v>258</v>
      </c>
      <c r="O8" s="112"/>
      <c r="P8" s="121" t="s">
        <v>257</v>
      </c>
      <c r="Q8" s="112"/>
      <c r="R8" s="112"/>
      <c r="S8" s="121" t="s">
        <v>249</v>
      </c>
      <c r="U8" s="111" t="s">
        <v>5</v>
      </c>
      <c r="V8" s="111" t="s">
        <v>241</v>
      </c>
      <c r="W8" s="111" t="s">
        <v>240</v>
      </c>
      <c r="X8" s="111" t="s">
        <v>239</v>
      </c>
      <c r="Y8" s="112"/>
      <c r="Z8" s="112"/>
    </row>
    <row r="9" spans="1:27" ht="20.100000000000001" customHeight="1">
      <c r="A9" s="109" t="s">
        <v>238</v>
      </c>
      <c r="B9" s="149" t="e">
        <f>((((G9*(J9-F10)*(J9-F11)/((F9-F10)*(F9-F11))+G10*(J9-F9)*(J9-F11)/((F10-F9)*(F10-F11))+G11*(J9-F9)*(J9-F10)/((F11-F9)*(F11-F10)))*(SIN(RADIANS($B$4)))*$B$3))*((100+((J9-J10)*2.75/-4))/100)+((G9*(J9-F10)*(J9-F11)/((F9-F10)*(F9-F11))+G10*(J9-F9)*(J9-F11)/((F10-F9)*(F10-F11))+G11*(J9-F9)*(J9-F10)/((F11-F9)*(F11-F10)))*$B$5*(B10/100)))*D9</f>
        <v>#DIV/0!</v>
      </c>
      <c r="C9" s="172" t="e">
        <f>((((G9*(J9-F10)*(J9-F11)/((F9-F10)*(F9-F11))+G10*(J9-F9)*(J9-F11)/((F10-F9)*(F10-F11))+G11*(J9-F9)*(J9-F10)/((F11-F9)*(F11-F10)))*(SIN(RADIANS($B$4)))*$B$3))/((100+((J11-J9)*4/-6.25))/100)+((G9*(J9-F10)*(J9-F11)/((F9-F10)*(F9-F11))+G10*(J9-F9)*(J9-F11)/((F10-F9)*(F10-F11))+G11*(J9-F9)*(J9-F10)/((F11-F9)*(F11-F10)))*$B$5*(C10/100)))*D9</f>
        <v>#DIV/0!</v>
      </c>
      <c r="D9" s="150">
        <f>Index!$C$13</f>
        <v>1</v>
      </c>
      <c r="E9" s="279">
        <v>1</v>
      </c>
      <c r="F9" s="278">
        <f>Z15</f>
        <v>0</v>
      </c>
      <c r="G9" s="277">
        <f>Z33</f>
        <v>47.407407407407412</v>
      </c>
      <c r="H9" s="277">
        <f>Z21</f>
        <v>0</v>
      </c>
      <c r="I9" s="277">
        <f>Z27</f>
        <v>0</v>
      </c>
      <c r="J9" s="284">
        <f>I4</f>
        <v>235.09625</v>
      </c>
      <c r="K9" s="112"/>
      <c r="L9" s="112"/>
      <c r="M9" s="275">
        <v>100</v>
      </c>
      <c r="N9" s="275">
        <v>330.19</v>
      </c>
      <c r="O9" s="273">
        <f>P9*((M9-(100/360))-M10)*((M9-(100/360))-M11)/((M9-M10)*(M9-M11))+P10*((M9-(100/360))-M9)*((M9-(100/360))-M11)/((M10-M9)*(M10-M11))+P11*((M9-(100/360))-M9)*((M9-(100/360))-M10)/((M11-M9)*(M11-M10))</f>
        <v>330.78971836419748</v>
      </c>
      <c r="P9" s="112">
        <f>E15</f>
        <v>331.44</v>
      </c>
      <c r="Q9" s="274" t="e">
        <f>O9*($J10-P10)*($J10-P11)/((P9-P10)*(P9-P11))+O10*($J10-P9)*($J10-P11)/((P10-P9)*(P10-P11))+O11*($J10-P9)*($J10-P10)/((P11-P9)*(P11-P10))</f>
        <v>#DIV/0!</v>
      </c>
      <c r="R9" s="273" t="e">
        <f>N9*($J10-P10)*($J10-P11)/((P9-P10)*(P9-P11))+N10*($J10-P9)*($J10-P11)/((P10-P9)*(P10-P11))+N11*($J10-P9)*($J10-P10)/((P11-P9)*(P11-P10))</f>
        <v>#DIV/0!</v>
      </c>
      <c r="S9" s="272" t="e">
        <f>MOD(($B10/100)*-360,1)*-(($J10-Q9)/($J10-R9))+30</f>
        <v>#DIV/0!</v>
      </c>
      <c r="U9" s="111">
        <v>100</v>
      </c>
      <c r="V9" s="111">
        <f>L9</f>
        <v>0</v>
      </c>
      <c r="W9" s="111">
        <v>320.2</v>
      </c>
      <c r="X9" s="111"/>
      <c r="Y9" s="112"/>
      <c r="Z9" s="112"/>
    </row>
    <row r="10" spans="1:27" ht="20.100000000000001" customHeight="1">
      <c r="A10" s="109" t="s">
        <v>5</v>
      </c>
      <c r="B10" s="149" t="e">
        <f>100*(J10-F10)*(J10-F11)/((F9-F10)*(F9-F11))+90*(J10-F9)*(J10-F11)/((F10-F9)*(F10-F11))+80*(J10-F9)*(J10-F10)/((F11-F9)*(F11-F10))</f>
        <v>#DIV/0!</v>
      </c>
      <c r="C10" s="148" t="e">
        <f>100*(J11-F10)*(J11-F11)/((F9-F10)*(F9-F11))+90*(J11-F9)*(J11-F11)/((F10-F9)*(F10-F11))+80*(J11-F9)*(J11-F10)/((F11-F9)*(F11-F10))</f>
        <v>#DIV/0!</v>
      </c>
      <c r="D10" s="112"/>
      <c r="E10" s="266">
        <v>0.9</v>
      </c>
      <c r="F10" s="271">
        <f>Z16</f>
        <v>0</v>
      </c>
      <c r="G10" s="270">
        <f>Z34</f>
        <v>47.407407407407412</v>
      </c>
      <c r="H10" s="270">
        <f>Z22</f>
        <v>0</v>
      </c>
      <c r="I10" s="270">
        <f>Z28</f>
        <v>0</v>
      </c>
      <c r="J10" s="269" t="e">
        <f>J9-((COS(RADIANS($B$4)))*$B$3*(ABS((F9-H9)*(J9-H10)*(J9-H11)/((H9-H10)*(H9-H11))+(F10-H10)*(J9-H9)*(J9-H11)/((H10-H9)*(H10-H11))+(F11-H11)*(J9-H9)*(J9-H10)/((H11-H9)*(H11-H10)))/9))</f>
        <v>#DIV/0!</v>
      </c>
      <c r="K10" s="112"/>
      <c r="L10" s="112"/>
      <c r="M10" s="268">
        <v>90</v>
      </c>
      <c r="N10" s="268">
        <v>305.27999999999997</v>
      </c>
      <c r="O10" s="112">
        <f>P9*((M10-(100/360))-M10)*((M10-(100/360))-M11)/((M9-M10)*(M9-M11))+P10*((M10-(100/360))-M9)*((M10-(100/360))-M11)/((M10-M9)*(M10-M11))+P11*((M10-(100/360))-M9)*((M10-(100/360))-M10)/((M11-M9)*(M11-M10))</f>
        <v>305.7094405864197</v>
      </c>
      <c r="P10" s="112">
        <f>E16</f>
        <v>306.45</v>
      </c>
      <c r="Q10" s="117" t="e">
        <f>O9*($J11-P10)*($J11-P11)/((P9-P10)*(P9-P11))+O10*($J11-P9)*($J11-P11)/((P10-P9)*(P10-P11))+O11*($J11-P9)*($J11-P10)/((P11-P9)*(P11-P10))</f>
        <v>#DIV/0!</v>
      </c>
      <c r="R10" s="115" t="e">
        <f>N9*($J11-P10)*($J11-P11)/((P9-P10)*(P9-P11))+N10*($J11-P9)*($J11-P11)/((P10-P9)*(P10-P11))+N11*($J11-P9)*($J11-P10)/((P11-P9)*(P11-P10))</f>
        <v>#DIV/0!</v>
      </c>
      <c r="S10" s="267" t="e">
        <f>MOD((C10/100)*-360,1)*-(($J11-Q10)/($J11-R10))+30</f>
        <v>#DIV/0!</v>
      </c>
      <c r="U10" s="111">
        <v>90</v>
      </c>
      <c r="V10" s="111">
        <f>L10</f>
        <v>0</v>
      </c>
      <c r="W10" s="111">
        <v>293.60000000000002</v>
      </c>
      <c r="X10" s="111"/>
      <c r="Y10" s="112"/>
      <c r="Z10" s="112"/>
    </row>
    <row r="11" spans="1:27" ht="20.100000000000001" customHeight="1">
      <c r="A11" s="109" t="s">
        <v>237</v>
      </c>
      <c r="B11" s="157" t="e">
        <f>(360-ROUNDDOWN((1-(B10/100))*360,0))*B15/360</f>
        <v>#DIV/0!</v>
      </c>
      <c r="C11" s="156" t="e">
        <f>(360-ROUNDDOWN((1-(C10/100))*360,0))*C16/360</f>
        <v>#DIV/0!</v>
      </c>
      <c r="D11" s="112"/>
      <c r="E11" s="266">
        <v>0.8</v>
      </c>
      <c r="F11" s="265">
        <f>Z17</f>
        <v>0</v>
      </c>
      <c r="G11" s="264">
        <f>Z35</f>
        <v>47.407407407407412</v>
      </c>
      <c r="H11" s="264">
        <f>Z23</f>
        <v>0</v>
      </c>
      <c r="I11" s="264">
        <f>Z29</f>
        <v>0</v>
      </c>
      <c r="J11" s="263" t="e">
        <f>J9+((COS(RADIANS($B$4)))*$B$3*(ABS((F9-I9)*(J9-I10)*(J9-I11)/((I9-I10)*(I9-I11))+(F10-I10)*(J9-I9)*(J9-I11)/((I10-I9)*(I10-I11))+(F11-I11)*(J9-I9)*(J9-I10)/((I11-I9)*(I11-I10)))/9))</f>
        <v>#DIV/0!</v>
      </c>
      <c r="K11" s="112"/>
      <c r="L11" s="112"/>
      <c r="M11" s="262">
        <v>80</v>
      </c>
      <c r="N11" s="261">
        <v>277.16000000000003</v>
      </c>
      <c r="O11" s="115">
        <f>P9*((M11-(100/360))-M10)*((M11-(100/360))-M11)/((M9-M10)*(M9-M11))+P10*((M11-(100/360))-M9)*((M11-(100/360))-M11)/((M10-M9)*(M10-M11))+P11*((M11-(100/360))-M9)*((M11-(100/360))-M10)/((M11-M9)*(M11-M10))</f>
        <v>277.37916280864198</v>
      </c>
      <c r="P11" s="260">
        <f>E17</f>
        <v>278.20999999999998</v>
      </c>
      <c r="Q11" s="112"/>
      <c r="R11" s="112"/>
      <c r="S11" s="121" t="s">
        <v>248</v>
      </c>
      <c r="U11" s="111">
        <v>80</v>
      </c>
      <c r="V11" s="111">
        <f>L11</f>
        <v>0</v>
      </c>
      <c r="W11" s="111">
        <v>266.5</v>
      </c>
      <c r="X11" s="111"/>
      <c r="Y11" s="112"/>
      <c r="Z11" s="112"/>
    </row>
    <row r="12" spans="1:27" ht="20.100000000000001" customHeight="1">
      <c r="A12" s="109" t="s">
        <v>39</v>
      </c>
      <c r="B12" s="149" t="e">
        <f>S9</f>
        <v>#DIV/0!</v>
      </c>
      <c r="C12" s="148" t="e">
        <f>S10</f>
        <v>#DIV/0!</v>
      </c>
      <c r="D12" s="112"/>
      <c r="W12" s="112"/>
      <c r="X12" s="112"/>
      <c r="Y12" s="112"/>
      <c r="Z12" s="112"/>
    </row>
    <row r="13" spans="1:27" ht="20.100000000000001" customHeight="1">
      <c r="A13" s="109" t="s">
        <v>195</v>
      </c>
      <c r="B13" s="149" t="e">
        <f>B9/4</f>
        <v>#DIV/0!</v>
      </c>
      <c r="C13" s="148" t="e">
        <f>C9/4</f>
        <v>#DIV/0!</v>
      </c>
      <c r="D13" s="112"/>
      <c r="E13" s="649" t="s">
        <v>236</v>
      </c>
      <c r="F13" s="650"/>
      <c r="G13" s="650"/>
      <c r="H13" s="650"/>
      <c r="I13" s="650"/>
      <c r="J13" s="650"/>
      <c r="K13" s="651"/>
      <c r="L13" s="650"/>
      <c r="M13" s="650"/>
      <c r="N13" s="650"/>
      <c r="O13" s="650"/>
      <c r="P13" s="650"/>
      <c r="Q13" s="650"/>
      <c r="R13" s="650"/>
      <c r="S13" s="650"/>
      <c r="T13" s="650"/>
      <c r="U13" s="650"/>
      <c r="V13" s="652"/>
      <c r="W13" s="112"/>
    </row>
    <row r="14" spans="1:27" ht="20.100000000000001" customHeight="1">
      <c r="A14" s="112"/>
      <c r="B14" s="112"/>
      <c r="C14" s="112"/>
      <c r="D14" s="112"/>
      <c r="E14" s="145">
        <v>0</v>
      </c>
      <c r="F14" s="145">
        <v>-10</v>
      </c>
      <c r="G14" s="145">
        <v>-20</v>
      </c>
      <c r="H14" s="145">
        <v>-30</v>
      </c>
      <c r="I14" s="145">
        <v>-40</v>
      </c>
      <c r="J14" s="283">
        <v>-50</v>
      </c>
      <c r="K14" s="146">
        <v>-60</v>
      </c>
      <c r="L14" s="282">
        <v>-70</v>
      </c>
      <c r="M14" s="146">
        <v>-80</v>
      </c>
      <c r="N14" s="146"/>
      <c r="O14" s="146"/>
      <c r="P14" s="146"/>
      <c r="Q14" s="146"/>
      <c r="R14" s="145"/>
      <c r="S14" s="145"/>
      <c r="T14" s="145"/>
      <c r="U14" s="145"/>
      <c r="V14" s="145"/>
      <c r="W14" s="112"/>
      <c r="X14" s="120" t="s">
        <v>14</v>
      </c>
      <c r="Y14" s="120" t="s">
        <v>231</v>
      </c>
      <c r="Z14" s="109"/>
    </row>
    <row r="15" spans="1:27" ht="20.100000000000001" customHeight="1">
      <c r="A15" s="112"/>
      <c r="B15" s="644">
        <v>302</v>
      </c>
      <c r="C15" s="644"/>
      <c r="D15" s="112"/>
      <c r="E15" s="144">
        <v>331.44</v>
      </c>
      <c r="F15" s="143">
        <v>343.5</v>
      </c>
      <c r="G15" s="143">
        <v>353.25</v>
      </c>
      <c r="H15" s="143">
        <v>361.28</v>
      </c>
      <c r="I15" s="143">
        <v>368.12</v>
      </c>
      <c r="J15" s="142">
        <v>373.99</v>
      </c>
      <c r="K15" s="142">
        <v>379.16</v>
      </c>
      <c r="L15" s="142">
        <v>383.7</v>
      </c>
      <c r="M15" s="141">
        <v>387.74</v>
      </c>
      <c r="N15" s="141"/>
      <c r="O15" s="141"/>
      <c r="P15" s="141"/>
      <c r="Q15" s="141"/>
      <c r="R15" s="140"/>
      <c r="S15" s="140"/>
      <c r="T15" s="140"/>
      <c r="U15" s="140"/>
      <c r="V15" s="139"/>
      <c r="W15" s="112"/>
      <c r="X15" s="111"/>
      <c r="Y15" s="110">
        <f xml:space="preserve"> 0.00000000002*B2^6 + 0.000000001*B2^5 - 0.0000007*B2^4 - 0.0001*B2^3 - 0.0156*B2^2 - 1.3476*B2 + 331.44</f>
        <v>325.79342190592001</v>
      </c>
      <c r="Z15" s="109">
        <f>IF($B$2&gt;0,X15,Y15)</f>
        <v>0</v>
      </c>
    </row>
    <row r="16" spans="1:27" ht="20.100000000000001" customHeight="1">
      <c r="A16" s="112"/>
      <c r="B16" s="109">
        <v>100</v>
      </c>
      <c r="C16" s="109">
        <f>$B$15*B16/100</f>
        <v>302</v>
      </c>
      <c r="D16" s="112"/>
      <c r="E16" s="138">
        <v>306.45</v>
      </c>
      <c r="F16" s="112">
        <v>319.64999999999998</v>
      </c>
      <c r="G16" s="112">
        <v>330.15</v>
      </c>
      <c r="H16" s="112">
        <v>338.79</v>
      </c>
      <c r="I16" s="112">
        <v>346.07</v>
      </c>
      <c r="J16" s="30">
        <v>352.32</v>
      </c>
      <c r="K16" s="30">
        <v>357.76</v>
      </c>
      <c r="L16" s="30">
        <v>362.54</v>
      </c>
      <c r="M16" s="137">
        <v>366.79</v>
      </c>
      <c r="N16" s="137"/>
      <c r="O16" s="137"/>
      <c r="P16" s="137"/>
      <c r="Q16" s="137"/>
      <c r="R16" s="130"/>
      <c r="S16" s="130"/>
      <c r="T16" s="130"/>
      <c r="U16" s="130"/>
      <c r="V16" s="136"/>
      <c r="W16" s="112"/>
      <c r="X16" s="111"/>
      <c r="Y16" s="110">
        <f xml:space="preserve"> -0.00000000005*B2^6 - 0.00000002*B2^5 - 0.000003*B2^4 - 0.0003*B2^3 - 0.0197*B2^2 - 1.4932*B2 + 306.45</f>
        <v>300.14201131519997</v>
      </c>
      <c r="Z16" s="109">
        <f>IF($B$2&gt;0,X16,Y16)</f>
        <v>0</v>
      </c>
    </row>
    <row r="17" spans="1:26" ht="20.100000000000001" customHeight="1">
      <c r="A17" s="112"/>
      <c r="B17" s="109">
        <v>90</v>
      </c>
      <c r="C17" s="109">
        <f>$B$15*B17/100</f>
        <v>271.8</v>
      </c>
      <c r="D17" s="112"/>
      <c r="E17" s="135">
        <v>278.20999999999998</v>
      </c>
      <c r="F17" s="116">
        <v>292.55</v>
      </c>
      <c r="G17" s="116">
        <v>303.94</v>
      </c>
      <c r="H17" s="116">
        <v>313.26</v>
      </c>
      <c r="I17" s="116">
        <v>321.08</v>
      </c>
      <c r="J17" s="134">
        <v>327.76</v>
      </c>
      <c r="K17" s="134">
        <v>333.54</v>
      </c>
      <c r="L17" s="134">
        <v>338.61</v>
      </c>
      <c r="M17" s="133">
        <v>343.1</v>
      </c>
      <c r="N17" s="133"/>
      <c r="O17" s="133"/>
      <c r="P17" s="133"/>
      <c r="Q17" s="133"/>
      <c r="R17" s="132"/>
      <c r="S17" s="132"/>
      <c r="T17" s="132"/>
      <c r="U17" s="132"/>
      <c r="V17" s="131"/>
      <c r="W17" s="112"/>
      <c r="X17" s="111"/>
      <c r="Y17" s="110">
        <f xml:space="preserve"> -0.00000000005*B2^6 - 0.00000002*B2^5 - 0.000003*B2^4 - 0.0003*B2^3 - 0.0213*B2^2 - 1.6221*B2 + 278.21</f>
        <v>271.36081131519995</v>
      </c>
      <c r="Z17" s="109">
        <f>IF($B$2&gt;0,X17,Y17)</f>
        <v>0</v>
      </c>
    </row>
    <row r="18" spans="1:26" ht="20.100000000000001" customHeight="1">
      <c r="A18" s="112"/>
      <c r="B18" s="109">
        <v>80</v>
      </c>
      <c r="C18" s="109">
        <f>$B$15*B18/100</f>
        <v>241.6</v>
      </c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</row>
    <row r="19" spans="1:26" ht="20.100000000000001" customHeight="1">
      <c r="A19" s="112"/>
      <c r="D19" s="112"/>
      <c r="E19" s="649" t="s">
        <v>235</v>
      </c>
      <c r="F19" s="650"/>
      <c r="G19" s="650"/>
      <c r="H19" s="650"/>
      <c r="I19" s="650"/>
      <c r="J19" s="650"/>
      <c r="K19" s="651"/>
      <c r="L19" s="650"/>
      <c r="M19" s="650"/>
      <c r="N19" s="650"/>
      <c r="O19" s="650"/>
      <c r="P19" s="650"/>
      <c r="Q19" s="650"/>
      <c r="R19" s="650"/>
      <c r="S19" s="650"/>
      <c r="T19" s="650"/>
      <c r="U19" s="650"/>
      <c r="V19" s="652"/>
      <c r="W19" s="112"/>
    </row>
    <row r="20" spans="1:26" ht="20.100000000000001" customHeight="1">
      <c r="A20" s="112"/>
      <c r="D20" s="112"/>
      <c r="E20" s="121">
        <v>0</v>
      </c>
      <c r="F20" s="121">
        <v>-10</v>
      </c>
      <c r="G20" s="121">
        <v>-20</v>
      </c>
      <c r="H20" s="121">
        <v>-30</v>
      </c>
      <c r="I20" s="121">
        <v>-40</v>
      </c>
      <c r="J20" s="281">
        <v>-50</v>
      </c>
      <c r="K20" s="122">
        <v>-60</v>
      </c>
      <c r="L20" s="280">
        <v>-70</v>
      </c>
      <c r="M20" s="122">
        <v>-80</v>
      </c>
      <c r="N20" s="121"/>
      <c r="O20" s="121"/>
      <c r="P20" s="121"/>
      <c r="Q20" s="121"/>
      <c r="R20" s="121"/>
      <c r="S20" s="121"/>
      <c r="T20" s="121"/>
      <c r="U20" s="121"/>
      <c r="V20" s="121"/>
      <c r="W20" s="112"/>
      <c r="X20" s="120" t="s">
        <v>14</v>
      </c>
      <c r="Y20" s="120" t="s">
        <v>231</v>
      </c>
      <c r="Z20" s="109"/>
    </row>
    <row r="21" spans="1:26" ht="20.100000000000001" customHeight="1">
      <c r="A21" s="112"/>
      <c r="D21" s="112"/>
      <c r="E21" s="119">
        <v>344.3</v>
      </c>
      <c r="F21" s="112">
        <v>356.85</v>
      </c>
      <c r="G21" s="112">
        <v>366.94</v>
      </c>
      <c r="H21" s="112">
        <v>375.31</v>
      </c>
      <c r="I21" s="112">
        <v>382.43</v>
      </c>
      <c r="J21" s="112">
        <v>388.59</v>
      </c>
      <c r="K21" s="112">
        <v>393.99</v>
      </c>
      <c r="L21" s="112">
        <v>398.76</v>
      </c>
      <c r="M21" s="130">
        <v>403.03</v>
      </c>
      <c r="N21" s="130"/>
      <c r="O21" s="130"/>
      <c r="P21" s="130"/>
      <c r="Q21" s="130"/>
      <c r="R21" s="130"/>
      <c r="S21" s="130"/>
      <c r="T21" s="130"/>
      <c r="U21" s="130"/>
      <c r="V21" s="129"/>
      <c r="W21" s="112"/>
      <c r="X21" s="111"/>
      <c r="Y21" s="110">
        <f xml:space="preserve"> -0.00000000003*B2^6 - 0.00000001*B2^5 - 0.000002*B2^4 - 0.0002*B2^3 - 0.0177*B2^2 - 1.4114*B2 + 344.3</f>
        <v>338.35787763712</v>
      </c>
      <c r="Z21" s="109">
        <f>IF($B$2&gt;0,X21,Y21)</f>
        <v>0</v>
      </c>
    </row>
    <row r="22" spans="1:26" ht="20.100000000000001" customHeight="1">
      <c r="A22" s="112"/>
      <c r="D22" s="112"/>
      <c r="E22" s="119">
        <v>319.58</v>
      </c>
      <c r="F22" s="112">
        <v>333.29</v>
      </c>
      <c r="G22" s="112">
        <v>344.21</v>
      </c>
      <c r="H22" s="112">
        <v>353.21</v>
      </c>
      <c r="I22" s="112">
        <v>360.81</v>
      </c>
      <c r="J22" s="112">
        <v>367.35</v>
      </c>
      <c r="K22" s="112">
        <v>373.05</v>
      </c>
      <c r="L22" s="112">
        <v>378.09</v>
      </c>
      <c r="M22" s="130">
        <v>382.56</v>
      </c>
      <c r="N22" s="130"/>
      <c r="O22" s="130"/>
      <c r="P22" s="130"/>
      <c r="Q22" s="130"/>
      <c r="R22" s="130"/>
      <c r="S22" s="130"/>
      <c r="T22" s="130"/>
      <c r="U22" s="130"/>
      <c r="V22" s="129"/>
      <c r="W22" s="112"/>
      <c r="X22" s="111"/>
      <c r="Y22" s="110">
        <f xml:space="preserve"> -0.00000000008*B2^6 - 0.00000002*B2^5 - 0.000003*B2^4 - 0.0003*B2^3 - 0.0207*B2^2 - 1.5519*B2 + 319.58</f>
        <v>313.02121119231998</v>
      </c>
      <c r="Z22" s="109">
        <f>IF($B$2&gt;0,X22,Y22)</f>
        <v>0</v>
      </c>
    </row>
    <row r="23" spans="1:26" ht="20.100000000000001" customHeight="1">
      <c r="A23" s="112"/>
      <c r="B23" s="112"/>
      <c r="C23" s="112"/>
      <c r="D23" s="112"/>
      <c r="E23" s="117">
        <v>291.20999999999998</v>
      </c>
      <c r="F23" s="115">
        <v>306.19</v>
      </c>
      <c r="G23" s="115">
        <v>318.07</v>
      </c>
      <c r="H23" s="115">
        <v>327.8</v>
      </c>
      <c r="I23" s="115">
        <v>335.98</v>
      </c>
      <c r="J23" s="115">
        <v>342.98</v>
      </c>
      <c r="K23" s="115">
        <v>349.05</v>
      </c>
      <c r="L23" s="115">
        <v>354.39</v>
      </c>
      <c r="M23" s="128">
        <v>359.13</v>
      </c>
      <c r="N23" s="128"/>
      <c r="O23" s="128"/>
      <c r="P23" s="128"/>
      <c r="Q23" s="128"/>
      <c r="R23" s="128"/>
      <c r="S23" s="128"/>
      <c r="T23" s="128"/>
      <c r="U23" s="128"/>
      <c r="V23" s="127"/>
      <c r="W23" s="112"/>
      <c r="X23" s="111"/>
      <c r="Y23" s="110">
        <f xml:space="preserve"> -0.00000000006*B2^6 - 0.00000002*B2^5 - 0.000003*B2^4 - 0.0003*B2^3 - 0.0227*B2^2 - 1.6979*B2 + 291.21</f>
        <v>284.03521127424</v>
      </c>
      <c r="Z23" s="109">
        <f>IF($B$2&gt;0,X23,Y23)</f>
        <v>0</v>
      </c>
    </row>
    <row r="24" spans="1:26" ht="20.100000000000001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</row>
    <row r="25" spans="1:26" ht="20.100000000000001" customHeight="1">
      <c r="A25" s="112"/>
      <c r="B25" s="112"/>
      <c r="C25" s="112"/>
      <c r="D25" s="112"/>
      <c r="E25" s="649" t="s">
        <v>233</v>
      </c>
      <c r="F25" s="650"/>
      <c r="G25" s="650"/>
      <c r="H25" s="650"/>
      <c r="I25" s="650"/>
      <c r="J25" s="650"/>
      <c r="K25" s="651"/>
      <c r="L25" s="650"/>
      <c r="M25" s="650"/>
      <c r="N25" s="650"/>
      <c r="O25" s="650"/>
      <c r="P25" s="650"/>
      <c r="Q25" s="650"/>
      <c r="R25" s="650"/>
      <c r="S25" s="650"/>
      <c r="T25" s="650"/>
      <c r="U25" s="650"/>
      <c r="V25" s="652"/>
      <c r="W25" s="112"/>
    </row>
    <row r="26" spans="1:26" ht="20.100000000000001" customHeight="1">
      <c r="A26" s="112"/>
      <c r="B26" s="112"/>
      <c r="C26" s="112"/>
      <c r="D26" s="112"/>
      <c r="E26" s="121">
        <v>0</v>
      </c>
      <c r="F26" s="121">
        <v>-10</v>
      </c>
      <c r="G26" s="121">
        <v>-20</v>
      </c>
      <c r="H26" s="121">
        <v>-30</v>
      </c>
      <c r="I26" s="121">
        <v>-40</v>
      </c>
      <c r="J26" s="281">
        <v>-50</v>
      </c>
      <c r="K26" s="122">
        <v>-60</v>
      </c>
      <c r="L26" s="280">
        <v>-70</v>
      </c>
      <c r="M26" s="122">
        <v>-80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12"/>
      <c r="X26" s="120" t="s">
        <v>14</v>
      </c>
      <c r="Y26" s="120" t="s">
        <v>231</v>
      </c>
      <c r="Z26" s="109"/>
    </row>
    <row r="27" spans="1:26" ht="20.100000000000001" customHeight="1">
      <c r="A27" s="112"/>
      <c r="B27" s="112"/>
      <c r="C27" s="112"/>
      <c r="D27" s="112"/>
      <c r="E27" s="119">
        <v>317.74</v>
      </c>
      <c r="F27" s="112">
        <v>329.36</v>
      </c>
      <c r="G27" s="112">
        <v>338.67</v>
      </c>
      <c r="H27" s="112">
        <v>346.36</v>
      </c>
      <c r="I27" s="112">
        <v>352.87</v>
      </c>
      <c r="J27" s="112">
        <v>358.47</v>
      </c>
      <c r="K27" s="112">
        <v>363.35</v>
      </c>
      <c r="L27" s="112">
        <v>367.64</v>
      </c>
      <c r="M27" s="112">
        <v>371.45</v>
      </c>
      <c r="N27" s="112"/>
      <c r="O27" s="112"/>
      <c r="P27" s="112"/>
      <c r="Q27" s="112"/>
      <c r="R27" s="112"/>
      <c r="S27" s="112"/>
      <c r="T27" s="112"/>
      <c r="U27" s="112"/>
      <c r="V27" s="118"/>
      <c r="W27" s="112"/>
      <c r="X27" s="111"/>
      <c r="Y27" s="110">
        <f xml:space="preserve"> -0.00000000003*B2^6 - 0.00000001*B2^5 - 0.000002*B2^4 - 0.0002*B2^3 - 0.0167*B2^2 - 1.3092*B2 + 317.74</f>
        <v>312.22267763712</v>
      </c>
      <c r="Z27" s="109">
        <f>IF($B$2&gt;0,X27,Y27)</f>
        <v>0</v>
      </c>
    </row>
    <row r="28" spans="1:26" ht="20.100000000000001" customHeight="1">
      <c r="A28" s="112"/>
      <c r="B28" s="112"/>
      <c r="C28" s="112"/>
      <c r="D28" s="112"/>
      <c r="E28" s="119">
        <v>292.69</v>
      </c>
      <c r="F28" s="112">
        <v>305.32</v>
      </c>
      <c r="G28" s="112">
        <v>315.36</v>
      </c>
      <c r="H28" s="112">
        <v>323.61</v>
      </c>
      <c r="I28" s="112">
        <v>330.55</v>
      </c>
      <c r="J28" s="112">
        <v>336.49</v>
      </c>
      <c r="K28" s="112">
        <v>341.64</v>
      </c>
      <c r="L28" s="112">
        <v>346.16</v>
      </c>
      <c r="M28" s="112">
        <v>350.15</v>
      </c>
      <c r="N28" s="112"/>
      <c r="O28" s="112"/>
      <c r="P28" s="112"/>
      <c r="Q28" s="112"/>
      <c r="R28" s="112"/>
      <c r="S28" s="112"/>
      <c r="T28" s="112"/>
      <c r="U28" s="112"/>
      <c r="V28" s="118"/>
      <c r="W28" s="112"/>
      <c r="X28" s="111"/>
      <c r="Y28" s="110">
        <f xml:space="preserve"> -0.00000000006*B2^6 - 0.00000002*B2^5 - 0.000003*B2^4 - 0.0003*B2^3 - 0.0191*B2^2 - 1.4302*B2 + 292.69</f>
        <v>286.64361127424002</v>
      </c>
      <c r="Z28" s="109">
        <f>IF($B$2&gt;0,X28,Y28)</f>
        <v>0</v>
      </c>
    </row>
    <row r="29" spans="1:26" ht="20.100000000000001" customHeight="1">
      <c r="A29" s="112"/>
      <c r="B29" s="112"/>
      <c r="C29" s="112"/>
      <c r="D29" s="112"/>
      <c r="E29" s="117">
        <v>264.45999999999998</v>
      </c>
      <c r="F29" s="115">
        <v>278.11</v>
      </c>
      <c r="G29" s="115">
        <v>288.95</v>
      </c>
      <c r="H29" s="115">
        <v>297.83</v>
      </c>
      <c r="I29" s="115">
        <v>305.25</v>
      </c>
      <c r="J29" s="115">
        <v>311.58999999999997</v>
      </c>
      <c r="K29" s="115">
        <v>317.05</v>
      </c>
      <c r="L29" s="115">
        <v>321.83</v>
      </c>
      <c r="M29" s="115">
        <v>326.05</v>
      </c>
      <c r="N29" s="115"/>
      <c r="O29" s="115"/>
      <c r="P29" s="115"/>
      <c r="Q29" s="115"/>
      <c r="R29" s="115"/>
      <c r="S29" s="115"/>
      <c r="T29" s="115"/>
      <c r="U29" s="115"/>
      <c r="V29" s="125"/>
      <c r="W29" s="112"/>
      <c r="X29" s="111"/>
      <c r="Y29" s="110">
        <f xml:space="preserve"> -0.00000000005*B2^6 - 0.00000002*B2^5 - 0.000003*B2^4 - 0.0003*B2^3 - 0.0202*B2^2 - 1.5435*B2 + 264.46</f>
        <v>257.9428113152</v>
      </c>
      <c r="Z29" s="109">
        <f>IF($B$2&gt;0,X29,Y29)</f>
        <v>0</v>
      </c>
    </row>
    <row r="30" spans="1:26" ht="20.100000000000001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</row>
    <row r="31" spans="1:26" ht="20.100000000000001" customHeight="1">
      <c r="A31" s="112"/>
      <c r="B31" s="112"/>
      <c r="C31" s="112"/>
      <c r="D31" s="112"/>
      <c r="E31" s="649" t="s">
        <v>232</v>
      </c>
      <c r="F31" s="650"/>
      <c r="G31" s="650"/>
      <c r="H31" s="650"/>
      <c r="I31" s="650"/>
      <c r="J31" s="650"/>
      <c r="K31" s="650"/>
      <c r="L31" s="650"/>
      <c r="M31" s="650"/>
      <c r="N31" s="650"/>
      <c r="O31" s="650"/>
      <c r="P31" s="650"/>
      <c r="Q31" s="650"/>
      <c r="R31" s="650"/>
      <c r="S31" s="650"/>
      <c r="T31" s="650"/>
      <c r="U31" s="650"/>
      <c r="V31" s="652"/>
      <c r="W31" s="112"/>
    </row>
    <row r="32" spans="1:26" ht="20.100000000000001" customHeight="1">
      <c r="A32" s="112"/>
      <c r="B32" s="112"/>
      <c r="C32" s="112"/>
      <c r="D32" s="112"/>
      <c r="E32" s="121">
        <v>0</v>
      </c>
      <c r="F32" s="121">
        <v>-10</v>
      </c>
      <c r="G32" s="121">
        <v>-20</v>
      </c>
      <c r="H32" s="121">
        <v>-30</v>
      </c>
      <c r="I32" s="121">
        <v>-40</v>
      </c>
      <c r="J32" s="122">
        <v>-50</v>
      </c>
      <c r="K32" s="285">
        <v>-60</v>
      </c>
      <c r="L32" s="122">
        <v>-70</v>
      </c>
      <c r="M32" s="122">
        <v>-80</v>
      </c>
      <c r="N32" s="121"/>
      <c r="O32" s="121"/>
      <c r="P32" s="121"/>
      <c r="Q32" s="121"/>
      <c r="R32" s="121"/>
      <c r="S32" s="121"/>
      <c r="T32" s="121"/>
      <c r="U32" s="121"/>
      <c r="V32" s="121"/>
      <c r="W32" s="112"/>
      <c r="X32" s="120" t="s">
        <v>14</v>
      </c>
      <c r="Y32" s="120" t="s">
        <v>231</v>
      </c>
      <c r="Z32" s="109" t="s">
        <v>230</v>
      </c>
    </row>
    <row r="33" spans="1:27" ht="20.100000000000001" customHeight="1">
      <c r="A33" s="112"/>
      <c r="B33" s="112"/>
      <c r="C33" s="112"/>
      <c r="D33" s="112"/>
      <c r="E33" s="119">
        <v>671</v>
      </c>
      <c r="F33" s="112">
        <v>663</v>
      </c>
      <c r="G33" s="112">
        <v>657</v>
      </c>
      <c r="H33" s="112">
        <v>652</v>
      </c>
      <c r="I33" s="112">
        <v>647</v>
      </c>
      <c r="J33" s="112">
        <v>643</v>
      </c>
      <c r="K33" s="112">
        <v>639</v>
      </c>
      <c r="L33" s="112">
        <v>635</v>
      </c>
      <c r="M33" s="112">
        <v>632</v>
      </c>
      <c r="N33" s="112"/>
      <c r="O33" s="112"/>
      <c r="P33" s="112"/>
      <c r="Q33" s="112"/>
      <c r="R33" s="112"/>
      <c r="S33" s="112"/>
      <c r="T33" s="112"/>
      <c r="U33" s="112"/>
      <c r="V33" s="118"/>
      <c r="W33" s="112"/>
      <c r="X33" s="111"/>
      <c r="Y33" s="110">
        <f xml:space="preserve"> 0.000000001*B2^6 + 0.0000003*B2^5 + 0.00003*B2^4 + 0.0013*B2^3 + 0.0342*B2^2 + 1.0425*B2 + 671.01</f>
        <v>675.81839129599996</v>
      </c>
      <c r="Z33" s="109">
        <f>ABS(((IF($B$2&gt;0,X33,Y33))-1600/2)/1.875/36)*4</f>
        <v>47.407407407407412</v>
      </c>
    </row>
    <row r="34" spans="1:27" ht="20.100000000000001" customHeight="1">
      <c r="E34" s="119">
        <v>678</v>
      </c>
      <c r="F34" s="112">
        <v>670</v>
      </c>
      <c r="G34" s="112">
        <v>663</v>
      </c>
      <c r="H34" s="112">
        <v>657</v>
      </c>
      <c r="I34" s="112">
        <v>652</v>
      </c>
      <c r="J34" s="112">
        <v>647</v>
      </c>
      <c r="K34" s="112">
        <v>643</v>
      </c>
      <c r="L34" s="112">
        <v>640</v>
      </c>
      <c r="M34" s="112">
        <v>636</v>
      </c>
      <c r="N34" s="112"/>
      <c r="O34" s="112"/>
      <c r="P34" s="112"/>
      <c r="Q34" s="112"/>
      <c r="R34" s="112"/>
      <c r="S34" s="112"/>
      <c r="T34" s="112"/>
      <c r="U34" s="112"/>
      <c r="V34" s="118"/>
      <c r="W34" s="112"/>
      <c r="X34" s="111"/>
      <c r="Y34" s="110">
        <f xml:space="preserve"> -0.000000002*B2^6 - 0.0000004*B2^5 - 0.00003*B2^4 - 0.0011*B2^3 - 0.0134*B2^2 + 0.7505*B2 + 678</f>
        <v>680.70910220799999</v>
      </c>
      <c r="Z34" s="109">
        <f>ABS(((IF($B$2&gt;0,X34,Y34))-1600/2)/1.875/36)*4</f>
        <v>47.407407407407412</v>
      </c>
    </row>
    <row r="35" spans="1:27" ht="20.100000000000001" customHeight="1">
      <c r="E35" s="117">
        <v>686</v>
      </c>
      <c r="F35" s="115">
        <v>677</v>
      </c>
      <c r="G35" s="115">
        <v>670</v>
      </c>
      <c r="H35" s="115">
        <v>663</v>
      </c>
      <c r="I35" s="115">
        <v>658</v>
      </c>
      <c r="J35" s="116">
        <v>653</v>
      </c>
      <c r="K35" s="116">
        <v>648</v>
      </c>
      <c r="L35" s="115">
        <v>644</v>
      </c>
      <c r="M35" s="115">
        <v>641</v>
      </c>
      <c r="N35" s="115"/>
      <c r="O35" s="115"/>
      <c r="P35" s="115"/>
      <c r="Q35" s="115"/>
      <c r="R35" s="115"/>
      <c r="S35" s="114"/>
      <c r="T35" s="114"/>
      <c r="U35" s="114"/>
      <c r="V35" s="113"/>
      <c r="W35" s="112"/>
      <c r="X35" s="111"/>
      <c r="Y35" s="110">
        <f xml:space="preserve"> 0.0000000003*B2^6 + 0.00000005*B2^5 + 0.000004*B2^4 + 0.0002*B2^3 + 0.0104*B2^2 + 0.9764*B2 + 685.98</f>
        <v>690.06587642880004</v>
      </c>
      <c r="Z35" s="109">
        <f>ABS(((IF($B$2&gt;0,X35,Y35))-1600/2)/1.875/36)*4</f>
        <v>47.407407407407412</v>
      </c>
    </row>
    <row r="36" spans="1:27" ht="20.100000000000001" customHeight="1">
      <c r="Q36" s="112"/>
    </row>
    <row r="37" spans="1:27" ht="20.100000000000001" customHeight="1">
      <c r="Q37" s="112"/>
    </row>
    <row r="38" spans="1:27" ht="20.100000000000001" customHeight="1">
      <c r="A38" s="163" t="s">
        <v>247</v>
      </c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</row>
    <row r="39" spans="1:27" ht="20.100000000000001" customHeight="1">
      <c r="A39" s="112"/>
      <c r="B39" s="112"/>
      <c r="C39" s="112"/>
      <c r="D39" s="112"/>
      <c r="E39" s="158" t="s">
        <v>246</v>
      </c>
      <c r="F39" s="158" t="s">
        <v>245</v>
      </c>
      <c r="G39" s="158" t="s">
        <v>8</v>
      </c>
      <c r="H39" s="158" t="s">
        <v>244</v>
      </c>
      <c r="I39" s="158" t="s">
        <v>243</v>
      </c>
      <c r="J39" s="158" t="s">
        <v>242</v>
      </c>
      <c r="K39" s="112"/>
      <c r="L39" s="112"/>
      <c r="M39" s="121" t="s">
        <v>39</v>
      </c>
      <c r="N39" s="121" t="s">
        <v>258</v>
      </c>
      <c r="O39" s="112"/>
      <c r="P39" s="121" t="s">
        <v>257</v>
      </c>
      <c r="Q39" s="112"/>
      <c r="R39" s="112"/>
      <c r="S39" s="121" t="s">
        <v>249</v>
      </c>
      <c r="V39" s="669">
        <v>80</v>
      </c>
      <c r="W39" s="669"/>
      <c r="X39" s="669"/>
      <c r="Y39" s="112"/>
    </row>
    <row r="40" spans="1:27" ht="20.100000000000001" customHeight="1">
      <c r="A40" s="109" t="s">
        <v>238</v>
      </c>
      <c r="B40" s="159" t="e">
        <f>((((G40*(J40-F41)*(J40-F42)/((F40-F41)*(F40-F42))+G41*(J40-F40)*(J40-F42)/((F41-F40)*(F41-F42))+G42*(J40-F40)*(J40-F41)/((F42-F40)*(F42-F41)))*(SIN(RADIANS($B$4)))*$B$3))*((100+((J40-J41)*2.75/-4))/100)+((G40*(J40-F41)*(J40-F42)/((F40-F41)*(F40-F42))+G41*(J40-F40)*(J40-F42)/((F41-F40)*(F41-F42))+G42*(J40-F40)*(J40-F41)/((F42-F40)*(F42-F41)))*$B$5*(B41/100)))*D40</f>
        <v>#DIV/0!</v>
      </c>
      <c r="C40" s="161" t="e">
        <f>((((G40*(J40-F41)*(J40-F42)/((F40-F41)*(F40-F42))+G41*(J40-F40)*(J40-F42)/((F41-F40)*(F41-F42))+G42*(J40-F40)*(J40-F41)/((F42-F40)*(F42-F41)))*(SIN(RADIANS($B$4)))*$B$3))/((100+((J42-J40)*4/-6.25))/100)+((G40*(J40-F41)*(J40-F42)/((F40-F41)*(F40-F42))+G41*(J40-F40)*(J40-F42)/((F41-F40)*(F41-F42))+G42*(J40-F40)*(J40-F41)/((F42-F40)*(F42-F41)))*$B$5*(C41/100)))*D40</f>
        <v>#DIV/0!</v>
      </c>
      <c r="D40" s="150">
        <f>Index!$C$13</f>
        <v>1</v>
      </c>
      <c r="E40" s="279">
        <v>1</v>
      </c>
      <c r="F40" s="278">
        <f>Z46</f>
        <v>0</v>
      </c>
      <c r="G40" s="277">
        <f>Z64</f>
        <v>11.851851851851853</v>
      </c>
      <c r="H40" s="277">
        <f>Z58</f>
        <v>0</v>
      </c>
      <c r="I40" s="277">
        <f>Z52</f>
        <v>0</v>
      </c>
      <c r="J40" s="284">
        <f>U41</f>
        <v>235.09625</v>
      </c>
      <c r="K40" s="112"/>
      <c r="L40" s="112"/>
      <c r="M40" s="275">
        <v>100</v>
      </c>
      <c r="N40" s="275">
        <v>330.31</v>
      </c>
      <c r="O40" s="273">
        <f>P40*((M40-(100/360))-M41)*((M40-(100/360))-M42)/((M40-M41)*(M40-M42))+P41*((M40-(100/360))-M40)*((M40-(100/360))-M42)/((M41-M40)*(M41-M42))+P42*((M40-(100/360))-M40)*((M40-(100/360))-M41)/((M42-M40)*(M42-M41))</f>
        <v>331.39502700617282</v>
      </c>
      <c r="P40" s="112">
        <v>331.59</v>
      </c>
      <c r="Q40" s="274" t="e">
        <f>O40*($J41-P41)*($J41-P42)/((P40-P41)*(P40-P42))+O41*($J41-P40)*($J41-P42)/((P41-P40)*(P41-P42))+O42*($J41-P40)*($J41-P41)/((P42-P40)*(P42-P41))</f>
        <v>#DIV/0!</v>
      </c>
      <c r="R40" s="273" t="e">
        <f>N40*($J41-P41)*($J41-P42)/((P40-P41)*(P40-P42))+N41*($J41-P40)*($J41-P42)/((P41-P40)*(P41-P42))+N42*($J41-P40)*($J41-P41)/((P42-P40)*(P42-P41))</f>
        <v>#DIV/0!</v>
      </c>
      <c r="S40" s="272" t="e">
        <f>MOD(($B41/100)*-360,1)*-(($J41-Q40)/($J41-R40))+30</f>
        <v>#DIV/0!</v>
      </c>
      <c r="V40" s="111">
        <f>V42-W42</f>
        <v>0.29999999999995453</v>
      </c>
      <c r="W40" s="111"/>
      <c r="X40" s="109">
        <f>V42-X42</f>
        <v>0.57999999999998408</v>
      </c>
      <c r="Y40" s="112"/>
    </row>
    <row r="41" spans="1:27" ht="20.100000000000001" customHeight="1">
      <c r="A41" s="109" t="s">
        <v>5</v>
      </c>
      <c r="B41" s="159" t="e">
        <f>100*(J41-F41)*(J41-F42)/((F40-F41)*(F40-F42))+90*(J41-F40)*(J41-F42)/((F41-F40)*(F41-F42))+80*(J41-F40)*(J41-F41)/((F42-F40)*(F42-F41))</f>
        <v>#DIV/0!</v>
      </c>
      <c r="C41" s="158" t="e">
        <f>100*(J42-F41)*(J42-F42)/((F40-F41)*(F40-F42))+90*(J42-F40)*(J42-F42)/((F41-F40)*(F41-F42))+80*(J42-F40)*(J42-F41)/((F42-F40)*(F42-F41))</f>
        <v>#DIV/0!</v>
      </c>
      <c r="D41" s="112"/>
      <c r="E41" s="266">
        <v>0.9</v>
      </c>
      <c r="F41" s="271">
        <f>Z47</f>
        <v>0</v>
      </c>
      <c r="G41" s="270">
        <f>Z65</f>
        <v>11.851851851851853</v>
      </c>
      <c r="H41" s="270">
        <f>Z59</f>
        <v>0</v>
      </c>
      <c r="I41" s="270">
        <f>Z53</f>
        <v>0</v>
      </c>
      <c r="J41" s="269" t="e">
        <f>J40-((COS(RADIANS($B$4)))*$B$3*(ABS((F40-H40)*(J40-H41)*(J40-H42)/((H40-H41)*(H40-H42))+(F41-H41)*(J40-H40)*(J40-H42)/((H41-H40)*(H41-H42))+(F42-H42)*(J40-H40)*(J40-H41)/((H42-H40)*(H42-H41)))/9))</f>
        <v>#DIV/0!</v>
      </c>
      <c r="K41" s="112"/>
      <c r="L41" s="112"/>
      <c r="M41" s="268">
        <v>90</v>
      </c>
      <c r="N41" s="268">
        <v>316.20999999999998</v>
      </c>
      <c r="O41" s="112">
        <f>P40*((M41-(100/360))-M41)*((M41-(100/360))-M42)/((M40-M41)*(M40-M42))+P41*((M41-(100/360))-M40)*((M41-(100/360))-M42)/((M41-M40)*(M41-M42))+P42*((M41-(100/360))-M40)*((M41-(100/360))-M41)/((M42-M40)*(M42-M41))</f>
        <v>316.82697145061735</v>
      </c>
      <c r="P41" s="112">
        <v>317.43</v>
      </c>
      <c r="Q41" s="117" t="e">
        <f>O40*($J42-P41)*($J42-P42)/((P40-P41)*(P40-P42))+O41*($J42-P40)*($J42-P42)/((P41-P40)*(P41-P42))+O42*($J42-P40)*($J42-P41)/((P42-P40)*(P42-P41))</f>
        <v>#DIV/0!</v>
      </c>
      <c r="R41" s="115" t="e">
        <f>N40*($J42-P41)*($J42-P42)/((P40-P41)*(P40-P42))+N41*($J42-P40)*($J42-P42)/((P41-P40)*(P41-P42))+N42*($J42-P40)*($J42-P41)/((P42-P40)*(P42-P41))</f>
        <v>#DIV/0!</v>
      </c>
      <c r="S41" s="267" t="e">
        <f>MOD((C41/100)*-360,1)*-(($J42-Q41)/($J42-R41))+30</f>
        <v>#DIV/0!</v>
      </c>
      <c r="U41" s="150">
        <f>0*($B$6-0.85)*($B$6-0.7)/((1-0.85)*(1-0.7))+V40*($B$6-1)*($B$6-0.7)/((0.85-1)*(0.85-0.7))+X40*($B$6-1)*($B$6-0.85)/((0.7-1)*(0.7-0.85))++$B$1-(ABS($B$5/0.2/20))</f>
        <v>235.09625</v>
      </c>
      <c r="V41" s="111" t="s">
        <v>256</v>
      </c>
      <c r="W41" s="109" t="s">
        <v>255</v>
      </c>
      <c r="X41" s="109" t="s">
        <v>254</v>
      </c>
      <c r="Y41" s="112"/>
    </row>
    <row r="42" spans="1:27" ht="20.100000000000001" customHeight="1">
      <c r="A42" s="109" t="s">
        <v>237</v>
      </c>
      <c r="B42" s="157" t="e">
        <f>(360-ROUNDDOWN((1-(B41/100))*360,0))*B46/360</f>
        <v>#DIV/0!</v>
      </c>
      <c r="C42" s="156" t="e">
        <f>(360-ROUNDDOWN((1-(C41/100))*360,0))*C47/360</f>
        <v>#DIV/0!</v>
      </c>
      <c r="D42" s="112"/>
      <c r="E42" s="266">
        <v>0.8</v>
      </c>
      <c r="F42" s="265">
        <f>Z48</f>
        <v>0</v>
      </c>
      <c r="G42" s="264">
        <f>Z66</f>
        <v>11.851851851851853</v>
      </c>
      <c r="H42" s="264">
        <f>Z60</f>
        <v>0</v>
      </c>
      <c r="I42" s="264">
        <f>Z54</f>
        <v>0</v>
      </c>
      <c r="J42" s="263" t="e">
        <f>J40+((COS(RADIANS($B$4)))*$B$3*(ABS((F40-I40)*(J40-I41)*(J40-I42)/((I40-I41)*(I40-I42))+(F41-I41)*(J40-I40)*(J40-I42)/((I41-I40)*(I41-I42))+(F42-I42)*(J40-I40)*(J40-I41)/((I42-I40)*(I42-I41)))/9))</f>
        <v>#DIV/0!</v>
      </c>
      <c r="K42" s="112"/>
      <c r="L42" s="112"/>
      <c r="M42" s="262">
        <v>80</v>
      </c>
      <c r="N42" s="261">
        <v>287.45</v>
      </c>
      <c r="O42" s="115">
        <f>P40*((M42-(100/360))-M41)*((M42-(100/360))-M42)/((M40-M41)*(M40-M42))+P41*((M42-(100/360))-M40)*((M42-(100/360))-M42)/((M41-M40)*(M41-M42))+P42*((M42-(100/360))-M40)*((M42-(100/360))-M41)/((M42-M40)*(M42-M41))</f>
        <v>287.56891589506176</v>
      </c>
      <c r="P42" s="260">
        <v>288.58</v>
      </c>
      <c r="Q42" s="112"/>
      <c r="R42" s="112"/>
      <c r="S42" s="121" t="s">
        <v>248</v>
      </c>
      <c r="V42" s="126">
        <f>E46</f>
        <v>331.59</v>
      </c>
      <c r="W42" s="109">
        <v>331.29</v>
      </c>
      <c r="X42" s="109">
        <v>331.01</v>
      </c>
      <c r="Y42" s="112"/>
    </row>
    <row r="43" spans="1:27" ht="20.100000000000001" customHeight="1">
      <c r="A43" s="109" t="s">
        <v>39</v>
      </c>
      <c r="B43" s="149" t="e">
        <f>S40</f>
        <v>#DIV/0!</v>
      </c>
      <c r="C43" s="148" t="e">
        <f>S41</f>
        <v>#DIV/0!</v>
      </c>
      <c r="D43" s="112"/>
      <c r="W43" s="112"/>
      <c r="X43" s="112"/>
      <c r="Y43" s="112"/>
      <c r="Z43" s="112"/>
    </row>
    <row r="44" spans="1:27" ht="20.100000000000001" customHeight="1">
      <c r="A44" s="109" t="s">
        <v>195</v>
      </c>
      <c r="B44" s="149" t="e">
        <f>B40/4</f>
        <v>#DIV/0!</v>
      </c>
      <c r="C44" s="148" t="e">
        <f>C40/4</f>
        <v>#DIV/0!</v>
      </c>
      <c r="D44" s="112"/>
      <c r="E44" s="649" t="s">
        <v>236</v>
      </c>
      <c r="F44" s="650"/>
      <c r="G44" s="650"/>
      <c r="H44" s="650"/>
      <c r="I44" s="650"/>
      <c r="J44" s="650"/>
      <c r="K44" s="651"/>
      <c r="L44" s="650"/>
      <c r="M44" s="650"/>
      <c r="N44" s="650"/>
      <c r="O44" s="650"/>
      <c r="P44" s="650"/>
      <c r="Q44" s="650"/>
      <c r="R44" s="650"/>
      <c r="S44" s="650"/>
      <c r="T44" s="650"/>
      <c r="U44" s="650"/>
      <c r="V44" s="652"/>
      <c r="W44" s="112"/>
    </row>
    <row r="45" spans="1:27" ht="20.100000000000001" customHeight="1">
      <c r="A45" s="112"/>
      <c r="B45" s="112"/>
      <c r="C45" s="112"/>
      <c r="D45" s="112"/>
      <c r="E45" s="145">
        <v>0</v>
      </c>
      <c r="F45" s="145">
        <v>-10</v>
      </c>
      <c r="G45" s="145">
        <v>-20</v>
      </c>
      <c r="H45" s="145">
        <v>-30</v>
      </c>
      <c r="I45" s="145">
        <v>-40</v>
      </c>
      <c r="J45" s="283">
        <v>-50</v>
      </c>
      <c r="K45" s="146">
        <v>-60</v>
      </c>
      <c r="L45" s="282">
        <v>-70</v>
      </c>
      <c r="M45" s="146">
        <v>-80</v>
      </c>
      <c r="N45" s="146"/>
      <c r="O45" s="146"/>
      <c r="P45" s="146"/>
      <c r="Q45" s="146"/>
      <c r="R45" s="145"/>
      <c r="S45" s="145"/>
      <c r="T45" s="145"/>
      <c r="U45" s="145"/>
      <c r="V45" s="145"/>
      <c r="W45" s="112"/>
      <c r="X45" s="120" t="s">
        <v>14</v>
      </c>
      <c r="Y45" s="120" t="s">
        <v>231</v>
      </c>
      <c r="Z45" s="109"/>
    </row>
    <row r="46" spans="1:27" ht="20.100000000000001" customHeight="1">
      <c r="A46" s="112"/>
      <c r="B46" s="644">
        <v>312</v>
      </c>
      <c r="C46" s="644"/>
      <c r="D46" s="112"/>
      <c r="E46" s="144">
        <v>331.59</v>
      </c>
      <c r="F46" s="143">
        <v>343.68</v>
      </c>
      <c r="G46" s="143">
        <v>353.36</v>
      </c>
      <c r="H46" s="143">
        <v>361.4</v>
      </c>
      <c r="I46" s="143">
        <v>368.22</v>
      </c>
      <c r="J46" s="142">
        <v>374.11</v>
      </c>
      <c r="K46" s="142">
        <v>379.29</v>
      </c>
      <c r="L46" s="142">
        <v>383.79</v>
      </c>
      <c r="M46" s="141">
        <v>387.87</v>
      </c>
      <c r="N46" s="141"/>
      <c r="O46" s="141"/>
      <c r="P46" s="141"/>
      <c r="Q46" s="141"/>
      <c r="R46" s="140"/>
      <c r="S46" s="140"/>
      <c r="T46" s="140"/>
      <c r="U46" s="140"/>
      <c r="V46" s="139"/>
      <c r="W46" s="112"/>
      <c r="X46" s="111"/>
      <c r="Y46" s="110">
        <f xml:space="preserve"> 0.00000000002*B2^6 - 0.0000000007*B2^5 - 0.000001*B2^4 - 0.0002*B2^3 - 0.0168*B2^2 - 1.3588*B2 + 331.59</f>
        <v>325.87294336511997</v>
      </c>
      <c r="Z46" s="109">
        <f>IF($B$2&gt;0,X46,Y46)</f>
        <v>0</v>
      </c>
    </row>
    <row r="47" spans="1:27" ht="20.100000000000001" customHeight="1">
      <c r="A47" s="112"/>
      <c r="B47" s="109">
        <v>100</v>
      </c>
      <c r="C47" s="109">
        <f>$B$46*B47/100</f>
        <v>312</v>
      </c>
      <c r="D47" s="112"/>
      <c r="E47" s="138">
        <v>317.43</v>
      </c>
      <c r="F47" s="112">
        <v>329</v>
      </c>
      <c r="G47" s="112">
        <v>338.33</v>
      </c>
      <c r="H47" s="112">
        <v>346.08</v>
      </c>
      <c r="I47" s="112">
        <v>352.68</v>
      </c>
      <c r="J47" s="30">
        <v>358.37</v>
      </c>
      <c r="K47" s="30">
        <v>363.36</v>
      </c>
      <c r="L47" s="30">
        <v>367.76</v>
      </c>
      <c r="M47" s="137">
        <v>371.69</v>
      </c>
      <c r="N47" s="137"/>
      <c r="O47" s="137"/>
      <c r="P47" s="137"/>
      <c r="Q47" s="137"/>
      <c r="R47" s="130"/>
      <c r="S47" s="130"/>
      <c r="T47" s="130"/>
      <c r="U47" s="130"/>
      <c r="V47" s="136"/>
      <c r="W47" s="112"/>
      <c r="X47" s="111"/>
      <c r="Y47" s="110">
        <f xml:space="preserve"> -0.00000000004*B2^6 - 0.00000001*B2^5 - 0.000002*B2^4 - 0.0002*B2^3 - 0.0162*B2^2 - 1.2997*B2 + 317.43</f>
        <v>311.95867759615999</v>
      </c>
      <c r="Z47" s="109">
        <f>IF($B$2&gt;0,X47,Y47)</f>
        <v>0</v>
      </c>
    </row>
    <row r="48" spans="1:27" ht="20.100000000000001" customHeight="1">
      <c r="A48" s="112"/>
      <c r="B48" s="109">
        <v>90</v>
      </c>
      <c r="C48" s="109">
        <f>$B$46*B48/100</f>
        <v>280.8</v>
      </c>
      <c r="D48" s="112"/>
      <c r="E48" s="135">
        <v>288.58</v>
      </c>
      <c r="F48" s="116">
        <v>301.49</v>
      </c>
      <c r="G48" s="116">
        <v>311.79000000000002</v>
      </c>
      <c r="H48" s="116">
        <v>320.29000000000002</v>
      </c>
      <c r="I48" s="116">
        <v>327.45</v>
      </c>
      <c r="J48" s="134">
        <v>333.61</v>
      </c>
      <c r="K48" s="134">
        <v>338.96</v>
      </c>
      <c r="L48" s="134">
        <v>343.67</v>
      </c>
      <c r="M48" s="133">
        <v>347.86</v>
      </c>
      <c r="N48" s="133"/>
      <c r="O48" s="133"/>
      <c r="P48" s="133"/>
      <c r="Q48" s="133"/>
      <c r="R48" s="132"/>
      <c r="S48" s="132"/>
      <c r="T48" s="132"/>
      <c r="U48" s="132"/>
      <c r="V48" s="131"/>
      <c r="W48" s="112"/>
      <c r="X48" s="111"/>
      <c r="Y48" s="110">
        <f xml:space="preserve"> -0.00000000005*B2^6 - 0.00000002*B2^5 - 0.000003*B2^4 - 0.0003*B2^3 - 0.019*B2^2 - 1.4581*B2 + 288.58</f>
        <v>282.42361131519999</v>
      </c>
      <c r="Z48" s="109">
        <f>IF($B$2&gt;0,X48,Y48)</f>
        <v>0</v>
      </c>
    </row>
    <row r="49" spans="1:26" ht="20.100000000000001" customHeight="1">
      <c r="A49" s="112"/>
      <c r="B49" s="109">
        <v>80</v>
      </c>
      <c r="C49" s="109">
        <f>$B$46*B49/100</f>
        <v>249.6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</row>
    <row r="50" spans="1:26" ht="20.100000000000001" customHeight="1">
      <c r="A50" s="112"/>
      <c r="D50" s="112"/>
      <c r="E50" s="649" t="s">
        <v>235</v>
      </c>
      <c r="F50" s="650"/>
      <c r="G50" s="650"/>
      <c r="H50" s="650"/>
      <c r="I50" s="650"/>
      <c r="J50" s="650"/>
      <c r="K50" s="651"/>
      <c r="L50" s="650"/>
      <c r="M50" s="650"/>
      <c r="N50" s="650"/>
      <c r="O50" s="650"/>
      <c r="P50" s="650"/>
      <c r="Q50" s="650"/>
      <c r="R50" s="650"/>
      <c r="S50" s="650"/>
      <c r="T50" s="650"/>
      <c r="U50" s="650"/>
      <c r="V50" s="652"/>
      <c r="W50" s="112"/>
    </row>
    <row r="51" spans="1:26" ht="20.100000000000001" customHeight="1">
      <c r="A51" s="112"/>
      <c r="D51" s="112"/>
      <c r="E51" s="121">
        <v>0</v>
      </c>
      <c r="F51" s="121">
        <v>-10</v>
      </c>
      <c r="G51" s="121">
        <v>-20</v>
      </c>
      <c r="H51" s="121">
        <v>-30</v>
      </c>
      <c r="I51" s="121">
        <v>-40</v>
      </c>
      <c r="J51" s="281">
        <v>-50</v>
      </c>
      <c r="K51" s="122">
        <v>-60</v>
      </c>
      <c r="L51" s="280">
        <v>-70</v>
      </c>
      <c r="M51" s="122">
        <v>-80</v>
      </c>
      <c r="N51" s="121"/>
      <c r="O51" s="121"/>
      <c r="P51" s="121"/>
      <c r="Q51" s="121"/>
      <c r="R51" s="121"/>
      <c r="S51" s="121"/>
      <c r="T51" s="121"/>
      <c r="U51" s="121"/>
      <c r="V51" s="121"/>
      <c r="W51" s="112"/>
      <c r="X51" s="120" t="s">
        <v>14</v>
      </c>
      <c r="Y51" s="120" t="s">
        <v>231</v>
      </c>
      <c r="Z51" s="109"/>
    </row>
    <row r="52" spans="1:26" ht="20.100000000000001" customHeight="1">
      <c r="A52" s="112"/>
      <c r="D52" s="112"/>
      <c r="E52" s="119">
        <v>344.45</v>
      </c>
      <c r="F52" s="112">
        <v>356.99</v>
      </c>
      <c r="G52" s="112">
        <v>367.07</v>
      </c>
      <c r="H52" s="112">
        <v>375.45</v>
      </c>
      <c r="I52" s="112">
        <v>382.57</v>
      </c>
      <c r="J52" s="112">
        <v>388.72</v>
      </c>
      <c r="K52" s="112">
        <v>394.12</v>
      </c>
      <c r="L52" s="112">
        <v>398.89</v>
      </c>
      <c r="M52" s="130">
        <v>403.16</v>
      </c>
      <c r="N52" s="130"/>
      <c r="O52" s="130"/>
      <c r="P52" s="130"/>
      <c r="Q52" s="130"/>
      <c r="R52" s="130"/>
      <c r="S52" s="130"/>
      <c r="T52" s="130"/>
      <c r="U52" s="130"/>
      <c r="V52" s="129"/>
      <c r="W52" s="112"/>
      <c r="X52" s="111"/>
      <c r="Y52" s="110">
        <f xml:space="preserve"> -0.00000000005*B2^6 - 0.00000002*B2^5 - 0.000003*B2^4 - 0.0002*B2^3 - 0.0179*B2^2 - 1.4114*B2 + 344.45</f>
        <v>338.5044113152</v>
      </c>
      <c r="Z52" s="109">
        <f>IF($B$2&gt;0,X52,Y52)</f>
        <v>0</v>
      </c>
    </row>
    <row r="53" spans="1:26" ht="20.100000000000001" customHeight="1">
      <c r="A53" s="112"/>
      <c r="D53" s="112"/>
      <c r="E53" s="119">
        <v>330.71</v>
      </c>
      <c r="F53" s="112">
        <v>342.75</v>
      </c>
      <c r="G53" s="112">
        <v>352.47</v>
      </c>
      <c r="H53" s="112">
        <v>360.57</v>
      </c>
      <c r="I53" s="112">
        <v>367.48</v>
      </c>
      <c r="J53" s="112">
        <v>373.46</v>
      </c>
      <c r="K53" s="112">
        <v>378.7</v>
      </c>
      <c r="L53" s="112">
        <v>383.36</v>
      </c>
      <c r="M53" s="130">
        <v>387.51</v>
      </c>
      <c r="N53" s="130"/>
      <c r="O53" s="130"/>
      <c r="P53" s="130"/>
      <c r="Q53" s="130"/>
      <c r="R53" s="130"/>
      <c r="S53" s="130"/>
      <c r="T53" s="130"/>
      <c r="U53" s="130"/>
      <c r="V53" s="129"/>
      <c r="W53" s="112"/>
      <c r="X53" s="111"/>
      <c r="Y53" s="110">
        <f xml:space="preserve"> -0.00000000008*B2^6 - 0.00000002*B2^5 - 0.000003*B2^4 - 0.0002*B2^3 - 0.0173*B2^2 - 1.3548*B2 + 330.71</f>
        <v>325.00041119231997</v>
      </c>
      <c r="Z53" s="109">
        <f>IF($B$2&gt;0,X53,Y53)</f>
        <v>0</v>
      </c>
    </row>
    <row r="54" spans="1:26" ht="20.100000000000001" customHeight="1">
      <c r="A54" s="112"/>
      <c r="B54" s="112"/>
      <c r="C54" s="112"/>
      <c r="D54" s="112"/>
      <c r="E54" s="117">
        <v>301.82</v>
      </c>
      <c r="F54" s="115">
        <v>315.27999999999997</v>
      </c>
      <c r="G54" s="115">
        <v>326.04000000000002</v>
      </c>
      <c r="H54" s="115">
        <v>334.92</v>
      </c>
      <c r="I54" s="115">
        <v>342.43</v>
      </c>
      <c r="J54" s="115">
        <v>348.89</v>
      </c>
      <c r="K54" s="115">
        <v>354.53</v>
      </c>
      <c r="L54" s="115">
        <v>359.51</v>
      </c>
      <c r="M54" s="128">
        <v>363.94</v>
      </c>
      <c r="N54" s="128"/>
      <c r="O54" s="128"/>
      <c r="P54" s="128"/>
      <c r="Q54" s="128"/>
      <c r="R54" s="128"/>
      <c r="S54" s="128"/>
      <c r="T54" s="128"/>
      <c r="U54" s="128"/>
      <c r="V54" s="127"/>
      <c r="W54" s="112"/>
      <c r="X54" s="111"/>
      <c r="Y54" s="110">
        <f xml:space="preserve"> -0.00000000006*B2^6 - 0.00000002*B2^5 - 0.000003*B2^4 - 0.0003*B2^3 - 0.0197*B2^2 - 1.5194*B2 + 301.82</f>
        <v>295.40721127424001</v>
      </c>
      <c r="Z54" s="109">
        <f>IF($B$2&gt;0,X54,Y54)</f>
        <v>0</v>
      </c>
    </row>
    <row r="55" spans="1:26" ht="20.100000000000001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</row>
    <row r="56" spans="1:26" ht="20.100000000000001" customHeight="1">
      <c r="A56" s="112"/>
      <c r="B56" s="112"/>
      <c r="C56" s="112"/>
      <c r="D56" s="112"/>
      <c r="E56" s="649" t="s">
        <v>233</v>
      </c>
      <c r="F56" s="650"/>
      <c r="G56" s="650"/>
      <c r="H56" s="650"/>
      <c r="I56" s="650"/>
      <c r="J56" s="650"/>
      <c r="K56" s="651"/>
      <c r="L56" s="650"/>
      <c r="M56" s="650"/>
      <c r="N56" s="650"/>
      <c r="O56" s="650"/>
      <c r="P56" s="650"/>
      <c r="Q56" s="650"/>
      <c r="R56" s="650"/>
      <c r="S56" s="650"/>
      <c r="T56" s="650"/>
      <c r="U56" s="650"/>
      <c r="V56" s="652"/>
      <c r="W56" s="112"/>
    </row>
    <row r="57" spans="1:26" ht="20.100000000000001" customHeight="1">
      <c r="A57" s="112"/>
      <c r="B57" s="112"/>
      <c r="C57" s="112"/>
      <c r="D57" s="112"/>
      <c r="E57" s="121">
        <v>0</v>
      </c>
      <c r="F57" s="121">
        <v>-10</v>
      </c>
      <c r="G57" s="121">
        <v>-20</v>
      </c>
      <c r="H57" s="121">
        <v>-30</v>
      </c>
      <c r="I57" s="121">
        <v>-40</v>
      </c>
      <c r="J57" s="281">
        <v>-50</v>
      </c>
      <c r="K57" s="122">
        <v>-60</v>
      </c>
      <c r="L57" s="280">
        <v>-70</v>
      </c>
      <c r="M57" s="122">
        <v>-80</v>
      </c>
      <c r="N57" s="121"/>
      <c r="O57" s="121"/>
      <c r="P57" s="121"/>
      <c r="Q57" s="121"/>
      <c r="R57" s="121"/>
      <c r="S57" s="121"/>
      <c r="T57" s="121"/>
      <c r="U57" s="121"/>
      <c r="V57" s="121"/>
      <c r="W57" s="112"/>
      <c r="X57" s="120" t="s">
        <v>14</v>
      </c>
      <c r="Y57" s="120" t="s">
        <v>231</v>
      </c>
      <c r="Z57" s="109"/>
    </row>
    <row r="58" spans="1:26" ht="20.100000000000001" customHeight="1">
      <c r="A58" s="112"/>
      <c r="B58" s="112"/>
      <c r="C58" s="112"/>
      <c r="D58" s="112"/>
      <c r="E58" s="119">
        <v>317.89</v>
      </c>
      <c r="F58" s="112">
        <v>329.51</v>
      </c>
      <c r="G58" s="112">
        <v>338.81</v>
      </c>
      <c r="H58" s="112">
        <v>346.5</v>
      </c>
      <c r="I58" s="112">
        <v>353.01</v>
      </c>
      <c r="J58" s="112">
        <v>358.61</v>
      </c>
      <c r="K58" s="112">
        <v>363.49</v>
      </c>
      <c r="L58" s="112">
        <v>367.78</v>
      </c>
      <c r="M58" s="112">
        <v>371.58</v>
      </c>
      <c r="N58" s="112"/>
      <c r="O58" s="112"/>
      <c r="P58" s="112"/>
      <c r="Q58" s="112"/>
      <c r="R58" s="112"/>
      <c r="S58" s="112"/>
      <c r="T58" s="112"/>
      <c r="U58" s="112"/>
      <c r="V58" s="118"/>
      <c r="W58" s="112"/>
      <c r="X58" s="111"/>
      <c r="Y58" s="110">
        <f xml:space="preserve"> -0.00000000005*B2^6 - 0.00000002*B2^5 - 0.000002*B2^4 - 0.0002*B2^3 - 0.017*B2^2 - 1.3111*B2 + 317.89</f>
        <v>312.36026731519996</v>
      </c>
      <c r="Z58" s="109">
        <f>IF($B$2&gt;0,X58,Y58)</f>
        <v>0</v>
      </c>
    </row>
    <row r="59" spans="1:26" ht="20.100000000000001" customHeight="1">
      <c r="A59" s="112"/>
      <c r="B59" s="112"/>
      <c r="C59" s="112"/>
      <c r="D59" s="112"/>
      <c r="E59" s="119">
        <v>303.5</v>
      </c>
      <c r="F59" s="112">
        <v>314.57</v>
      </c>
      <c r="G59" s="112">
        <v>323.47000000000003</v>
      </c>
      <c r="H59" s="112">
        <v>330.85</v>
      </c>
      <c r="I59" s="112">
        <v>337.11</v>
      </c>
      <c r="J59" s="112">
        <v>342.5</v>
      </c>
      <c r="K59" s="112">
        <v>347.21</v>
      </c>
      <c r="L59" s="112">
        <v>351.35</v>
      </c>
      <c r="M59" s="112">
        <v>355.03</v>
      </c>
      <c r="N59" s="112"/>
      <c r="O59" s="112"/>
      <c r="P59" s="112"/>
      <c r="Q59" s="112"/>
      <c r="R59" s="112"/>
      <c r="S59" s="112"/>
      <c r="T59" s="112"/>
      <c r="U59" s="112"/>
      <c r="V59" s="118"/>
      <c r="W59" s="112"/>
      <c r="X59" s="111"/>
      <c r="Y59" s="110">
        <f xml:space="preserve"> -0.00000000004*B2^6 - 0.00000001*B2^5 - 0.000002*B2^4 - 0.0002*B2^3 - 0.0157*B2^2 - 1.2451*B2 + 303.5</f>
        <v>298.25507759615999</v>
      </c>
      <c r="Z59" s="109">
        <f>IF($B$2&gt;0,X59,Y59)</f>
        <v>0</v>
      </c>
    </row>
    <row r="60" spans="1:26" ht="20.100000000000001" customHeight="1">
      <c r="A60" s="112"/>
      <c r="B60" s="112"/>
      <c r="C60" s="112"/>
      <c r="D60" s="112"/>
      <c r="E60" s="117">
        <v>274.57</v>
      </c>
      <c r="F60" s="115">
        <v>286.87</v>
      </c>
      <c r="G60" s="115">
        <v>296.68</v>
      </c>
      <c r="H60" s="115">
        <v>304.75</v>
      </c>
      <c r="I60" s="115">
        <v>311.55</v>
      </c>
      <c r="J60" s="115">
        <v>317.37</v>
      </c>
      <c r="K60" s="115">
        <v>322.42</v>
      </c>
      <c r="L60" s="115">
        <v>326.85000000000002</v>
      </c>
      <c r="M60" s="115">
        <v>330.77</v>
      </c>
      <c r="N60" s="115"/>
      <c r="O60" s="115"/>
      <c r="P60" s="115"/>
      <c r="Q60" s="115"/>
      <c r="R60" s="115"/>
      <c r="S60" s="115"/>
      <c r="T60" s="115"/>
      <c r="U60" s="115"/>
      <c r="V60" s="125"/>
      <c r="W60" s="112"/>
      <c r="X60" s="111"/>
      <c r="Y60" s="110">
        <f xml:space="preserve"> -0.00000000005*B2^6 - 0.00000002*B2^5 - 0.000003*B2^4 - 0.0002*B2^3 - 0.0181*B2^2 - 1.3897*B2 + 274.57</f>
        <v>268.7080113152</v>
      </c>
      <c r="Z60" s="109">
        <f>IF($B$2&gt;0,X60,Y60)</f>
        <v>0</v>
      </c>
    </row>
    <row r="61" spans="1:26" ht="20.100000000000001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</row>
    <row r="62" spans="1:26" ht="20.100000000000001" customHeight="1">
      <c r="A62" s="112"/>
      <c r="B62" s="112"/>
      <c r="C62" s="112"/>
      <c r="D62" s="112"/>
      <c r="E62" s="649" t="s">
        <v>259</v>
      </c>
      <c r="F62" s="650"/>
      <c r="G62" s="650"/>
      <c r="H62" s="650"/>
      <c r="I62" s="650"/>
      <c r="J62" s="650"/>
      <c r="K62" s="651"/>
      <c r="L62" s="650"/>
      <c r="M62" s="650"/>
      <c r="N62" s="650"/>
      <c r="O62" s="650"/>
      <c r="P62" s="650"/>
      <c r="Q62" s="650"/>
      <c r="R62" s="650"/>
      <c r="S62" s="650"/>
      <c r="T62" s="650"/>
      <c r="U62" s="650"/>
      <c r="V62" s="652"/>
      <c r="W62" s="112"/>
    </row>
    <row r="63" spans="1:26" ht="20.100000000000001" customHeight="1">
      <c r="A63" s="112"/>
      <c r="B63" s="112"/>
      <c r="C63" s="112"/>
      <c r="D63" s="112"/>
      <c r="E63" s="121">
        <v>0</v>
      </c>
      <c r="F63" s="121">
        <v>-10</v>
      </c>
      <c r="G63" s="121">
        <v>-20</v>
      </c>
      <c r="H63" s="121">
        <v>-30</v>
      </c>
      <c r="I63" s="121">
        <v>-40</v>
      </c>
      <c r="J63" s="281">
        <v>-50</v>
      </c>
      <c r="K63" s="122">
        <v>-60</v>
      </c>
      <c r="L63" s="280">
        <v>-70</v>
      </c>
      <c r="M63" s="122">
        <v>-80</v>
      </c>
      <c r="N63" s="121"/>
      <c r="O63" s="121"/>
      <c r="P63" s="121"/>
      <c r="Q63" s="121"/>
      <c r="R63" s="121"/>
      <c r="S63" s="121"/>
      <c r="T63" s="121"/>
      <c r="U63" s="121"/>
      <c r="V63" s="121"/>
      <c r="W63" s="112"/>
      <c r="X63" s="120" t="s">
        <v>14</v>
      </c>
      <c r="Y63" s="120" t="s">
        <v>231</v>
      </c>
      <c r="Z63" s="109" t="s">
        <v>230</v>
      </c>
    </row>
    <row r="64" spans="1:26" ht="20.100000000000001" customHeight="1">
      <c r="A64" s="112"/>
      <c r="B64" s="112"/>
      <c r="C64" s="112"/>
      <c r="D64" s="112"/>
      <c r="E64" s="119">
        <v>245</v>
      </c>
      <c r="F64" s="112">
        <v>222</v>
      </c>
      <c r="G64" s="112">
        <v>202</v>
      </c>
      <c r="H64" s="112">
        <v>186</v>
      </c>
      <c r="I64" s="112">
        <v>171</v>
      </c>
      <c r="J64" s="112">
        <v>158</v>
      </c>
      <c r="K64" s="112">
        <v>146</v>
      </c>
      <c r="L64" s="112">
        <v>135</v>
      </c>
      <c r="M64" s="112">
        <v>125</v>
      </c>
      <c r="N64" s="112"/>
      <c r="O64" s="112"/>
      <c r="P64" s="112"/>
      <c r="Q64" s="112"/>
      <c r="R64" s="112"/>
      <c r="S64" s="112"/>
      <c r="T64" s="112"/>
      <c r="U64" s="112"/>
      <c r="V64" s="118"/>
      <c r="W64" s="112"/>
      <c r="X64" s="111"/>
      <c r="Y64" s="110">
        <f xml:space="preserve"> -0.0000000008*B2^6 - 0.0000002*B2^5 - 0.00002*B2^4 - 0.0006*B2^3 + 0.0095*B2^2 + 2.4478*B2 + 245.01</f>
        <v>254.90947192319999</v>
      </c>
      <c r="Z64" s="109">
        <f>ABS(((IF($B$2&gt;0,X64,Y64))-1280/2)/1.5/36)</f>
        <v>11.851851851851853</v>
      </c>
    </row>
    <row r="65" spans="5:26" ht="20.100000000000001" customHeight="1">
      <c r="E65" s="119">
        <v>246</v>
      </c>
      <c r="F65" s="112">
        <v>223</v>
      </c>
      <c r="G65" s="112">
        <v>203</v>
      </c>
      <c r="H65" s="112">
        <v>186</v>
      </c>
      <c r="I65" s="112">
        <v>172</v>
      </c>
      <c r="J65" s="112">
        <v>159</v>
      </c>
      <c r="K65" s="112">
        <v>146</v>
      </c>
      <c r="L65" s="112">
        <v>136</v>
      </c>
      <c r="M65" s="112">
        <v>126</v>
      </c>
      <c r="N65" s="112"/>
      <c r="O65" s="112"/>
      <c r="P65" s="112"/>
      <c r="Q65" s="112"/>
      <c r="R65" s="112"/>
      <c r="S65" s="112"/>
      <c r="T65" s="112"/>
      <c r="U65" s="112"/>
      <c r="V65" s="118"/>
      <c r="W65" s="112"/>
      <c r="X65" s="111"/>
      <c r="Y65" s="110">
        <f xml:space="preserve"> -0.000000003*B2^6 - 0.0000007*B2^5 - 0.00007*B2^4 - 0.0027*B2^3 - 0.0319*B2^2 + 2.1769*B2 + 245.98</f>
        <v>253.98575091199999</v>
      </c>
      <c r="Z65" s="109">
        <f>ABS(((IF($B$2&gt;0,X65,Y65))-1280/2)/1.5/36)</f>
        <v>11.851851851851853</v>
      </c>
    </row>
    <row r="66" spans="5:26" ht="20.100000000000001" customHeight="1">
      <c r="E66" s="117">
        <v>272</v>
      </c>
      <c r="F66" s="115">
        <v>246</v>
      </c>
      <c r="G66" s="115">
        <v>224</v>
      </c>
      <c r="H66" s="115">
        <v>205</v>
      </c>
      <c r="I66" s="115">
        <v>189</v>
      </c>
      <c r="J66" s="116">
        <v>174</v>
      </c>
      <c r="K66" s="116">
        <v>161</v>
      </c>
      <c r="L66" s="115">
        <v>149</v>
      </c>
      <c r="M66" s="115">
        <v>139</v>
      </c>
      <c r="N66" s="115"/>
      <c r="O66" s="115"/>
      <c r="P66" s="115"/>
      <c r="Q66" s="115"/>
      <c r="R66" s="115"/>
      <c r="S66" s="114"/>
      <c r="T66" s="114"/>
      <c r="U66" s="114"/>
      <c r="V66" s="113"/>
      <c r="W66" s="112"/>
      <c r="X66" s="111"/>
      <c r="Y66" s="110">
        <f xml:space="preserve"> -0.0000000002*B2^6 - 0.00000006*B2^5 - 0.000005*B2^4 - 0.0001*B2^3 + 0.0195*B2^2 + 2.7987*B2 + 272</f>
        <v>283.49905774080003</v>
      </c>
      <c r="Z66" s="109">
        <f>ABS(((IF($B$2&gt;0,X66,Y66))-1280/2)/1.5/36)</f>
        <v>11.851851851851853</v>
      </c>
    </row>
  </sheetData>
  <sheetProtection sheet="1" objects="1" scenarios="1" selectLockedCells="1" selectUnlockedCells="1"/>
  <mergeCells count="12">
    <mergeCell ref="E31:V31"/>
    <mergeCell ref="J2:L2"/>
    <mergeCell ref="E13:V13"/>
    <mergeCell ref="B15:C15"/>
    <mergeCell ref="E19:V19"/>
    <mergeCell ref="E25:V25"/>
    <mergeCell ref="E62:V62"/>
    <mergeCell ref="E44:V44"/>
    <mergeCell ref="B46:C46"/>
    <mergeCell ref="V39:X39"/>
    <mergeCell ref="E50:V50"/>
    <mergeCell ref="E56:V5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5F5A-12C7-476B-A6F6-E79D1FECE80E}">
  <dimension ref="B2:AW223"/>
  <sheetViews>
    <sheetView showGridLines="0" showRowColHeaders="0" zoomScaleNormal="100" workbookViewId="0"/>
  </sheetViews>
  <sheetFormatPr defaultColWidth="10.5703125" defaultRowHeight="18.95" customHeight="1"/>
  <cols>
    <col min="1" max="16384" width="10.5703125" style="323"/>
  </cols>
  <sheetData>
    <row r="2" spans="2:49" ht="18.95" customHeight="1">
      <c r="B2" s="322" t="s">
        <v>201</v>
      </c>
      <c r="C2" s="322">
        <f>Index!H13</f>
        <v>144</v>
      </c>
      <c r="E2" s="670" t="s">
        <v>262</v>
      </c>
      <c r="F2" s="670"/>
      <c r="H2" s="670" t="s">
        <v>263</v>
      </c>
      <c r="I2" s="670"/>
      <c r="K2" s="322" t="s">
        <v>79</v>
      </c>
      <c r="L2" s="322" t="s">
        <v>196</v>
      </c>
      <c r="M2" s="322" t="s">
        <v>80</v>
      </c>
      <c r="N2" s="322" t="s">
        <v>197</v>
      </c>
      <c r="O2" s="322" t="s">
        <v>199</v>
      </c>
      <c r="P2" s="322" t="s">
        <v>5</v>
      </c>
      <c r="T2" s="671" t="s">
        <v>264</v>
      </c>
      <c r="U2" s="672"/>
      <c r="V2" s="672"/>
      <c r="W2" s="672"/>
      <c r="X2" s="672"/>
      <c r="Y2" s="673"/>
    </row>
    <row r="3" spans="2:49" ht="18.95" customHeight="1">
      <c r="B3" s="324">
        <v>2.5000000000000001E-2</v>
      </c>
      <c r="C3" s="324">
        <f t="shared" ref="C3:C66" si="0">C$2*B3</f>
        <v>3.6</v>
      </c>
      <c r="E3" s="325" t="s">
        <v>79</v>
      </c>
      <c r="F3" s="325">
        <f>K3</f>
        <v>236</v>
      </c>
      <c r="H3" s="325" t="s">
        <v>79</v>
      </c>
      <c r="I3" s="325">
        <f>F3</f>
        <v>236</v>
      </c>
      <c r="K3" s="322">
        <f>Index!B4</f>
        <v>236</v>
      </c>
      <c r="L3" s="322">
        <f>Index!C4</f>
        <v>4</v>
      </c>
      <c r="M3" s="322">
        <f>Index!D4</f>
        <v>5</v>
      </c>
      <c r="N3" s="322">
        <f>Index!E4</f>
        <v>50</v>
      </c>
      <c r="O3" s="322">
        <f>IF(Index!F3="Breaks",Index!F4/4,Index!F4)</f>
        <v>3.6149999999999998</v>
      </c>
      <c r="P3" s="322">
        <f>Index!$H$4</f>
        <v>1</v>
      </c>
      <c r="T3" s="674"/>
      <c r="U3" s="675"/>
      <c r="V3" s="675"/>
      <c r="W3" s="675"/>
      <c r="X3" s="675"/>
      <c r="Y3" s="676"/>
    </row>
    <row r="4" spans="2:49" ht="18.95" customHeight="1">
      <c r="B4" s="324">
        <f t="shared" ref="B4:B67" si="1">B3+(1/360)</f>
        <v>2.777777777777778E-2</v>
      </c>
      <c r="C4" s="324">
        <f t="shared" si="0"/>
        <v>4</v>
      </c>
      <c r="E4" s="325" t="s">
        <v>196</v>
      </c>
      <c r="F4" s="325">
        <f>L3</f>
        <v>4</v>
      </c>
      <c r="G4" s="326"/>
      <c r="H4" s="325" t="s">
        <v>196</v>
      </c>
      <c r="I4" s="325">
        <f>F4</f>
        <v>4</v>
      </c>
      <c r="L4" s="326"/>
      <c r="O4" s="326"/>
      <c r="P4" s="326"/>
      <c r="Q4" s="326"/>
      <c r="R4" s="326"/>
      <c r="T4" s="326"/>
      <c r="U4" s="326"/>
      <c r="V4" s="326"/>
      <c r="W4" s="326"/>
      <c r="X4" s="326"/>
      <c r="Y4" s="327"/>
      <c r="Z4" s="327"/>
      <c r="AA4" s="327"/>
      <c r="AB4" s="327"/>
      <c r="AC4" s="327"/>
      <c r="AE4" s="327"/>
      <c r="AF4" s="327"/>
    </row>
    <row r="5" spans="2:49" ht="18.95" customHeight="1">
      <c r="B5" s="324">
        <f t="shared" si="1"/>
        <v>3.0555555555555558E-2</v>
      </c>
      <c r="C5" s="324">
        <f t="shared" si="0"/>
        <v>4.4000000000000004</v>
      </c>
      <c r="E5" s="325" t="s">
        <v>80</v>
      </c>
      <c r="F5" s="325">
        <f>M3</f>
        <v>5</v>
      </c>
      <c r="G5" s="326"/>
      <c r="H5" s="325" t="s">
        <v>80</v>
      </c>
      <c r="I5" s="325">
        <f>(-1)*F5</f>
        <v>-5</v>
      </c>
      <c r="K5" s="322" t="s">
        <v>230</v>
      </c>
      <c r="L5" s="322">
        <f>J11/(1/4.62)</f>
        <v>27.123519353292007</v>
      </c>
      <c r="M5" s="322">
        <f>Y11/(1/4.62)</f>
        <v>27.123519353292007</v>
      </c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7"/>
      <c r="Z5" s="327"/>
      <c r="AA5" s="327"/>
      <c r="AB5" s="327"/>
      <c r="AC5" s="327"/>
      <c r="AE5" s="327"/>
      <c r="AF5" s="327"/>
    </row>
    <row r="6" spans="2:49" ht="18.95" customHeight="1">
      <c r="B6" s="324">
        <f t="shared" si="1"/>
        <v>3.3333333333333333E-2</v>
      </c>
      <c r="C6" s="324">
        <f t="shared" si="0"/>
        <v>4.8</v>
      </c>
      <c r="E6" s="325" t="s">
        <v>197</v>
      </c>
      <c r="F6" s="325">
        <f>N3</f>
        <v>50</v>
      </c>
      <c r="G6" s="326"/>
      <c r="H6" s="325" t="s">
        <v>197</v>
      </c>
      <c r="I6" s="325">
        <f>F6</f>
        <v>50</v>
      </c>
      <c r="K6" s="325" t="s">
        <v>84</v>
      </c>
      <c r="L6" s="322" t="e">
        <f>INDEX($C$3:$C$223,(ROUND(((J12-2.5)/(100/360)+1),0)),1)</f>
        <v>#REF!</v>
      </c>
      <c r="M6" s="322" t="e">
        <f>INDEX(C3:$C$223,(ROUND(((Y12-2.5)/(100/360)+1),0)),1)</f>
        <v>#REF!</v>
      </c>
      <c r="N6" s="326"/>
      <c r="O6" s="326"/>
      <c r="P6" s="326"/>
      <c r="Q6" s="326"/>
      <c r="R6" s="326"/>
      <c r="S6" s="326"/>
      <c r="T6" s="326"/>
      <c r="U6" s="326"/>
      <c r="V6" s="326"/>
      <c r="W6" s="326"/>
      <c r="X6" s="326"/>
      <c r="Y6" s="327"/>
      <c r="Z6" s="327"/>
      <c r="AA6" s="327"/>
      <c r="AB6" s="327"/>
      <c r="AC6" s="327"/>
      <c r="AE6" s="327"/>
      <c r="AF6" s="327"/>
    </row>
    <row r="7" spans="2:49" ht="18.95" customHeight="1">
      <c r="B7" s="324">
        <f t="shared" si="1"/>
        <v>3.6111111111111108E-2</v>
      </c>
      <c r="C7" s="324">
        <f t="shared" si="0"/>
        <v>5.1999999999999993</v>
      </c>
      <c r="E7" s="325" t="s">
        <v>199</v>
      </c>
      <c r="F7" s="325">
        <f>O3</f>
        <v>3.6149999999999998</v>
      </c>
      <c r="G7" s="326"/>
      <c r="H7" s="325" t="s">
        <v>199</v>
      </c>
      <c r="I7" s="325">
        <f>F7</f>
        <v>3.6149999999999998</v>
      </c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7"/>
      <c r="Z7" s="327"/>
      <c r="AA7" s="327"/>
      <c r="AB7" s="327"/>
      <c r="AC7" s="327"/>
      <c r="AE7" s="327"/>
      <c r="AF7" s="327"/>
    </row>
    <row r="8" spans="2:49" ht="18.95" customHeight="1">
      <c r="B8" s="324">
        <f t="shared" si="1"/>
        <v>3.8888888888888883E-2</v>
      </c>
      <c r="C8" s="324">
        <f t="shared" si="0"/>
        <v>5.5999999999999988</v>
      </c>
      <c r="E8" s="325" t="s">
        <v>198</v>
      </c>
      <c r="F8" s="325">
        <f>P3*100</f>
        <v>100</v>
      </c>
      <c r="G8" s="326"/>
      <c r="H8" s="325" t="s">
        <v>198</v>
      </c>
      <c r="I8" s="325">
        <f>F8</f>
        <v>100</v>
      </c>
      <c r="U8" s="326"/>
      <c r="V8" s="326"/>
      <c r="W8" s="326"/>
      <c r="X8" s="326"/>
      <c r="Y8" s="327"/>
      <c r="Z8" s="327"/>
      <c r="AA8" s="327"/>
      <c r="AB8" s="327"/>
      <c r="AC8" s="327"/>
      <c r="AE8" s="327"/>
      <c r="AF8" s="327"/>
    </row>
    <row r="9" spans="2:49" ht="18.95" customHeight="1">
      <c r="B9" s="324">
        <f t="shared" si="1"/>
        <v>4.1666666666666657E-2</v>
      </c>
      <c r="C9" s="324">
        <f t="shared" si="0"/>
        <v>5.9999999999999982</v>
      </c>
      <c r="G9" s="326"/>
      <c r="U9" s="326"/>
      <c r="V9" s="326"/>
      <c r="W9" s="326"/>
      <c r="X9" s="326"/>
      <c r="Y9" s="327"/>
      <c r="Z9" s="327"/>
      <c r="AA9" s="327"/>
      <c r="AB9" s="327"/>
      <c r="AC9" s="327"/>
      <c r="AE9" s="327"/>
      <c r="AF9" s="327"/>
    </row>
    <row r="10" spans="2:49" ht="18.95" customHeight="1">
      <c r="B10" s="324">
        <f t="shared" si="1"/>
        <v>4.4444444444444432E-2</v>
      </c>
      <c r="C10" s="324">
        <f t="shared" si="0"/>
        <v>6.3999999999999986</v>
      </c>
      <c r="F10" s="325" t="s">
        <v>265</v>
      </c>
      <c r="G10" s="325" t="s">
        <v>266</v>
      </c>
      <c r="H10" s="325" t="s">
        <v>267</v>
      </c>
      <c r="I10" s="325" t="s">
        <v>268</v>
      </c>
      <c r="J10" s="325" t="s">
        <v>269</v>
      </c>
      <c r="M10" s="326"/>
      <c r="N10" s="326"/>
      <c r="U10" s="325" t="s">
        <v>265</v>
      </c>
      <c r="V10" s="325" t="s">
        <v>266</v>
      </c>
      <c r="W10" s="325" t="s">
        <v>267</v>
      </c>
      <c r="X10" s="325" t="s">
        <v>268</v>
      </c>
      <c r="Y10" s="325" t="s">
        <v>269</v>
      </c>
      <c r="Z10" s="327"/>
      <c r="AA10" s="327"/>
      <c r="AB10" s="327"/>
    </row>
    <row r="11" spans="2:49" ht="18.95" customHeight="1">
      <c r="B11" s="324">
        <f t="shared" si="1"/>
        <v>4.7222222222222207E-2</v>
      </c>
      <c r="C11" s="324">
        <f t="shared" si="0"/>
        <v>6.799999999999998</v>
      </c>
      <c r="E11" s="325" t="s">
        <v>230</v>
      </c>
      <c r="F11" s="325">
        <f>(ABS(F5*SIN(RADIANS(F6))))</f>
        <v>3.83022221559489</v>
      </c>
      <c r="G11" s="325">
        <f>F3-F4</f>
        <v>232</v>
      </c>
      <c r="H11" s="325">
        <v>6.1999999999999998E-3</v>
      </c>
      <c r="I11" s="325">
        <f>F11*G11*H11</f>
        <v>5.5093916349116894</v>
      </c>
      <c r="J11" s="325">
        <f>I11+(F7*J21)</f>
        <v>5.8708916349116897</v>
      </c>
      <c r="T11" s="325" t="s">
        <v>230</v>
      </c>
      <c r="U11" s="325">
        <f>(ABS(I5*SIN(RADIANS(I6))))</f>
        <v>3.83022221559489</v>
      </c>
      <c r="V11" s="325">
        <f>I3-I4</f>
        <v>232</v>
      </c>
      <c r="W11" s="325">
        <v>6.1999999999999998E-3</v>
      </c>
      <c r="X11" s="325">
        <f>U11*V11*W11</f>
        <v>5.5093916349116894</v>
      </c>
      <c r="Y11" s="325">
        <f>X11+(I7*Y21)</f>
        <v>5.8708916349116897</v>
      </c>
      <c r="Z11" s="327"/>
      <c r="AA11" s="327"/>
      <c r="AB11" s="327"/>
    </row>
    <row r="12" spans="2:49" ht="18.95" customHeight="1">
      <c r="B12" s="324">
        <f t="shared" si="1"/>
        <v>4.9999999999999982E-2</v>
      </c>
      <c r="C12" s="324">
        <f t="shared" si="0"/>
        <v>7.1999999999999975</v>
      </c>
      <c r="E12" s="325" t="s">
        <v>84</v>
      </c>
      <c r="F12" s="325">
        <f>F3</f>
        <v>236</v>
      </c>
      <c r="G12" s="325">
        <f>(F5*COS(RADIANS(F6)))*F3*0.0085</f>
        <v>6.4471597251559896</v>
      </c>
      <c r="H12" s="325">
        <f>IF(F4&gt;0,F4*F27,F4*G27)</f>
        <v>5.64</v>
      </c>
      <c r="I12" s="325">
        <f>((F12+H12)*N25)-G12</f>
        <v>235.192840274844</v>
      </c>
      <c r="J12" s="325">
        <f>Q12+R12</f>
        <v>230.29284027484405</v>
      </c>
      <c r="P12" s="325" t="s">
        <v>270</v>
      </c>
      <c r="Q12" s="325">
        <f>INDEX(P16:P82,MATCH(R15,R16:R82,0))</f>
        <v>60.000000000000064</v>
      </c>
      <c r="R12" s="325">
        <f>I12-(INDEX(Q16:Q82,MATCH(R15,R16:R82,0)))</f>
        <v>170.292840274844</v>
      </c>
      <c r="T12" s="325" t="s">
        <v>84</v>
      </c>
      <c r="U12" s="325">
        <f>I3</f>
        <v>236</v>
      </c>
      <c r="V12" s="325">
        <f>(I5*COS(RADIANS(I6)))*I3*0.0085</f>
        <v>-6.4471597251559896</v>
      </c>
      <c r="W12" s="325">
        <f>IF(I4&gt;0,I4*U27,I4*V27)</f>
        <v>5.64</v>
      </c>
      <c r="X12" s="325">
        <f>((U12+W12)*AC25)-V12</f>
        <v>248.08715972515597</v>
      </c>
      <c r="Y12" s="325">
        <f>AF12+AG12</f>
        <v>243.18715972515602</v>
      </c>
      <c r="AE12" s="325" t="s">
        <v>270</v>
      </c>
      <c r="AF12" s="325">
        <f>INDEX(AE16:AE82,MATCH(AG15,AG16:AG82,0))</f>
        <v>60.000000000000064</v>
      </c>
      <c r="AG12" s="325">
        <f>X12-(INDEX(AF16:AF82,MATCH(AG15,AG16:AG82,0)))</f>
        <v>183.18715972515596</v>
      </c>
      <c r="AI12" s="324" t="s">
        <v>246</v>
      </c>
      <c r="AJ12" s="677" t="s">
        <v>271</v>
      </c>
      <c r="AK12" s="678"/>
      <c r="AL12" s="678"/>
      <c r="AM12" s="678"/>
      <c r="AN12" s="678"/>
      <c r="AO12" s="678"/>
      <c r="AP12" s="678"/>
      <c r="AQ12" s="678"/>
      <c r="AR12" s="679"/>
    </row>
    <row r="13" spans="2:49" ht="18.95" customHeight="1">
      <c r="B13" s="324">
        <f t="shared" si="1"/>
        <v>5.2777777777777757E-2</v>
      </c>
      <c r="C13" s="324">
        <f t="shared" si="0"/>
        <v>7.599999999999997</v>
      </c>
      <c r="K13" s="326"/>
      <c r="R13" s="326"/>
      <c r="U13" s="326"/>
      <c r="V13" s="326"/>
      <c r="W13" s="326"/>
      <c r="X13" s="326"/>
      <c r="Y13" s="327"/>
      <c r="AI13" s="324">
        <f>C2</f>
        <v>144</v>
      </c>
      <c r="AJ13" s="324" t="s">
        <v>5</v>
      </c>
      <c r="AK13" s="324">
        <v>140</v>
      </c>
      <c r="AL13" s="324">
        <v>142</v>
      </c>
      <c r="AM13" s="324">
        <v>144</v>
      </c>
      <c r="AN13" s="324">
        <v>146</v>
      </c>
      <c r="AO13" s="324">
        <v>148</v>
      </c>
      <c r="AP13" s="324">
        <v>150</v>
      </c>
      <c r="AQ13" s="324">
        <v>152</v>
      </c>
      <c r="AR13" s="322">
        <v>154</v>
      </c>
      <c r="AT13" s="322" t="s">
        <v>272</v>
      </c>
      <c r="AU13" s="328" t="s">
        <v>273</v>
      </c>
      <c r="AV13" s="329" t="s">
        <v>274</v>
      </c>
      <c r="AW13" s="322" t="s">
        <v>260</v>
      </c>
    </row>
    <row r="14" spans="2:49" ht="18.95" customHeight="1">
      <c r="B14" s="324">
        <f t="shared" si="1"/>
        <v>5.5555555555555532E-2</v>
      </c>
      <c r="C14" s="324">
        <f t="shared" si="0"/>
        <v>7.9999999999999964</v>
      </c>
      <c r="E14" s="325" t="s">
        <v>79</v>
      </c>
      <c r="F14" s="325" t="s">
        <v>81</v>
      </c>
      <c r="G14" s="325" t="s">
        <v>82</v>
      </c>
      <c r="H14" s="326"/>
      <c r="I14" s="680" t="s">
        <v>275</v>
      </c>
      <c r="J14" s="680"/>
      <c r="K14" s="680"/>
      <c r="M14" s="325" t="s">
        <v>198</v>
      </c>
      <c r="N14" s="325" t="s">
        <v>276</v>
      </c>
      <c r="P14" s="670" t="s">
        <v>277</v>
      </c>
      <c r="Q14" s="670"/>
      <c r="R14" s="670"/>
      <c r="T14" s="325" t="s">
        <v>79</v>
      </c>
      <c r="U14" s="325" t="s">
        <v>81</v>
      </c>
      <c r="V14" s="325" t="s">
        <v>82</v>
      </c>
      <c r="W14" s="326"/>
      <c r="X14" s="680" t="s">
        <v>275</v>
      </c>
      <c r="Y14" s="680"/>
      <c r="Z14" s="680"/>
      <c r="AB14" s="325" t="s">
        <v>198</v>
      </c>
      <c r="AC14" s="325" t="s">
        <v>276</v>
      </c>
      <c r="AE14" s="681" t="s">
        <v>277</v>
      </c>
      <c r="AF14" s="682"/>
      <c r="AG14" s="683"/>
      <c r="AI14" s="324">
        <f t="shared" ref="AI14:AI77" si="2">AI$13*AJ14/100</f>
        <v>7.2</v>
      </c>
      <c r="AJ14" s="324">
        <v>5</v>
      </c>
      <c r="AK14" s="324">
        <v>6.4</v>
      </c>
      <c r="AL14" s="324">
        <f t="shared" ref="AL14:AL77" si="3">MEDIAN(AK14,AM14)</f>
        <v>6.6</v>
      </c>
      <c r="AM14" s="324">
        <v>6.8</v>
      </c>
      <c r="AN14" s="324">
        <f t="shared" ref="AN14:AN77" si="4">MEDIAN(AM14,AO14)</f>
        <v>7</v>
      </c>
      <c r="AO14" s="324">
        <f t="shared" ref="AO14:AO77" si="5">AM14+AT14</f>
        <v>7.1999999999999993</v>
      </c>
      <c r="AP14" s="324">
        <f t="shared" ref="AP14:AP77" si="6">MEDIAN(AO14,AQ14)</f>
        <v>7.3999999999999986</v>
      </c>
      <c r="AQ14" s="324">
        <f t="shared" ref="AQ14:AQ77" si="7">AO14+AU14</f>
        <v>7.5999999999999988</v>
      </c>
      <c r="AR14" s="322">
        <f t="shared" ref="AR14:AR77" si="8">AP14+AU14</f>
        <v>7.799999999999998</v>
      </c>
      <c r="AT14" s="322">
        <f t="shared" ref="AT14:AT77" si="9">AU14</f>
        <v>0.39999999999999947</v>
      </c>
      <c r="AU14" s="324">
        <f t="shared" ref="AU14:AU77" si="10">AM14-AK14</f>
        <v>0.39999999999999947</v>
      </c>
      <c r="AV14" s="322">
        <f t="shared" ref="AV14:AV77" si="11">AM14/AK14</f>
        <v>1.0625</v>
      </c>
      <c r="AW14" s="322">
        <f t="shared" ref="AW14:AW77" si="12">AM14*AV14</f>
        <v>7.2249999999999996</v>
      </c>
    </row>
    <row r="15" spans="2:49" ht="18.95" customHeight="1">
      <c r="B15" s="324">
        <f t="shared" si="1"/>
        <v>5.8333333333333307E-2</v>
      </c>
      <c r="C15" s="324">
        <f t="shared" si="0"/>
        <v>8.3999999999999968</v>
      </c>
      <c r="E15" s="325">
        <v>10</v>
      </c>
      <c r="F15" s="325">
        <v>1.55</v>
      </c>
      <c r="G15" s="325">
        <v>1.25</v>
      </c>
      <c r="H15" s="326"/>
      <c r="I15" s="325">
        <f t="shared" ref="I15:I20" si="13">ABS(J15-$I$12)</f>
        <v>225.192840274844</v>
      </c>
      <c r="J15" s="325">
        <v>10</v>
      </c>
      <c r="K15" s="325">
        <v>1.7000000000000001E-2</v>
      </c>
      <c r="M15" s="325">
        <v>100</v>
      </c>
      <c r="N15" s="325">
        <f t="shared" ref="N15:N20" si="14">100/M15</f>
        <v>1</v>
      </c>
      <c r="P15" s="324" t="s">
        <v>5</v>
      </c>
      <c r="Q15" s="324" t="s">
        <v>278</v>
      </c>
      <c r="R15" s="324">
        <f>MIN(R16:R82)</f>
        <v>170.292840274844</v>
      </c>
      <c r="S15" s="326"/>
      <c r="T15" s="325">
        <v>10</v>
      </c>
      <c r="U15" s="325">
        <f t="shared" ref="U15:V25" si="15">F15</f>
        <v>1.55</v>
      </c>
      <c r="V15" s="325">
        <f t="shared" si="15"/>
        <v>1.25</v>
      </c>
      <c r="W15" s="326"/>
      <c r="X15" s="325">
        <f t="shared" ref="X15:X20" si="16">ABS(Y15-$X$12)</f>
        <v>238.08715972515597</v>
      </c>
      <c r="Y15" s="325">
        <v>10</v>
      </c>
      <c r="Z15" s="325">
        <v>1.7000000000000001E-2</v>
      </c>
      <c r="AB15" s="325">
        <v>100</v>
      </c>
      <c r="AC15" s="325">
        <f t="shared" ref="AC15:AC20" si="17">100/AB15</f>
        <v>1</v>
      </c>
      <c r="AE15" s="324" t="s">
        <v>5</v>
      </c>
      <c r="AF15" s="324" t="s">
        <v>278</v>
      </c>
      <c r="AG15" s="324">
        <f>MIN(AG16:AG82)</f>
        <v>183.18715972515596</v>
      </c>
      <c r="AI15" s="324">
        <f t="shared" si="2"/>
        <v>8.4</v>
      </c>
      <c r="AJ15" s="324">
        <f t="shared" ref="AJ15:AJ78" si="18">AJ14+3*100/360</f>
        <v>5.833333333333333</v>
      </c>
      <c r="AK15" s="324">
        <v>7.4</v>
      </c>
      <c r="AL15" s="324">
        <f t="shared" si="3"/>
        <v>7.65</v>
      </c>
      <c r="AM15" s="324">
        <v>7.9</v>
      </c>
      <c r="AN15" s="324">
        <f t="shared" si="4"/>
        <v>8.15</v>
      </c>
      <c r="AO15" s="324">
        <f t="shared" si="5"/>
        <v>8.4</v>
      </c>
      <c r="AP15" s="324">
        <f t="shared" si="6"/>
        <v>8.65</v>
      </c>
      <c r="AQ15" s="324">
        <f t="shared" si="7"/>
        <v>8.9</v>
      </c>
      <c r="AR15" s="322">
        <f t="shared" si="8"/>
        <v>9.15</v>
      </c>
      <c r="AT15" s="322">
        <f t="shared" si="9"/>
        <v>0.5</v>
      </c>
      <c r="AU15" s="324">
        <f t="shared" si="10"/>
        <v>0.5</v>
      </c>
      <c r="AV15" s="322">
        <f t="shared" si="11"/>
        <v>1.0675675675675675</v>
      </c>
      <c r="AW15" s="322">
        <f t="shared" si="12"/>
        <v>8.4337837837837846</v>
      </c>
    </row>
    <row r="16" spans="2:49" ht="18.95" customHeight="1">
      <c r="B16" s="324">
        <f t="shared" si="1"/>
        <v>6.1111111111111081E-2</v>
      </c>
      <c r="C16" s="324">
        <f t="shared" si="0"/>
        <v>8.7999999999999954</v>
      </c>
      <c r="E16" s="325">
        <v>15</v>
      </c>
      <c r="F16" s="325">
        <v>1.55</v>
      </c>
      <c r="G16" s="325">
        <v>1.25</v>
      </c>
      <c r="I16" s="325">
        <f t="shared" si="13"/>
        <v>215.192840274844</v>
      </c>
      <c r="J16" s="325">
        <v>20</v>
      </c>
      <c r="K16" s="325">
        <v>3.4000000000000002E-2</v>
      </c>
      <c r="M16" s="325">
        <v>98</v>
      </c>
      <c r="N16" s="325">
        <f t="shared" si="14"/>
        <v>1.0204081632653061</v>
      </c>
      <c r="P16" s="325">
        <v>5</v>
      </c>
      <c r="Q16" s="325">
        <f>LOOKUP($C$2,$AK$13:$AR$13,AK14:AR14)</f>
        <v>6.8</v>
      </c>
      <c r="R16" s="324">
        <f t="shared" ref="R16:R79" si="19">ABS(Q16-$I$12)</f>
        <v>228.39284027484399</v>
      </c>
      <c r="T16" s="325">
        <v>15</v>
      </c>
      <c r="U16" s="325">
        <f t="shared" si="15"/>
        <v>1.55</v>
      </c>
      <c r="V16" s="325">
        <f t="shared" si="15"/>
        <v>1.25</v>
      </c>
      <c r="X16" s="325">
        <f t="shared" si="16"/>
        <v>228.08715972515597</v>
      </c>
      <c r="Y16" s="325">
        <v>20</v>
      </c>
      <c r="Z16" s="325">
        <v>3.4000000000000002E-2</v>
      </c>
      <c r="AB16" s="325">
        <v>98</v>
      </c>
      <c r="AC16" s="325">
        <f t="shared" si="17"/>
        <v>1.0204081632653061</v>
      </c>
      <c r="AE16" s="325">
        <v>5</v>
      </c>
      <c r="AF16" s="325">
        <f>LOOKUP($C$2,$AK$13:$AR13,AK14:AR14)</f>
        <v>6.8</v>
      </c>
      <c r="AG16" s="324">
        <f t="shared" ref="AG16:AG79" si="20">ABS(AF16-$X$12)</f>
        <v>241.28715972515596</v>
      </c>
      <c r="AI16" s="324">
        <f t="shared" si="2"/>
        <v>9.6</v>
      </c>
      <c r="AJ16" s="324">
        <f t="shared" si="18"/>
        <v>6.6666666666666661</v>
      </c>
      <c r="AK16" s="324">
        <v>8.4</v>
      </c>
      <c r="AL16" s="324">
        <f t="shared" si="3"/>
        <v>8.6999999999999993</v>
      </c>
      <c r="AM16" s="324">
        <v>9</v>
      </c>
      <c r="AN16" s="324">
        <f t="shared" si="4"/>
        <v>9.3000000000000007</v>
      </c>
      <c r="AO16" s="324">
        <f t="shared" si="5"/>
        <v>9.6</v>
      </c>
      <c r="AP16" s="324">
        <f t="shared" si="6"/>
        <v>9.8999999999999986</v>
      </c>
      <c r="AQ16" s="324">
        <f t="shared" si="7"/>
        <v>10.199999999999999</v>
      </c>
      <c r="AR16" s="322">
        <f t="shared" si="8"/>
        <v>10.499999999999998</v>
      </c>
      <c r="AT16" s="322">
        <f t="shared" si="9"/>
        <v>0.59999999999999964</v>
      </c>
      <c r="AU16" s="324">
        <f t="shared" si="10"/>
        <v>0.59999999999999964</v>
      </c>
      <c r="AV16" s="322">
        <f t="shared" si="11"/>
        <v>1.0714285714285714</v>
      </c>
      <c r="AW16" s="322">
        <f t="shared" si="12"/>
        <v>9.6428571428571423</v>
      </c>
    </row>
    <row r="17" spans="2:49" ht="18.95" customHeight="1">
      <c r="B17" s="324">
        <f t="shared" si="1"/>
        <v>6.3888888888888856E-2</v>
      </c>
      <c r="C17" s="324">
        <f t="shared" si="0"/>
        <v>9.1999999999999957</v>
      </c>
      <c r="E17" s="325">
        <v>20</v>
      </c>
      <c r="F17" s="325">
        <v>1.55</v>
      </c>
      <c r="G17" s="325">
        <v>1.24</v>
      </c>
      <c r="I17" s="325">
        <f t="shared" si="13"/>
        <v>205.192840274844</v>
      </c>
      <c r="J17" s="325">
        <v>30</v>
      </c>
      <c r="K17" s="325">
        <v>0.05</v>
      </c>
      <c r="M17" s="325">
        <v>97</v>
      </c>
      <c r="N17" s="325">
        <f t="shared" si="14"/>
        <v>1.0309278350515463</v>
      </c>
      <c r="P17" s="325">
        <f t="shared" ref="P17:P80" si="21">P16+3*100/360</f>
        <v>5.833333333333333</v>
      </c>
      <c r="Q17" s="325">
        <f t="shared" ref="Q17:Q80" si="22">LOOKUP($C$2,$AK$13:$AQ$13,AK15:AQ15)</f>
        <v>7.9</v>
      </c>
      <c r="R17" s="324">
        <f t="shared" si="19"/>
        <v>227.292840274844</v>
      </c>
      <c r="T17" s="325">
        <v>20</v>
      </c>
      <c r="U17" s="325">
        <f t="shared" si="15"/>
        <v>1.55</v>
      </c>
      <c r="V17" s="325">
        <f t="shared" si="15"/>
        <v>1.24</v>
      </c>
      <c r="X17" s="325">
        <f t="shared" si="16"/>
        <v>218.08715972515597</v>
      </c>
      <c r="Y17" s="325">
        <v>30</v>
      </c>
      <c r="Z17" s="325">
        <v>0.05</v>
      </c>
      <c r="AB17" s="325">
        <v>97</v>
      </c>
      <c r="AC17" s="325">
        <f t="shared" si="17"/>
        <v>1.0309278350515463</v>
      </c>
      <c r="AE17" s="325">
        <f t="shared" ref="AE17:AE80" si="23">AE16+3*100/360</f>
        <v>5.833333333333333</v>
      </c>
      <c r="AF17" s="325">
        <f t="shared" ref="AF17:AF80" si="24">LOOKUP($C$2,$AK$13:$AQ$13,AK15:AQ15)</f>
        <v>7.9</v>
      </c>
      <c r="AG17" s="324">
        <f t="shared" si="20"/>
        <v>240.18715972515596</v>
      </c>
      <c r="AI17" s="324">
        <f t="shared" si="2"/>
        <v>10.799999999999997</v>
      </c>
      <c r="AJ17" s="324">
        <f t="shared" si="18"/>
        <v>7.4999999999999991</v>
      </c>
      <c r="AK17" s="324">
        <v>9.4</v>
      </c>
      <c r="AL17" s="324">
        <f t="shared" si="3"/>
        <v>9.75</v>
      </c>
      <c r="AM17" s="324">
        <v>10.1</v>
      </c>
      <c r="AN17" s="324">
        <f t="shared" si="4"/>
        <v>10.45</v>
      </c>
      <c r="AO17" s="324">
        <f t="shared" si="5"/>
        <v>10.799999999999999</v>
      </c>
      <c r="AP17" s="324">
        <f t="shared" si="6"/>
        <v>11.149999999999999</v>
      </c>
      <c r="AQ17" s="324">
        <f t="shared" si="7"/>
        <v>11.499999999999998</v>
      </c>
      <c r="AR17" s="322">
        <f t="shared" si="8"/>
        <v>11.849999999999998</v>
      </c>
      <c r="AT17" s="322">
        <f t="shared" si="9"/>
        <v>0.69999999999999929</v>
      </c>
      <c r="AU17" s="324">
        <f t="shared" si="10"/>
        <v>0.69999999999999929</v>
      </c>
      <c r="AV17" s="322">
        <f t="shared" si="11"/>
        <v>1.0744680851063828</v>
      </c>
      <c r="AW17" s="322">
        <f t="shared" si="12"/>
        <v>10.852127659574466</v>
      </c>
    </row>
    <row r="18" spans="2:49" ht="18.95" customHeight="1">
      <c r="B18" s="324">
        <f t="shared" si="1"/>
        <v>6.6666666666666638E-2</v>
      </c>
      <c r="C18" s="324">
        <f t="shared" si="0"/>
        <v>9.5999999999999961</v>
      </c>
      <c r="E18" s="325">
        <v>25</v>
      </c>
      <c r="F18" s="325">
        <v>1.54</v>
      </c>
      <c r="G18" s="325">
        <v>1.24</v>
      </c>
      <c r="I18" s="325">
        <f t="shared" si="13"/>
        <v>195.192840274844</v>
      </c>
      <c r="J18" s="325">
        <v>40</v>
      </c>
      <c r="K18" s="325">
        <v>6.7000000000000004E-2</v>
      </c>
      <c r="M18" s="325">
        <v>95</v>
      </c>
      <c r="N18" s="325">
        <f t="shared" si="14"/>
        <v>1.0526315789473684</v>
      </c>
      <c r="P18" s="325">
        <f t="shared" si="21"/>
        <v>6.6666666666666661</v>
      </c>
      <c r="Q18" s="325">
        <f t="shared" si="22"/>
        <v>9</v>
      </c>
      <c r="R18" s="324">
        <f t="shared" si="19"/>
        <v>226.192840274844</v>
      </c>
      <c r="T18" s="325">
        <v>25</v>
      </c>
      <c r="U18" s="325">
        <f t="shared" si="15"/>
        <v>1.54</v>
      </c>
      <c r="V18" s="325">
        <f t="shared" si="15"/>
        <v>1.24</v>
      </c>
      <c r="X18" s="325">
        <f t="shared" si="16"/>
        <v>208.08715972515597</v>
      </c>
      <c r="Y18" s="325">
        <v>40</v>
      </c>
      <c r="Z18" s="325">
        <v>6.7000000000000004E-2</v>
      </c>
      <c r="AB18" s="325">
        <v>95</v>
      </c>
      <c r="AC18" s="325">
        <f t="shared" si="17"/>
        <v>1.0526315789473684</v>
      </c>
      <c r="AE18" s="325">
        <f t="shared" si="23"/>
        <v>6.6666666666666661</v>
      </c>
      <c r="AF18" s="325">
        <f t="shared" si="24"/>
        <v>9</v>
      </c>
      <c r="AG18" s="324">
        <f t="shared" si="20"/>
        <v>239.08715972515597</v>
      </c>
      <c r="AI18" s="324">
        <f t="shared" si="2"/>
        <v>11.999999999999998</v>
      </c>
      <c r="AJ18" s="324">
        <f t="shared" si="18"/>
        <v>8.3333333333333321</v>
      </c>
      <c r="AK18" s="324">
        <v>10.5</v>
      </c>
      <c r="AL18" s="324">
        <f t="shared" si="3"/>
        <v>10.85</v>
      </c>
      <c r="AM18" s="324">
        <v>11.2</v>
      </c>
      <c r="AN18" s="324">
        <f t="shared" si="4"/>
        <v>11.549999999999999</v>
      </c>
      <c r="AO18" s="324">
        <f t="shared" si="5"/>
        <v>11.899999999999999</v>
      </c>
      <c r="AP18" s="324">
        <f t="shared" si="6"/>
        <v>12.249999999999998</v>
      </c>
      <c r="AQ18" s="324">
        <f t="shared" si="7"/>
        <v>12.599999999999998</v>
      </c>
      <c r="AR18" s="322">
        <f t="shared" si="8"/>
        <v>12.949999999999998</v>
      </c>
      <c r="AT18" s="322">
        <f t="shared" si="9"/>
        <v>0.69999999999999929</v>
      </c>
      <c r="AU18" s="324">
        <f t="shared" si="10"/>
        <v>0.69999999999999929</v>
      </c>
      <c r="AV18" s="322">
        <f t="shared" si="11"/>
        <v>1.0666666666666667</v>
      </c>
      <c r="AW18" s="322">
        <f t="shared" si="12"/>
        <v>11.946666666666665</v>
      </c>
    </row>
    <row r="19" spans="2:49" ht="18.95" customHeight="1">
      <c r="B19" s="324">
        <f t="shared" si="1"/>
        <v>6.944444444444442E-2</v>
      </c>
      <c r="C19" s="324">
        <f t="shared" si="0"/>
        <v>9.9999999999999964</v>
      </c>
      <c r="E19" s="325">
        <v>30</v>
      </c>
      <c r="F19" s="325">
        <v>1.54</v>
      </c>
      <c r="G19" s="325">
        <v>1.23</v>
      </c>
      <c r="H19" s="326"/>
      <c r="I19" s="325">
        <f t="shared" si="13"/>
        <v>185.192840274844</v>
      </c>
      <c r="J19" s="325">
        <v>50</v>
      </c>
      <c r="K19" s="325">
        <v>8.4000000000000005E-2</v>
      </c>
      <c r="M19" s="325">
        <v>92</v>
      </c>
      <c r="N19" s="325">
        <f t="shared" si="14"/>
        <v>1.0869565217391304</v>
      </c>
      <c r="P19" s="325">
        <f t="shared" si="21"/>
        <v>7.4999999999999991</v>
      </c>
      <c r="Q19" s="325">
        <f t="shared" si="22"/>
        <v>10.1</v>
      </c>
      <c r="R19" s="324">
        <f t="shared" si="19"/>
        <v>225.09284027484401</v>
      </c>
      <c r="S19" s="326"/>
      <c r="T19" s="325">
        <v>30</v>
      </c>
      <c r="U19" s="325">
        <f t="shared" si="15"/>
        <v>1.54</v>
      </c>
      <c r="V19" s="325">
        <f t="shared" si="15"/>
        <v>1.23</v>
      </c>
      <c r="W19" s="326"/>
      <c r="X19" s="325">
        <f t="shared" si="16"/>
        <v>198.08715972515597</v>
      </c>
      <c r="Y19" s="325">
        <v>50</v>
      </c>
      <c r="Z19" s="325">
        <v>8.4000000000000005E-2</v>
      </c>
      <c r="AB19" s="325">
        <v>92</v>
      </c>
      <c r="AC19" s="325">
        <f t="shared" si="17"/>
        <v>1.0869565217391304</v>
      </c>
      <c r="AE19" s="325">
        <f t="shared" si="23"/>
        <v>7.4999999999999991</v>
      </c>
      <c r="AF19" s="325">
        <f t="shared" si="24"/>
        <v>10.1</v>
      </c>
      <c r="AG19" s="324">
        <f t="shared" si="20"/>
        <v>237.98715972515598</v>
      </c>
      <c r="AI19" s="324">
        <f t="shared" si="2"/>
        <v>13.2</v>
      </c>
      <c r="AJ19" s="324">
        <f t="shared" si="18"/>
        <v>9.1666666666666661</v>
      </c>
      <c r="AK19" s="324">
        <v>11.5</v>
      </c>
      <c r="AL19" s="324">
        <f t="shared" si="3"/>
        <v>11.9</v>
      </c>
      <c r="AM19" s="324">
        <v>12.3</v>
      </c>
      <c r="AN19" s="324">
        <f t="shared" si="4"/>
        <v>12.700000000000001</v>
      </c>
      <c r="AO19" s="324">
        <f t="shared" si="5"/>
        <v>13.100000000000001</v>
      </c>
      <c r="AP19" s="324">
        <f t="shared" si="6"/>
        <v>13.500000000000002</v>
      </c>
      <c r="AQ19" s="324">
        <f t="shared" si="7"/>
        <v>13.900000000000002</v>
      </c>
      <c r="AR19" s="322">
        <f t="shared" si="8"/>
        <v>14.300000000000002</v>
      </c>
      <c r="AT19" s="322">
        <f t="shared" si="9"/>
        <v>0.80000000000000071</v>
      </c>
      <c r="AU19" s="324">
        <f t="shared" si="10"/>
        <v>0.80000000000000071</v>
      </c>
      <c r="AV19" s="322">
        <f t="shared" si="11"/>
        <v>1.0695652173913044</v>
      </c>
      <c r="AW19" s="322">
        <f t="shared" si="12"/>
        <v>13.155652173913046</v>
      </c>
    </row>
    <row r="20" spans="2:49" ht="18.95" customHeight="1">
      <c r="B20" s="324">
        <f t="shared" si="1"/>
        <v>7.2222222222222202E-2</v>
      </c>
      <c r="C20" s="324">
        <f t="shared" si="0"/>
        <v>10.399999999999997</v>
      </c>
      <c r="E20" s="325">
        <v>35</v>
      </c>
      <c r="F20" s="325">
        <v>1.54</v>
      </c>
      <c r="G20" s="325">
        <v>1.23</v>
      </c>
      <c r="H20" s="326"/>
      <c r="I20" s="325">
        <f t="shared" si="13"/>
        <v>175.192840274844</v>
      </c>
      <c r="J20" s="325">
        <v>60</v>
      </c>
      <c r="K20" s="325">
        <v>0.1</v>
      </c>
      <c r="M20" s="325">
        <v>90</v>
      </c>
      <c r="N20" s="325">
        <f t="shared" si="14"/>
        <v>1.1111111111111112</v>
      </c>
      <c r="P20" s="325">
        <f t="shared" si="21"/>
        <v>8.3333333333333321</v>
      </c>
      <c r="Q20" s="325">
        <f t="shared" si="22"/>
        <v>11.2</v>
      </c>
      <c r="R20" s="324">
        <f t="shared" si="19"/>
        <v>223.99284027484401</v>
      </c>
      <c r="S20" s="326"/>
      <c r="T20" s="325">
        <v>35</v>
      </c>
      <c r="U20" s="325">
        <f t="shared" si="15"/>
        <v>1.54</v>
      </c>
      <c r="V20" s="325">
        <f t="shared" si="15"/>
        <v>1.23</v>
      </c>
      <c r="W20" s="326"/>
      <c r="X20" s="325">
        <f t="shared" si="16"/>
        <v>188.08715972515597</v>
      </c>
      <c r="Y20" s="325">
        <v>60</v>
      </c>
      <c r="Z20" s="325">
        <v>0.1</v>
      </c>
      <c r="AB20" s="325">
        <v>90</v>
      </c>
      <c r="AC20" s="325">
        <f t="shared" si="17"/>
        <v>1.1111111111111112</v>
      </c>
      <c r="AE20" s="325">
        <f t="shared" si="23"/>
        <v>8.3333333333333321</v>
      </c>
      <c r="AF20" s="325">
        <f t="shared" si="24"/>
        <v>11.2</v>
      </c>
      <c r="AG20" s="324">
        <f t="shared" si="20"/>
        <v>236.88715972515598</v>
      </c>
      <c r="AI20" s="324">
        <f t="shared" si="2"/>
        <v>14.4</v>
      </c>
      <c r="AJ20" s="324">
        <f t="shared" si="18"/>
        <v>10</v>
      </c>
      <c r="AK20" s="324">
        <v>12.5</v>
      </c>
      <c r="AL20" s="324">
        <f t="shared" si="3"/>
        <v>12.9</v>
      </c>
      <c r="AM20" s="324">
        <v>13.3</v>
      </c>
      <c r="AN20" s="324">
        <f t="shared" si="4"/>
        <v>13.700000000000001</v>
      </c>
      <c r="AO20" s="324">
        <f t="shared" si="5"/>
        <v>14.100000000000001</v>
      </c>
      <c r="AP20" s="324">
        <f t="shared" si="6"/>
        <v>14.500000000000002</v>
      </c>
      <c r="AQ20" s="324">
        <f t="shared" si="7"/>
        <v>14.900000000000002</v>
      </c>
      <c r="AR20" s="322">
        <f t="shared" si="8"/>
        <v>15.300000000000002</v>
      </c>
      <c r="AT20" s="322">
        <f t="shared" si="9"/>
        <v>0.80000000000000071</v>
      </c>
      <c r="AU20" s="324">
        <f t="shared" si="10"/>
        <v>0.80000000000000071</v>
      </c>
      <c r="AV20" s="322">
        <f t="shared" si="11"/>
        <v>1.0640000000000001</v>
      </c>
      <c r="AW20" s="322">
        <f t="shared" si="12"/>
        <v>14.151200000000001</v>
      </c>
    </row>
    <row r="21" spans="2:49" ht="18.95" customHeight="1">
      <c r="B21" s="324">
        <f t="shared" si="1"/>
        <v>7.4999999999999983E-2</v>
      </c>
      <c r="C21" s="324">
        <f t="shared" si="0"/>
        <v>10.799999999999997</v>
      </c>
      <c r="E21" s="325">
        <v>40</v>
      </c>
      <c r="F21" s="325">
        <v>1.53</v>
      </c>
      <c r="G21" s="325">
        <v>1.22</v>
      </c>
      <c r="I21" s="325">
        <f>ABS(MIN(I15:I20))</f>
        <v>175.192840274844</v>
      </c>
      <c r="J21" s="325">
        <f>INDEX(Z15:Z20,MATCH(X21,X15:X20,0))</f>
        <v>0.1</v>
      </c>
      <c r="K21" s="326"/>
      <c r="M21" s="325">
        <v>85</v>
      </c>
      <c r="N21" s="325">
        <f>100/M21-0.01</f>
        <v>1.1664705882352941</v>
      </c>
      <c r="P21" s="325">
        <f t="shared" si="21"/>
        <v>9.1666666666666661</v>
      </c>
      <c r="Q21" s="325">
        <f t="shared" si="22"/>
        <v>12.3</v>
      </c>
      <c r="R21" s="324">
        <f t="shared" si="19"/>
        <v>222.89284027484399</v>
      </c>
      <c r="S21" s="326"/>
      <c r="T21" s="325">
        <v>40</v>
      </c>
      <c r="U21" s="325">
        <f t="shared" si="15"/>
        <v>1.53</v>
      </c>
      <c r="V21" s="325">
        <f t="shared" si="15"/>
        <v>1.22</v>
      </c>
      <c r="W21" s="326"/>
      <c r="X21" s="325">
        <f>ABS(MIN(X15:X20))</f>
        <v>188.08715972515597</v>
      </c>
      <c r="Y21" s="325">
        <f>INDEX(Z15:Z20,MATCH(X21,X15:X20,0))</f>
        <v>0.1</v>
      </c>
      <c r="AB21" s="325">
        <v>85</v>
      </c>
      <c r="AC21" s="325">
        <f>100/AB21-0.01</f>
        <v>1.1664705882352941</v>
      </c>
      <c r="AE21" s="325">
        <f t="shared" si="23"/>
        <v>9.1666666666666661</v>
      </c>
      <c r="AF21" s="325">
        <f t="shared" si="24"/>
        <v>12.3</v>
      </c>
      <c r="AG21" s="324">
        <f t="shared" si="20"/>
        <v>235.78715972515596</v>
      </c>
      <c r="AI21" s="324">
        <f t="shared" si="2"/>
        <v>15.6</v>
      </c>
      <c r="AJ21" s="324">
        <f t="shared" si="18"/>
        <v>10.833333333333334</v>
      </c>
      <c r="AK21" s="324">
        <v>13.4</v>
      </c>
      <c r="AL21" s="324">
        <f t="shared" si="3"/>
        <v>13.9</v>
      </c>
      <c r="AM21" s="324">
        <v>14.4</v>
      </c>
      <c r="AN21" s="324">
        <f t="shared" si="4"/>
        <v>14.9</v>
      </c>
      <c r="AO21" s="324">
        <f t="shared" si="5"/>
        <v>15.4</v>
      </c>
      <c r="AP21" s="324">
        <f t="shared" si="6"/>
        <v>15.899999999999999</v>
      </c>
      <c r="AQ21" s="324">
        <f t="shared" si="7"/>
        <v>16.399999999999999</v>
      </c>
      <c r="AR21" s="322">
        <f t="shared" si="8"/>
        <v>16.899999999999999</v>
      </c>
      <c r="AT21" s="322">
        <f t="shared" si="9"/>
        <v>1</v>
      </c>
      <c r="AU21" s="324">
        <f t="shared" si="10"/>
        <v>1</v>
      </c>
      <c r="AV21" s="322">
        <f t="shared" si="11"/>
        <v>1.0746268656716418</v>
      </c>
      <c r="AW21" s="322">
        <f t="shared" si="12"/>
        <v>15.474626865671642</v>
      </c>
    </row>
    <row r="22" spans="2:49" ht="18.95" customHeight="1">
      <c r="B22" s="324">
        <f t="shared" si="1"/>
        <v>7.7777777777777765E-2</v>
      </c>
      <c r="C22" s="324">
        <f t="shared" si="0"/>
        <v>11.199999999999998</v>
      </c>
      <c r="E22" s="325">
        <v>45</v>
      </c>
      <c r="F22" s="325">
        <v>1.53</v>
      </c>
      <c r="G22" s="325">
        <v>1.22</v>
      </c>
      <c r="I22" s="326"/>
      <c r="J22" s="326"/>
      <c r="K22" s="326"/>
      <c r="M22" s="325">
        <v>82</v>
      </c>
      <c r="N22" s="325">
        <f>100/M22-0.01</f>
        <v>1.2095121951219512</v>
      </c>
      <c r="P22" s="325">
        <f t="shared" si="21"/>
        <v>10</v>
      </c>
      <c r="Q22" s="325">
        <f t="shared" si="22"/>
        <v>13.3</v>
      </c>
      <c r="R22" s="324">
        <f t="shared" si="19"/>
        <v>221.89284027484399</v>
      </c>
      <c r="S22" s="326"/>
      <c r="T22" s="325">
        <v>45</v>
      </c>
      <c r="U22" s="325">
        <f t="shared" si="15"/>
        <v>1.53</v>
      </c>
      <c r="V22" s="325">
        <f t="shared" si="15"/>
        <v>1.22</v>
      </c>
      <c r="W22" s="326"/>
      <c r="X22" s="326"/>
      <c r="Y22" s="327"/>
      <c r="AB22" s="325">
        <v>82</v>
      </c>
      <c r="AC22" s="325">
        <f>100/AB22-0.01</f>
        <v>1.2095121951219512</v>
      </c>
      <c r="AE22" s="325">
        <f t="shared" si="23"/>
        <v>10</v>
      </c>
      <c r="AF22" s="325">
        <f t="shared" si="24"/>
        <v>13.3</v>
      </c>
      <c r="AG22" s="324">
        <f t="shared" si="20"/>
        <v>234.78715972515596</v>
      </c>
      <c r="AI22" s="324">
        <f t="shared" si="2"/>
        <v>16.8</v>
      </c>
      <c r="AJ22" s="324">
        <f t="shared" si="18"/>
        <v>11.666666666666668</v>
      </c>
      <c r="AK22" s="324">
        <v>14.4</v>
      </c>
      <c r="AL22" s="324">
        <f t="shared" si="3"/>
        <v>14.9</v>
      </c>
      <c r="AM22" s="324">
        <v>15.4</v>
      </c>
      <c r="AN22" s="324">
        <f t="shared" si="4"/>
        <v>15.899999999999999</v>
      </c>
      <c r="AO22" s="324">
        <f t="shared" si="5"/>
        <v>16.399999999999999</v>
      </c>
      <c r="AP22" s="324">
        <f t="shared" si="6"/>
        <v>16.899999999999999</v>
      </c>
      <c r="AQ22" s="324">
        <f t="shared" si="7"/>
        <v>17.399999999999999</v>
      </c>
      <c r="AR22" s="322">
        <f t="shared" si="8"/>
        <v>17.899999999999999</v>
      </c>
      <c r="AT22" s="322">
        <f t="shared" si="9"/>
        <v>1</v>
      </c>
      <c r="AU22" s="324">
        <f t="shared" si="10"/>
        <v>1</v>
      </c>
      <c r="AV22" s="322">
        <f t="shared" si="11"/>
        <v>1.0694444444444444</v>
      </c>
      <c r="AW22" s="322">
        <f t="shared" si="12"/>
        <v>16.469444444444445</v>
      </c>
    </row>
    <row r="23" spans="2:49" ht="18.95" customHeight="1">
      <c r="B23" s="324">
        <f t="shared" si="1"/>
        <v>8.0555555555555547E-2</v>
      </c>
      <c r="C23" s="324">
        <f t="shared" si="0"/>
        <v>11.599999999999998</v>
      </c>
      <c r="E23" s="325">
        <v>50</v>
      </c>
      <c r="F23" s="325">
        <v>1.48</v>
      </c>
      <c r="G23" s="325">
        <v>1.21</v>
      </c>
      <c r="I23" s="326"/>
      <c r="J23" s="326"/>
      <c r="K23" s="326"/>
      <c r="M23" s="325">
        <v>80</v>
      </c>
      <c r="N23" s="325">
        <f>100/M23-0.01</f>
        <v>1.24</v>
      </c>
      <c r="P23" s="325">
        <f t="shared" si="21"/>
        <v>10.833333333333334</v>
      </c>
      <c r="Q23" s="325">
        <f t="shared" si="22"/>
        <v>14.4</v>
      </c>
      <c r="R23" s="324">
        <f t="shared" si="19"/>
        <v>220.792840274844</v>
      </c>
      <c r="S23" s="326"/>
      <c r="T23" s="325">
        <v>50</v>
      </c>
      <c r="U23" s="325">
        <f t="shared" si="15"/>
        <v>1.48</v>
      </c>
      <c r="V23" s="325">
        <f t="shared" si="15"/>
        <v>1.21</v>
      </c>
      <c r="W23" s="326"/>
      <c r="X23" s="326"/>
      <c r="Y23" s="327"/>
      <c r="AB23" s="325">
        <v>80</v>
      </c>
      <c r="AC23" s="325">
        <f>100/AB23-0.01</f>
        <v>1.24</v>
      </c>
      <c r="AE23" s="325">
        <f t="shared" si="23"/>
        <v>10.833333333333334</v>
      </c>
      <c r="AF23" s="325">
        <f t="shared" si="24"/>
        <v>14.4</v>
      </c>
      <c r="AG23" s="324">
        <f t="shared" si="20"/>
        <v>233.68715972515596</v>
      </c>
      <c r="AI23" s="324">
        <f t="shared" si="2"/>
        <v>18.000000000000004</v>
      </c>
      <c r="AJ23" s="324">
        <f t="shared" si="18"/>
        <v>12.500000000000002</v>
      </c>
      <c r="AK23" s="324">
        <v>15.4</v>
      </c>
      <c r="AL23" s="324">
        <f t="shared" si="3"/>
        <v>15.95</v>
      </c>
      <c r="AM23" s="324">
        <v>16.5</v>
      </c>
      <c r="AN23" s="324">
        <f t="shared" si="4"/>
        <v>17.05</v>
      </c>
      <c r="AO23" s="324">
        <f t="shared" si="5"/>
        <v>17.600000000000001</v>
      </c>
      <c r="AP23" s="324">
        <f t="shared" si="6"/>
        <v>18.150000000000002</v>
      </c>
      <c r="AQ23" s="324">
        <f t="shared" si="7"/>
        <v>18.700000000000003</v>
      </c>
      <c r="AR23" s="322">
        <f t="shared" si="8"/>
        <v>19.25</v>
      </c>
      <c r="AT23" s="322">
        <f t="shared" si="9"/>
        <v>1.0999999999999996</v>
      </c>
      <c r="AU23" s="324">
        <f t="shared" si="10"/>
        <v>1.0999999999999996</v>
      </c>
      <c r="AV23" s="322">
        <f t="shared" si="11"/>
        <v>1.0714285714285714</v>
      </c>
      <c r="AW23" s="322">
        <f t="shared" si="12"/>
        <v>17.678571428571427</v>
      </c>
    </row>
    <row r="24" spans="2:49" ht="18.95" customHeight="1">
      <c r="B24" s="324">
        <f t="shared" si="1"/>
        <v>8.3333333333333329E-2</v>
      </c>
      <c r="C24" s="324">
        <f t="shared" si="0"/>
        <v>12</v>
      </c>
      <c r="E24" s="325">
        <v>55</v>
      </c>
      <c r="F24" s="325">
        <v>1.44</v>
      </c>
      <c r="G24" s="325">
        <v>1.21</v>
      </c>
      <c r="I24" s="326"/>
      <c r="J24" s="326"/>
      <c r="M24" s="325">
        <v>75</v>
      </c>
      <c r="N24" s="325">
        <f>100/M24-0.01</f>
        <v>1.3233333333333333</v>
      </c>
      <c r="P24" s="325">
        <f t="shared" si="21"/>
        <v>11.666666666666668</v>
      </c>
      <c r="Q24" s="325">
        <f t="shared" si="22"/>
        <v>15.4</v>
      </c>
      <c r="R24" s="324">
        <f t="shared" si="19"/>
        <v>219.792840274844</v>
      </c>
      <c r="S24" s="326"/>
      <c r="T24" s="325">
        <v>55</v>
      </c>
      <c r="U24" s="325">
        <f t="shared" si="15"/>
        <v>1.44</v>
      </c>
      <c r="V24" s="325">
        <f t="shared" si="15"/>
        <v>1.21</v>
      </c>
      <c r="W24" s="326"/>
      <c r="X24" s="326"/>
      <c r="AB24" s="325">
        <v>75</v>
      </c>
      <c r="AC24" s="325">
        <f>100/AB24-0.01</f>
        <v>1.3233333333333333</v>
      </c>
      <c r="AE24" s="325">
        <f t="shared" si="23"/>
        <v>11.666666666666668</v>
      </c>
      <c r="AF24" s="325">
        <f t="shared" si="24"/>
        <v>15.4</v>
      </c>
      <c r="AG24" s="324">
        <f t="shared" si="20"/>
        <v>232.68715972515596</v>
      </c>
      <c r="AI24" s="324">
        <f t="shared" si="2"/>
        <v>19.200000000000003</v>
      </c>
      <c r="AJ24" s="324">
        <f t="shared" si="18"/>
        <v>13.333333333333336</v>
      </c>
      <c r="AK24" s="324">
        <v>16.3</v>
      </c>
      <c r="AL24" s="324">
        <f t="shared" si="3"/>
        <v>16.899999999999999</v>
      </c>
      <c r="AM24" s="324">
        <v>17.5</v>
      </c>
      <c r="AN24" s="324">
        <f t="shared" si="4"/>
        <v>18.100000000000001</v>
      </c>
      <c r="AO24" s="324">
        <f t="shared" si="5"/>
        <v>18.7</v>
      </c>
      <c r="AP24" s="324">
        <f t="shared" si="6"/>
        <v>19.299999999999997</v>
      </c>
      <c r="AQ24" s="324">
        <f t="shared" si="7"/>
        <v>19.899999999999999</v>
      </c>
      <c r="AR24" s="322">
        <f t="shared" si="8"/>
        <v>20.499999999999996</v>
      </c>
      <c r="AT24" s="322">
        <f t="shared" si="9"/>
        <v>1.1999999999999993</v>
      </c>
      <c r="AU24" s="324">
        <f t="shared" si="10"/>
        <v>1.1999999999999993</v>
      </c>
      <c r="AV24" s="322">
        <f t="shared" si="11"/>
        <v>1.0736196319018405</v>
      </c>
      <c r="AW24" s="322">
        <f t="shared" si="12"/>
        <v>18.788343558282207</v>
      </c>
    </row>
    <row r="25" spans="2:49" ht="18.95" customHeight="1">
      <c r="B25" s="324">
        <f t="shared" si="1"/>
        <v>8.611111111111111E-2</v>
      </c>
      <c r="C25" s="324">
        <f t="shared" si="0"/>
        <v>12.4</v>
      </c>
      <c r="E25" s="325">
        <v>60</v>
      </c>
      <c r="F25" s="325">
        <v>1.41</v>
      </c>
      <c r="G25" s="325">
        <v>1.2</v>
      </c>
      <c r="I25" s="326"/>
      <c r="J25" s="326"/>
      <c r="M25" s="326"/>
      <c r="N25" s="325">
        <f>INDEX(N15:N24,MATCH(F8,M15:M24,0))</f>
        <v>1</v>
      </c>
      <c r="P25" s="325">
        <f t="shared" si="21"/>
        <v>12.500000000000002</v>
      </c>
      <c r="Q25" s="325">
        <f t="shared" si="22"/>
        <v>16.5</v>
      </c>
      <c r="R25" s="324">
        <f t="shared" si="19"/>
        <v>218.692840274844</v>
      </c>
      <c r="S25" s="326"/>
      <c r="T25" s="325">
        <v>60</v>
      </c>
      <c r="U25" s="325">
        <f t="shared" si="15"/>
        <v>1.41</v>
      </c>
      <c r="V25" s="325">
        <f t="shared" si="15"/>
        <v>1.2</v>
      </c>
      <c r="W25" s="326"/>
      <c r="X25" s="326"/>
      <c r="AC25" s="325">
        <f>INDEX(AC15:AC24,MATCH(I8,AB15:AB24,0))</f>
        <v>1</v>
      </c>
      <c r="AE25" s="325">
        <f t="shared" si="23"/>
        <v>12.500000000000002</v>
      </c>
      <c r="AF25" s="325">
        <f t="shared" si="24"/>
        <v>16.5</v>
      </c>
      <c r="AG25" s="324">
        <f t="shared" si="20"/>
        <v>231.58715972515597</v>
      </c>
      <c r="AI25" s="324">
        <f t="shared" si="2"/>
        <v>20.400000000000006</v>
      </c>
      <c r="AJ25" s="324">
        <f t="shared" si="18"/>
        <v>14.16666666666667</v>
      </c>
      <c r="AK25" s="324">
        <v>17.3</v>
      </c>
      <c r="AL25" s="324">
        <f t="shared" si="3"/>
        <v>17.899999999999999</v>
      </c>
      <c r="AM25" s="324">
        <v>18.5</v>
      </c>
      <c r="AN25" s="324">
        <f t="shared" si="4"/>
        <v>19.100000000000001</v>
      </c>
      <c r="AO25" s="324">
        <f t="shared" si="5"/>
        <v>19.7</v>
      </c>
      <c r="AP25" s="324">
        <f t="shared" si="6"/>
        <v>20.299999999999997</v>
      </c>
      <c r="AQ25" s="324">
        <f t="shared" si="7"/>
        <v>20.9</v>
      </c>
      <c r="AR25" s="322">
        <f t="shared" si="8"/>
        <v>21.499999999999996</v>
      </c>
      <c r="AT25" s="322">
        <f t="shared" si="9"/>
        <v>1.1999999999999993</v>
      </c>
      <c r="AU25" s="324">
        <f t="shared" si="10"/>
        <v>1.1999999999999993</v>
      </c>
      <c r="AV25" s="322">
        <f t="shared" si="11"/>
        <v>1.0693641618497109</v>
      </c>
      <c r="AW25" s="322">
        <f t="shared" si="12"/>
        <v>19.783236994219653</v>
      </c>
    </row>
    <row r="26" spans="2:49" ht="18.95" customHeight="1">
      <c r="B26" s="324">
        <f t="shared" si="1"/>
        <v>8.8888888888888892E-2</v>
      </c>
      <c r="C26" s="324">
        <f t="shared" si="0"/>
        <v>12.8</v>
      </c>
      <c r="I26" s="326"/>
      <c r="J26" s="326"/>
      <c r="P26" s="325">
        <f t="shared" si="21"/>
        <v>13.333333333333336</v>
      </c>
      <c r="Q26" s="325">
        <f t="shared" si="22"/>
        <v>17.5</v>
      </c>
      <c r="R26" s="324">
        <f t="shared" si="19"/>
        <v>217.692840274844</v>
      </c>
      <c r="S26" s="326"/>
      <c r="T26" s="326"/>
      <c r="U26" s="326"/>
      <c r="V26" s="326"/>
      <c r="W26" s="326"/>
      <c r="X26" s="326"/>
      <c r="AE26" s="325">
        <f t="shared" si="23"/>
        <v>13.333333333333336</v>
      </c>
      <c r="AF26" s="325">
        <f t="shared" si="24"/>
        <v>17.5</v>
      </c>
      <c r="AG26" s="324">
        <f t="shared" si="20"/>
        <v>230.58715972515597</v>
      </c>
      <c r="AI26" s="324">
        <f t="shared" si="2"/>
        <v>21.600000000000005</v>
      </c>
      <c r="AJ26" s="324">
        <f t="shared" si="18"/>
        <v>15.000000000000004</v>
      </c>
      <c r="AK26" s="324">
        <v>18.3</v>
      </c>
      <c r="AL26" s="324">
        <f t="shared" si="3"/>
        <v>18.899999999999999</v>
      </c>
      <c r="AM26" s="324">
        <v>19.5</v>
      </c>
      <c r="AN26" s="324">
        <f t="shared" si="4"/>
        <v>20.100000000000001</v>
      </c>
      <c r="AO26" s="324">
        <f t="shared" si="5"/>
        <v>20.7</v>
      </c>
      <c r="AP26" s="324">
        <f t="shared" si="6"/>
        <v>21.299999999999997</v>
      </c>
      <c r="AQ26" s="324">
        <f t="shared" si="7"/>
        <v>21.9</v>
      </c>
      <c r="AR26" s="322">
        <f t="shared" si="8"/>
        <v>22.499999999999996</v>
      </c>
      <c r="AT26" s="322">
        <f t="shared" si="9"/>
        <v>1.1999999999999993</v>
      </c>
      <c r="AU26" s="324">
        <f t="shared" si="10"/>
        <v>1.1999999999999993</v>
      </c>
      <c r="AV26" s="322">
        <f t="shared" si="11"/>
        <v>1.0655737704918031</v>
      </c>
      <c r="AW26" s="322">
        <f t="shared" si="12"/>
        <v>20.778688524590162</v>
      </c>
    </row>
    <row r="27" spans="2:49" ht="18.95" customHeight="1">
      <c r="B27" s="324">
        <f t="shared" si="1"/>
        <v>9.1666666666666674E-2</v>
      </c>
      <c r="C27" s="324">
        <f t="shared" si="0"/>
        <v>13.200000000000001</v>
      </c>
      <c r="E27" s="325" t="s">
        <v>279</v>
      </c>
      <c r="F27" s="325">
        <f>LOOKUP(F3,E15:E25,F15:F25)</f>
        <v>1.41</v>
      </c>
      <c r="G27" s="325">
        <f>LOOKUP(F3,E15:E25,G15:G25)</f>
        <v>1.2</v>
      </c>
      <c r="I27" s="326"/>
      <c r="J27" s="326"/>
      <c r="P27" s="325">
        <f t="shared" si="21"/>
        <v>14.16666666666667</v>
      </c>
      <c r="Q27" s="325">
        <f t="shared" si="22"/>
        <v>18.5</v>
      </c>
      <c r="R27" s="324">
        <f t="shared" si="19"/>
        <v>216.692840274844</v>
      </c>
      <c r="S27" s="326"/>
      <c r="T27" s="325" t="s">
        <v>279</v>
      </c>
      <c r="U27" s="325">
        <f>LOOKUP(I3,T15:T25,U15:U25)</f>
        <v>1.41</v>
      </c>
      <c r="V27" s="325">
        <f>LOOKUP(I3,T15:T25,V15:V25)</f>
        <v>1.2</v>
      </c>
      <c r="W27" s="326"/>
      <c r="X27" s="326"/>
      <c r="AE27" s="325">
        <f t="shared" si="23"/>
        <v>14.16666666666667</v>
      </c>
      <c r="AF27" s="325">
        <f t="shared" si="24"/>
        <v>18.5</v>
      </c>
      <c r="AG27" s="324">
        <f t="shared" si="20"/>
        <v>229.58715972515597</v>
      </c>
      <c r="AI27" s="324">
        <f t="shared" si="2"/>
        <v>22.800000000000004</v>
      </c>
      <c r="AJ27" s="324">
        <f t="shared" si="18"/>
        <v>15.833333333333337</v>
      </c>
      <c r="AK27" s="324">
        <v>19.2</v>
      </c>
      <c r="AL27" s="324">
        <f t="shared" si="3"/>
        <v>19.850000000000001</v>
      </c>
      <c r="AM27" s="324">
        <v>20.5</v>
      </c>
      <c r="AN27" s="324">
        <f t="shared" si="4"/>
        <v>21.15</v>
      </c>
      <c r="AO27" s="324">
        <f t="shared" si="5"/>
        <v>21.8</v>
      </c>
      <c r="AP27" s="324">
        <f t="shared" si="6"/>
        <v>22.450000000000003</v>
      </c>
      <c r="AQ27" s="324">
        <f t="shared" si="7"/>
        <v>23.1</v>
      </c>
      <c r="AR27" s="322">
        <f t="shared" si="8"/>
        <v>23.750000000000004</v>
      </c>
      <c r="AT27" s="322">
        <f t="shared" si="9"/>
        <v>1.3000000000000007</v>
      </c>
      <c r="AU27" s="324">
        <f t="shared" si="10"/>
        <v>1.3000000000000007</v>
      </c>
      <c r="AV27" s="322">
        <f t="shared" si="11"/>
        <v>1.0677083333333335</v>
      </c>
      <c r="AW27" s="322">
        <f t="shared" si="12"/>
        <v>21.888020833333336</v>
      </c>
    </row>
    <row r="28" spans="2:49" ht="18.95" customHeight="1">
      <c r="B28" s="324">
        <f t="shared" si="1"/>
        <v>9.4444444444444456E-2</v>
      </c>
      <c r="C28" s="324">
        <f t="shared" si="0"/>
        <v>13.600000000000001</v>
      </c>
      <c r="E28" s="326"/>
      <c r="P28" s="325">
        <f t="shared" si="21"/>
        <v>15.000000000000004</v>
      </c>
      <c r="Q28" s="325">
        <f t="shared" si="22"/>
        <v>19.5</v>
      </c>
      <c r="R28" s="324">
        <f t="shared" si="19"/>
        <v>215.692840274844</v>
      </c>
      <c r="S28" s="326"/>
      <c r="W28" s="326"/>
      <c r="X28" s="326"/>
      <c r="AE28" s="325">
        <f t="shared" si="23"/>
        <v>15.000000000000004</v>
      </c>
      <c r="AF28" s="325">
        <f t="shared" si="24"/>
        <v>19.5</v>
      </c>
      <c r="AG28" s="324">
        <f t="shared" si="20"/>
        <v>228.58715972515597</v>
      </c>
      <c r="AI28" s="324">
        <f t="shared" si="2"/>
        <v>24.000000000000011</v>
      </c>
      <c r="AJ28" s="324">
        <f t="shared" si="18"/>
        <v>16.666666666666671</v>
      </c>
      <c r="AK28" s="324">
        <v>20.100000000000001</v>
      </c>
      <c r="AL28" s="324">
        <f t="shared" si="3"/>
        <v>20.8</v>
      </c>
      <c r="AM28" s="324">
        <v>21.5</v>
      </c>
      <c r="AN28" s="324">
        <f t="shared" si="4"/>
        <v>22.2</v>
      </c>
      <c r="AO28" s="324">
        <f t="shared" si="5"/>
        <v>22.9</v>
      </c>
      <c r="AP28" s="324">
        <f t="shared" si="6"/>
        <v>23.599999999999998</v>
      </c>
      <c r="AQ28" s="324">
        <f t="shared" si="7"/>
        <v>24.299999999999997</v>
      </c>
      <c r="AR28" s="322">
        <f t="shared" si="8"/>
        <v>24.999999999999996</v>
      </c>
      <c r="AT28" s="322">
        <f t="shared" si="9"/>
        <v>1.3999999999999986</v>
      </c>
      <c r="AU28" s="324">
        <f t="shared" si="10"/>
        <v>1.3999999999999986</v>
      </c>
      <c r="AV28" s="322">
        <f t="shared" si="11"/>
        <v>1.0696517412935322</v>
      </c>
      <c r="AW28" s="322">
        <f t="shared" si="12"/>
        <v>22.997512437810943</v>
      </c>
    </row>
    <row r="29" spans="2:49" ht="18.95" customHeight="1">
      <c r="B29" s="324">
        <f t="shared" si="1"/>
        <v>9.7222222222222238E-2</v>
      </c>
      <c r="C29" s="324">
        <f t="shared" si="0"/>
        <v>14.000000000000002</v>
      </c>
      <c r="F29" s="325">
        <v>1.5</v>
      </c>
      <c r="G29" s="325">
        <v>1.25</v>
      </c>
      <c r="I29" s="326"/>
      <c r="J29" s="326"/>
      <c r="P29" s="325">
        <f t="shared" si="21"/>
        <v>15.833333333333337</v>
      </c>
      <c r="Q29" s="325">
        <f t="shared" si="22"/>
        <v>20.5</v>
      </c>
      <c r="R29" s="324">
        <f t="shared" si="19"/>
        <v>214.692840274844</v>
      </c>
      <c r="S29" s="326"/>
      <c r="W29" s="326"/>
      <c r="X29" s="326"/>
      <c r="AE29" s="325">
        <f t="shared" si="23"/>
        <v>15.833333333333337</v>
      </c>
      <c r="AF29" s="325">
        <f t="shared" si="24"/>
        <v>20.5</v>
      </c>
      <c r="AG29" s="324">
        <f t="shared" si="20"/>
        <v>227.58715972515597</v>
      </c>
      <c r="AI29" s="324">
        <f t="shared" si="2"/>
        <v>25.200000000000003</v>
      </c>
      <c r="AJ29" s="324">
        <f t="shared" si="18"/>
        <v>17.500000000000004</v>
      </c>
      <c r="AK29" s="324">
        <v>21.1</v>
      </c>
      <c r="AL29" s="324">
        <f t="shared" si="3"/>
        <v>21.8</v>
      </c>
      <c r="AM29" s="324">
        <v>22.5</v>
      </c>
      <c r="AN29" s="324">
        <f t="shared" si="4"/>
        <v>23.2</v>
      </c>
      <c r="AO29" s="324">
        <f t="shared" si="5"/>
        <v>23.9</v>
      </c>
      <c r="AP29" s="324">
        <f t="shared" si="6"/>
        <v>24.599999999999998</v>
      </c>
      <c r="AQ29" s="324">
        <f t="shared" si="7"/>
        <v>25.299999999999997</v>
      </c>
      <c r="AR29" s="322">
        <f t="shared" si="8"/>
        <v>25.999999999999996</v>
      </c>
      <c r="AT29" s="322">
        <f t="shared" si="9"/>
        <v>1.3999999999999986</v>
      </c>
      <c r="AU29" s="324">
        <f t="shared" si="10"/>
        <v>1.3999999999999986</v>
      </c>
      <c r="AV29" s="322">
        <f t="shared" si="11"/>
        <v>1.066350710900474</v>
      </c>
      <c r="AW29" s="322">
        <f t="shared" si="12"/>
        <v>23.992890995260662</v>
      </c>
    </row>
    <row r="30" spans="2:49" ht="18.95" customHeight="1">
      <c r="B30" s="324">
        <f t="shared" si="1"/>
        <v>0.10000000000000002</v>
      </c>
      <c r="C30" s="324">
        <f t="shared" si="0"/>
        <v>14.400000000000002</v>
      </c>
      <c r="I30" s="326"/>
      <c r="J30" s="326"/>
      <c r="P30" s="325">
        <f t="shared" si="21"/>
        <v>16.666666666666671</v>
      </c>
      <c r="Q30" s="325">
        <f t="shared" si="22"/>
        <v>21.5</v>
      </c>
      <c r="R30" s="324">
        <f t="shared" si="19"/>
        <v>213.692840274844</v>
      </c>
      <c r="S30" s="326"/>
      <c r="W30" s="326"/>
      <c r="X30" s="326"/>
      <c r="AE30" s="325">
        <f t="shared" si="23"/>
        <v>16.666666666666671</v>
      </c>
      <c r="AF30" s="325">
        <f t="shared" si="24"/>
        <v>21.5</v>
      </c>
      <c r="AG30" s="324">
        <f t="shared" si="20"/>
        <v>226.58715972515597</v>
      </c>
      <c r="AI30" s="324">
        <f t="shared" si="2"/>
        <v>26.400000000000006</v>
      </c>
      <c r="AJ30" s="324">
        <f t="shared" si="18"/>
        <v>18.333333333333336</v>
      </c>
      <c r="AK30" s="324">
        <v>22</v>
      </c>
      <c r="AL30" s="324">
        <f t="shared" si="3"/>
        <v>22.75</v>
      </c>
      <c r="AM30" s="324">
        <v>23.5</v>
      </c>
      <c r="AN30" s="324">
        <f t="shared" si="4"/>
        <v>24.25</v>
      </c>
      <c r="AO30" s="324">
        <f t="shared" si="5"/>
        <v>25</v>
      </c>
      <c r="AP30" s="324">
        <f t="shared" si="6"/>
        <v>25.75</v>
      </c>
      <c r="AQ30" s="324">
        <f t="shared" si="7"/>
        <v>26.5</v>
      </c>
      <c r="AR30" s="322">
        <f t="shared" si="8"/>
        <v>27.25</v>
      </c>
      <c r="AT30" s="322">
        <f t="shared" si="9"/>
        <v>1.5</v>
      </c>
      <c r="AU30" s="324">
        <f t="shared" si="10"/>
        <v>1.5</v>
      </c>
      <c r="AV30" s="322">
        <f t="shared" si="11"/>
        <v>1.0681818181818181</v>
      </c>
      <c r="AW30" s="322">
        <f t="shared" si="12"/>
        <v>25.102272727272727</v>
      </c>
    </row>
    <row r="31" spans="2:49" ht="18.95" customHeight="1">
      <c r="B31" s="324">
        <f t="shared" si="1"/>
        <v>0.1027777777777778</v>
      </c>
      <c r="C31" s="324">
        <f t="shared" si="0"/>
        <v>14.800000000000004</v>
      </c>
      <c r="E31" s="326"/>
      <c r="I31" s="326"/>
      <c r="J31" s="326"/>
      <c r="P31" s="325">
        <f t="shared" si="21"/>
        <v>17.500000000000004</v>
      </c>
      <c r="Q31" s="325">
        <f t="shared" si="22"/>
        <v>22.5</v>
      </c>
      <c r="R31" s="324">
        <f t="shared" si="19"/>
        <v>212.692840274844</v>
      </c>
      <c r="S31" s="326"/>
      <c r="W31" s="326"/>
      <c r="X31" s="326"/>
      <c r="AE31" s="325">
        <f t="shared" si="23"/>
        <v>17.500000000000004</v>
      </c>
      <c r="AF31" s="325">
        <f t="shared" si="24"/>
        <v>22.5</v>
      </c>
      <c r="AG31" s="324">
        <f t="shared" si="20"/>
        <v>225.58715972515597</v>
      </c>
      <c r="AI31" s="324">
        <f t="shared" si="2"/>
        <v>27.6</v>
      </c>
      <c r="AJ31" s="324">
        <f t="shared" si="18"/>
        <v>19.166666666666668</v>
      </c>
      <c r="AK31" s="324">
        <v>22.9</v>
      </c>
      <c r="AL31" s="324">
        <f t="shared" si="3"/>
        <v>23.7</v>
      </c>
      <c r="AM31" s="324">
        <v>24.5</v>
      </c>
      <c r="AN31" s="324">
        <f t="shared" si="4"/>
        <v>25.3</v>
      </c>
      <c r="AO31" s="324">
        <f t="shared" si="5"/>
        <v>26.1</v>
      </c>
      <c r="AP31" s="324">
        <f t="shared" si="6"/>
        <v>26.900000000000002</v>
      </c>
      <c r="AQ31" s="324">
        <f t="shared" si="7"/>
        <v>27.700000000000003</v>
      </c>
      <c r="AR31" s="322">
        <f t="shared" si="8"/>
        <v>28.500000000000004</v>
      </c>
      <c r="AT31" s="322">
        <f t="shared" si="9"/>
        <v>1.6000000000000014</v>
      </c>
      <c r="AU31" s="324">
        <f t="shared" si="10"/>
        <v>1.6000000000000014</v>
      </c>
      <c r="AV31" s="322">
        <f t="shared" si="11"/>
        <v>1.0698689956331879</v>
      </c>
      <c r="AW31" s="322">
        <f t="shared" si="12"/>
        <v>26.211790393013104</v>
      </c>
    </row>
    <row r="32" spans="2:49" ht="18.95" customHeight="1">
      <c r="B32" s="324">
        <f t="shared" si="1"/>
        <v>0.10555555555555558</v>
      </c>
      <c r="C32" s="324">
        <f t="shared" si="0"/>
        <v>15.200000000000005</v>
      </c>
      <c r="E32" s="326"/>
      <c r="I32" s="326"/>
      <c r="J32" s="326"/>
      <c r="K32" s="326"/>
      <c r="P32" s="325">
        <f t="shared" si="21"/>
        <v>18.333333333333336</v>
      </c>
      <c r="Q32" s="325">
        <f t="shared" si="22"/>
        <v>23.5</v>
      </c>
      <c r="R32" s="324">
        <f t="shared" si="19"/>
        <v>211.692840274844</v>
      </c>
      <c r="S32" s="326"/>
      <c r="W32" s="326"/>
      <c r="X32" s="326"/>
      <c r="Y32" s="327"/>
      <c r="Z32" s="327"/>
      <c r="AE32" s="325">
        <f t="shared" si="23"/>
        <v>18.333333333333336</v>
      </c>
      <c r="AF32" s="325">
        <f t="shared" si="24"/>
        <v>23.5</v>
      </c>
      <c r="AG32" s="324">
        <f t="shared" si="20"/>
        <v>224.58715972515597</v>
      </c>
      <c r="AI32" s="324">
        <f t="shared" si="2"/>
        <v>28.8</v>
      </c>
      <c r="AJ32" s="324">
        <f t="shared" si="18"/>
        <v>20</v>
      </c>
      <c r="AK32" s="324">
        <v>23.8</v>
      </c>
      <c r="AL32" s="324">
        <f t="shared" si="3"/>
        <v>24.6</v>
      </c>
      <c r="AM32" s="324">
        <v>25.4</v>
      </c>
      <c r="AN32" s="324">
        <f t="shared" si="4"/>
        <v>26.199999999999996</v>
      </c>
      <c r="AO32" s="324">
        <f t="shared" si="5"/>
        <v>26.999999999999996</v>
      </c>
      <c r="AP32" s="324">
        <f t="shared" si="6"/>
        <v>27.799999999999997</v>
      </c>
      <c r="AQ32" s="324">
        <f t="shared" si="7"/>
        <v>28.599999999999994</v>
      </c>
      <c r="AR32" s="322">
        <f t="shared" si="8"/>
        <v>29.399999999999995</v>
      </c>
      <c r="AT32" s="322">
        <f t="shared" si="9"/>
        <v>1.5999999999999979</v>
      </c>
      <c r="AU32" s="324">
        <f t="shared" si="10"/>
        <v>1.5999999999999979</v>
      </c>
      <c r="AV32" s="322">
        <f t="shared" si="11"/>
        <v>1.0672268907563025</v>
      </c>
      <c r="AW32" s="322">
        <f t="shared" si="12"/>
        <v>27.107563025210084</v>
      </c>
    </row>
    <row r="33" spans="2:49" ht="18.95" customHeight="1">
      <c r="B33" s="324">
        <f t="shared" si="1"/>
        <v>0.10833333333333336</v>
      </c>
      <c r="C33" s="324">
        <f t="shared" si="0"/>
        <v>15.600000000000005</v>
      </c>
      <c r="E33" s="326"/>
      <c r="I33" s="326"/>
      <c r="J33" s="326"/>
      <c r="K33" s="326"/>
      <c r="P33" s="325">
        <f t="shared" si="21"/>
        <v>19.166666666666668</v>
      </c>
      <c r="Q33" s="325">
        <f t="shared" si="22"/>
        <v>24.5</v>
      </c>
      <c r="R33" s="324">
        <f t="shared" si="19"/>
        <v>210.692840274844</v>
      </c>
      <c r="S33" s="326"/>
      <c r="W33" s="326"/>
      <c r="X33" s="326"/>
      <c r="AE33" s="325">
        <f t="shared" si="23"/>
        <v>19.166666666666668</v>
      </c>
      <c r="AF33" s="325">
        <f t="shared" si="24"/>
        <v>24.5</v>
      </c>
      <c r="AG33" s="324">
        <f t="shared" si="20"/>
        <v>223.58715972515597</v>
      </c>
      <c r="AI33" s="324">
        <f t="shared" si="2"/>
        <v>30</v>
      </c>
      <c r="AJ33" s="324">
        <f t="shared" si="18"/>
        <v>20.833333333333332</v>
      </c>
      <c r="AK33" s="324">
        <v>24.7</v>
      </c>
      <c r="AL33" s="324">
        <f t="shared" si="3"/>
        <v>25.549999999999997</v>
      </c>
      <c r="AM33" s="324">
        <v>26.4</v>
      </c>
      <c r="AN33" s="324">
        <f t="shared" si="4"/>
        <v>27.25</v>
      </c>
      <c r="AO33" s="324">
        <f t="shared" si="5"/>
        <v>28.099999999999998</v>
      </c>
      <c r="AP33" s="324">
        <f t="shared" si="6"/>
        <v>28.949999999999996</v>
      </c>
      <c r="AQ33" s="324">
        <f t="shared" si="7"/>
        <v>29.799999999999997</v>
      </c>
      <c r="AR33" s="322">
        <f t="shared" si="8"/>
        <v>30.649999999999995</v>
      </c>
      <c r="AT33" s="322">
        <f t="shared" si="9"/>
        <v>1.6999999999999993</v>
      </c>
      <c r="AU33" s="324">
        <f t="shared" si="10"/>
        <v>1.6999999999999993</v>
      </c>
      <c r="AV33" s="322">
        <f t="shared" si="11"/>
        <v>1.068825910931174</v>
      </c>
      <c r="AW33" s="322">
        <f t="shared" si="12"/>
        <v>28.217004048582989</v>
      </c>
    </row>
    <row r="34" spans="2:49" ht="18.95" customHeight="1">
      <c r="B34" s="324">
        <f t="shared" si="1"/>
        <v>0.11111111111111115</v>
      </c>
      <c r="C34" s="324">
        <f t="shared" si="0"/>
        <v>16.000000000000004</v>
      </c>
      <c r="E34" s="326"/>
      <c r="F34" s="326"/>
      <c r="G34" s="326"/>
      <c r="H34" s="326"/>
      <c r="I34" s="326"/>
      <c r="J34" s="326"/>
      <c r="K34" s="326"/>
      <c r="P34" s="325">
        <f t="shared" si="21"/>
        <v>20</v>
      </c>
      <c r="Q34" s="325">
        <f t="shared" si="22"/>
        <v>25.4</v>
      </c>
      <c r="R34" s="324">
        <f t="shared" si="19"/>
        <v>209.792840274844</v>
      </c>
      <c r="S34" s="326"/>
      <c r="W34" s="326"/>
      <c r="X34" s="326"/>
      <c r="AE34" s="325">
        <f t="shared" si="23"/>
        <v>20</v>
      </c>
      <c r="AF34" s="325">
        <f t="shared" si="24"/>
        <v>25.4</v>
      </c>
      <c r="AG34" s="324">
        <f t="shared" si="20"/>
        <v>222.68715972515596</v>
      </c>
      <c r="AI34" s="324">
        <f t="shared" si="2"/>
        <v>31.199999999999996</v>
      </c>
      <c r="AJ34" s="324">
        <f t="shared" si="18"/>
        <v>21.666666666666664</v>
      </c>
      <c r="AK34" s="324">
        <v>25.6</v>
      </c>
      <c r="AL34" s="324">
        <f t="shared" si="3"/>
        <v>26.450000000000003</v>
      </c>
      <c r="AM34" s="324">
        <v>27.3</v>
      </c>
      <c r="AN34" s="324">
        <f t="shared" si="4"/>
        <v>28.15</v>
      </c>
      <c r="AO34" s="324">
        <f t="shared" si="5"/>
        <v>29</v>
      </c>
      <c r="AP34" s="324">
        <f t="shared" si="6"/>
        <v>29.85</v>
      </c>
      <c r="AQ34" s="324">
        <f t="shared" si="7"/>
        <v>30.7</v>
      </c>
      <c r="AR34" s="322">
        <f t="shared" si="8"/>
        <v>31.55</v>
      </c>
      <c r="AT34" s="322">
        <f t="shared" si="9"/>
        <v>1.6999999999999993</v>
      </c>
      <c r="AU34" s="324">
        <f t="shared" si="10"/>
        <v>1.6999999999999993</v>
      </c>
      <c r="AV34" s="322">
        <f t="shared" si="11"/>
        <v>1.06640625</v>
      </c>
      <c r="AW34" s="322">
        <f t="shared" si="12"/>
        <v>29.112890625000002</v>
      </c>
    </row>
    <row r="35" spans="2:49" ht="18.95" customHeight="1">
      <c r="B35" s="324">
        <f t="shared" si="1"/>
        <v>0.11388888888888893</v>
      </c>
      <c r="C35" s="324">
        <f t="shared" si="0"/>
        <v>16.400000000000006</v>
      </c>
      <c r="E35" s="326"/>
      <c r="I35" s="326"/>
      <c r="J35" s="326"/>
      <c r="K35" s="326"/>
      <c r="M35" s="326"/>
      <c r="N35" s="326"/>
      <c r="P35" s="325">
        <f t="shared" si="21"/>
        <v>20.833333333333332</v>
      </c>
      <c r="Q35" s="325">
        <f t="shared" si="22"/>
        <v>26.4</v>
      </c>
      <c r="R35" s="324">
        <f t="shared" si="19"/>
        <v>208.792840274844</v>
      </c>
      <c r="S35" s="326"/>
      <c r="W35" s="326"/>
      <c r="X35" s="326"/>
      <c r="AE35" s="325">
        <f t="shared" si="23"/>
        <v>20.833333333333332</v>
      </c>
      <c r="AF35" s="325">
        <f t="shared" si="24"/>
        <v>26.4</v>
      </c>
      <c r="AG35" s="324">
        <f t="shared" si="20"/>
        <v>221.68715972515596</v>
      </c>
      <c r="AI35" s="324">
        <f t="shared" si="2"/>
        <v>32.4</v>
      </c>
      <c r="AJ35" s="324">
        <f t="shared" si="18"/>
        <v>22.499999999999996</v>
      </c>
      <c r="AK35" s="324">
        <v>26.5</v>
      </c>
      <c r="AL35" s="324">
        <f t="shared" si="3"/>
        <v>27.4</v>
      </c>
      <c r="AM35" s="324">
        <v>28.3</v>
      </c>
      <c r="AN35" s="324">
        <f t="shared" si="4"/>
        <v>29.200000000000003</v>
      </c>
      <c r="AO35" s="324">
        <f t="shared" si="5"/>
        <v>30.1</v>
      </c>
      <c r="AP35" s="324">
        <f t="shared" si="6"/>
        <v>31</v>
      </c>
      <c r="AQ35" s="324">
        <f t="shared" si="7"/>
        <v>31.900000000000002</v>
      </c>
      <c r="AR35" s="322">
        <f t="shared" si="8"/>
        <v>32.799999999999997</v>
      </c>
      <c r="AT35" s="322">
        <f t="shared" si="9"/>
        <v>1.8000000000000007</v>
      </c>
      <c r="AU35" s="324">
        <f t="shared" si="10"/>
        <v>1.8000000000000007</v>
      </c>
      <c r="AV35" s="322">
        <f t="shared" si="11"/>
        <v>1.0679245283018868</v>
      </c>
      <c r="AW35" s="322">
        <f t="shared" si="12"/>
        <v>30.222264150943396</v>
      </c>
    </row>
    <row r="36" spans="2:49" ht="18.95" customHeight="1">
      <c r="B36" s="324">
        <f t="shared" si="1"/>
        <v>0.11666666666666671</v>
      </c>
      <c r="C36" s="324">
        <f t="shared" si="0"/>
        <v>16.800000000000008</v>
      </c>
      <c r="E36" s="326"/>
      <c r="F36" s="326"/>
      <c r="G36" s="326"/>
      <c r="H36" s="326"/>
      <c r="I36" s="326"/>
      <c r="J36" s="326"/>
      <c r="K36" s="326"/>
      <c r="M36" s="326"/>
      <c r="N36" s="326"/>
      <c r="P36" s="325">
        <f t="shared" si="21"/>
        <v>21.666666666666664</v>
      </c>
      <c r="Q36" s="325">
        <f t="shared" si="22"/>
        <v>27.3</v>
      </c>
      <c r="R36" s="324">
        <f t="shared" si="19"/>
        <v>207.89284027484399</v>
      </c>
      <c r="S36" s="326"/>
      <c r="T36" s="326"/>
      <c r="U36" s="326"/>
      <c r="V36" s="326"/>
      <c r="W36" s="326"/>
      <c r="X36" s="326"/>
      <c r="AA36" s="326"/>
      <c r="AE36" s="325">
        <f t="shared" si="23"/>
        <v>21.666666666666664</v>
      </c>
      <c r="AF36" s="325">
        <f t="shared" si="24"/>
        <v>27.3</v>
      </c>
      <c r="AG36" s="324">
        <f t="shared" si="20"/>
        <v>220.78715972515596</v>
      </c>
      <c r="AI36" s="324">
        <f t="shared" si="2"/>
        <v>33.599999999999994</v>
      </c>
      <c r="AJ36" s="324">
        <f t="shared" si="18"/>
        <v>23.333333333333329</v>
      </c>
      <c r="AK36" s="324">
        <v>27.4</v>
      </c>
      <c r="AL36" s="324">
        <f t="shared" si="3"/>
        <v>28.299999999999997</v>
      </c>
      <c r="AM36" s="324">
        <v>29.2</v>
      </c>
      <c r="AN36" s="324">
        <f t="shared" si="4"/>
        <v>30.1</v>
      </c>
      <c r="AO36" s="324">
        <f t="shared" si="5"/>
        <v>31</v>
      </c>
      <c r="AP36" s="324">
        <f t="shared" si="6"/>
        <v>31.9</v>
      </c>
      <c r="AQ36" s="324">
        <f t="shared" si="7"/>
        <v>32.799999999999997</v>
      </c>
      <c r="AR36" s="322">
        <f t="shared" si="8"/>
        <v>33.700000000000003</v>
      </c>
      <c r="AT36" s="322">
        <f t="shared" si="9"/>
        <v>1.8000000000000007</v>
      </c>
      <c r="AU36" s="324">
        <f t="shared" si="10"/>
        <v>1.8000000000000007</v>
      </c>
      <c r="AV36" s="322">
        <f t="shared" si="11"/>
        <v>1.0656934306569343</v>
      </c>
      <c r="AW36" s="322">
        <f t="shared" si="12"/>
        <v>31.118248175182483</v>
      </c>
    </row>
    <row r="37" spans="2:49" ht="18.95" customHeight="1">
      <c r="B37" s="324">
        <f t="shared" si="1"/>
        <v>0.11944444444444449</v>
      </c>
      <c r="C37" s="324">
        <f t="shared" si="0"/>
        <v>17.200000000000006</v>
      </c>
      <c r="E37" s="326"/>
      <c r="F37" s="326"/>
      <c r="G37" s="326"/>
      <c r="J37" s="326"/>
      <c r="K37" s="326"/>
      <c r="M37" s="326"/>
      <c r="N37" s="326"/>
      <c r="P37" s="325">
        <f t="shared" si="21"/>
        <v>22.499999999999996</v>
      </c>
      <c r="Q37" s="325">
        <f t="shared" si="22"/>
        <v>28.3</v>
      </c>
      <c r="R37" s="324">
        <f t="shared" si="19"/>
        <v>206.89284027484399</v>
      </c>
      <c r="S37" s="326"/>
      <c r="T37" s="326"/>
      <c r="U37" s="326"/>
      <c r="X37" s="326"/>
      <c r="AA37" s="326"/>
      <c r="AE37" s="325">
        <f t="shared" si="23"/>
        <v>22.499999999999996</v>
      </c>
      <c r="AF37" s="325">
        <f t="shared" si="24"/>
        <v>28.3</v>
      </c>
      <c r="AG37" s="324">
        <f t="shared" si="20"/>
        <v>219.78715972515596</v>
      </c>
      <c r="AI37" s="324">
        <f t="shared" si="2"/>
        <v>34.79999999999999</v>
      </c>
      <c r="AJ37" s="324">
        <f t="shared" si="18"/>
        <v>24.166666666666661</v>
      </c>
      <c r="AK37" s="324">
        <v>28.2</v>
      </c>
      <c r="AL37" s="324">
        <f t="shared" si="3"/>
        <v>29.15</v>
      </c>
      <c r="AM37" s="324">
        <v>30.1</v>
      </c>
      <c r="AN37" s="324">
        <f t="shared" si="4"/>
        <v>31.05</v>
      </c>
      <c r="AO37" s="324">
        <f t="shared" si="5"/>
        <v>32</v>
      </c>
      <c r="AP37" s="324">
        <f t="shared" si="6"/>
        <v>32.950000000000003</v>
      </c>
      <c r="AQ37" s="324">
        <f t="shared" si="7"/>
        <v>33.900000000000006</v>
      </c>
      <c r="AR37" s="322">
        <f t="shared" si="8"/>
        <v>34.850000000000009</v>
      </c>
      <c r="AT37" s="322">
        <f t="shared" si="9"/>
        <v>1.9000000000000021</v>
      </c>
      <c r="AU37" s="324">
        <f t="shared" si="10"/>
        <v>1.9000000000000021</v>
      </c>
      <c r="AV37" s="322">
        <f t="shared" si="11"/>
        <v>1.0673758865248228</v>
      </c>
      <c r="AW37" s="322">
        <f t="shared" si="12"/>
        <v>32.128014184397166</v>
      </c>
    </row>
    <row r="38" spans="2:49" ht="18.95" customHeight="1">
      <c r="B38" s="324">
        <f t="shared" si="1"/>
        <v>0.12222222222222227</v>
      </c>
      <c r="C38" s="324">
        <f t="shared" si="0"/>
        <v>17.600000000000009</v>
      </c>
      <c r="E38" s="326"/>
      <c r="F38" s="326"/>
      <c r="G38" s="326"/>
      <c r="J38" s="326"/>
      <c r="K38" s="326"/>
      <c r="M38" s="326"/>
      <c r="N38" s="326"/>
      <c r="P38" s="325">
        <f t="shared" si="21"/>
        <v>23.333333333333329</v>
      </c>
      <c r="Q38" s="325">
        <f t="shared" si="22"/>
        <v>29.2</v>
      </c>
      <c r="R38" s="324">
        <f t="shared" si="19"/>
        <v>205.99284027484401</v>
      </c>
      <c r="S38" s="326"/>
      <c r="T38" s="326"/>
      <c r="U38" s="326"/>
      <c r="X38" s="326"/>
      <c r="AA38" s="326"/>
      <c r="AE38" s="325">
        <f t="shared" si="23"/>
        <v>23.333333333333329</v>
      </c>
      <c r="AF38" s="325">
        <f t="shared" si="24"/>
        <v>29.2</v>
      </c>
      <c r="AG38" s="324">
        <f t="shared" si="20"/>
        <v>218.88715972515598</v>
      </c>
      <c r="AI38" s="324">
        <f t="shared" si="2"/>
        <v>35.999999999999993</v>
      </c>
      <c r="AJ38" s="324">
        <f t="shared" si="18"/>
        <v>24.999999999999993</v>
      </c>
      <c r="AK38" s="324">
        <v>29.1</v>
      </c>
      <c r="AL38" s="324">
        <f t="shared" si="3"/>
        <v>30.05</v>
      </c>
      <c r="AM38" s="324">
        <v>31</v>
      </c>
      <c r="AN38" s="324">
        <f t="shared" si="4"/>
        <v>31.95</v>
      </c>
      <c r="AO38" s="324">
        <f t="shared" si="5"/>
        <v>32.9</v>
      </c>
      <c r="AP38" s="324">
        <f t="shared" si="6"/>
        <v>33.849999999999994</v>
      </c>
      <c r="AQ38" s="324">
        <f t="shared" si="7"/>
        <v>34.799999999999997</v>
      </c>
      <c r="AR38" s="322">
        <f t="shared" si="8"/>
        <v>35.749999999999993</v>
      </c>
      <c r="AT38" s="322">
        <f t="shared" si="9"/>
        <v>1.8999999999999986</v>
      </c>
      <c r="AU38" s="324">
        <f t="shared" si="10"/>
        <v>1.8999999999999986</v>
      </c>
      <c r="AV38" s="322">
        <f t="shared" si="11"/>
        <v>1.0652920962199313</v>
      </c>
      <c r="AW38" s="322">
        <f t="shared" si="12"/>
        <v>33.024054982817866</v>
      </c>
    </row>
    <row r="39" spans="2:49" ht="18.95" customHeight="1">
      <c r="B39" s="324">
        <f t="shared" si="1"/>
        <v>0.12500000000000006</v>
      </c>
      <c r="C39" s="324">
        <f t="shared" si="0"/>
        <v>18.000000000000007</v>
      </c>
      <c r="E39" s="326"/>
      <c r="F39" s="326"/>
      <c r="G39" s="326"/>
      <c r="J39" s="326"/>
      <c r="K39" s="326"/>
      <c r="M39" s="326"/>
      <c r="N39" s="326"/>
      <c r="P39" s="325">
        <f t="shared" si="21"/>
        <v>24.166666666666661</v>
      </c>
      <c r="Q39" s="325">
        <f t="shared" si="22"/>
        <v>30.1</v>
      </c>
      <c r="R39" s="324">
        <f t="shared" si="19"/>
        <v>205.09284027484401</v>
      </c>
      <c r="S39" s="326"/>
      <c r="T39" s="326"/>
      <c r="U39" s="326"/>
      <c r="X39" s="326"/>
      <c r="AA39" s="326"/>
      <c r="AE39" s="325">
        <f t="shared" si="23"/>
        <v>24.166666666666661</v>
      </c>
      <c r="AF39" s="325">
        <f t="shared" si="24"/>
        <v>30.1</v>
      </c>
      <c r="AG39" s="324">
        <f t="shared" si="20"/>
        <v>217.98715972515598</v>
      </c>
      <c r="AI39" s="324">
        <f t="shared" si="2"/>
        <v>37.199999999999989</v>
      </c>
      <c r="AJ39" s="324">
        <f t="shared" si="18"/>
        <v>25.833333333333325</v>
      </c>
      <c r="AK39" s="324">
        <v>30</v>
      </c>
      <c r="AL39" s="324">
        <f t="shared" si="3"/>
        <v>30.95</v>
      </c>
      <c r="AM39" s="324">
        <v>31.9</v>
      </c>
      <c r="AN39" s="324">
        <f t="shared" si="4"/>
        <v>32.849999999999994</v>
      </c>
      <c r="AO39" s="324">
        <f t="shared" si="5"/>
        <v>33.799999999999997</v>
      </c>
      <c r="AP39" s="324">
        <f t="shared" si="6"/>
        <v>34.75</v>
      </c>
      <c r="AQ39" s="324">
        <f t="shared" si="7"/>
        <v>35.699999999999996</v>
      </c>
      <c r="AR39" s="322">
        <f t="shared" si="8"/>
        <v>36.65</v>
      </c>
      <c r="AT39" s="322">
        <f t="shared" si="9"/>
        <v>1.8999999999999986</v>
      </c>
      <c r="AU39" s="324">
        <f t="shared" si="10"/>
        <v>1.8999999999999986</v>
      </c>
      <c r="AV39" s="322">
        <f t="shared" si="11"/>
        <v>1.0633333333333332</v>
      </c>
      <c r="AW39" s="322">
        <f t="shared" si="12"/>
        <v>33.920333333333332</v>
      </c>
    </row>
    <row r="40" spans="2:49" ht="18.95" customHeight="1">
      <c r="B40" s="324">
        <f t="shared" si="1"/>
        <v>0.12777777777777782</v>
      </c>
      <c r="C40" s="324">
        <f t="shared" si="0"/>
        <v>18.400000000000006</v>
      </c>
      <c r="E40" s="326"/>
      <c r="F40" s="326"/>
      <c r="G40" s="326"/>
      <c r="J40" s="326"/>
      <c r="K40" s="326"/>
      <c r="M40" s="326"/>
      <c r="N40" s="326"/>
      <c r="P40" s="325">
        <f t="shared" si="21"/>
        <v>24.999999999999993</v>
      </c>
      <c r="Q40" s="325">
        <f t="shared" si="22"/>
        <v>31</v>
      </c>
      <c r="R40" s="324">
        <f t="shared" si="19"/>
        <v>204.192840274844</v>
      </c>
      <c r="S40" s="326"/>
      <c r="T40" s="326"/>
      <c r="U40" s="326"/>
      <c r="X40" s="326"/>
      <c r="AA40" s="326"/>
      <c r="AE40" s="325">
        <f t="shared" si="23"/>
        <v>24.999999999999993</v>
      </c>
      <c r="AF40" s="325">
        <f t="shared" si="24"/>
        <v>31</v>
      </c>
      <c r="AG40" s="324">
        <f t="shared" si="20"/>
        <v>217.08715972515597</v>
      </c>
      <c r="AI40" s="324">
        <f t="shared" si="2"/>
        <v>38.399999999999984</v>
      </c>
      <c r="AJ40" s="324">
        <f t="shared" si="18"/>
        <v>26.666666666666657</v>
      </c>
      <c r="AK40" s="324">
        <v>30.8</v>
      </c>
      <c r="AL40" s="324">
        <f t="shared" si="3"/>
        <v>31.799999999999997</v>
      </c>
      <c r="AM40" s="324">
        <v>32.799999999999997</v>
      </c>
      <c r="AN40" s="324">
        <f t="shared" si="4"/>
        <v>33.799999999999997</v>
      </c>
      <c r="AO40" s="324">
        <f t="shared" si="5"/>
        <v>34.799999999999997</v>
      </c>
      <c r="AP40" s="324">
        <f t="shared" si="6"/>
        <v>35.799999999999997</v>
      </c>
      <c r="AQ40" s="324">
        <f t="shared" si="7"/>
        <v>36.799999999999997</v>
      </c>
      <c r="AR40" s="322">
        <f t="shared" si="8"/>
        <v>37.799999999999997</v>
      </c>
      <c r="AT40" s="322">
        <f t="shared" si="9"/>
        <v>1.9999999999999964</v>
      </c>
      <c r="AU40" s="324">
        <f t="shared" si="10"/>
        <v>1.9999999999999964</v>
      </c>
      <c r="AV40" s="322">
        <f t="shared" si="11"/>
        <v>1.0649350649350648</v>
      </c>
      <c r="AW40" s="322">
        <f t="shared" si="12"/>
        <v>34.929870129870125</v>
      </c>
    </row>
    <row r="41" spans="2:49" ht="18.95" customHeight="1">
      <c r="B41" s="324">
        <f t="shared" si="1"/>
        <v>0.13055555555555559</v>
      </c>
      <c r="C41" s="324">
        <f t="shared" si="0"/>
        <v>18.800000000000004</v>
      </c>
      <c r="E41" s="326"/>
      <c r="F41" s="326"/>
      <c r="G41" s="326"/>
      <c r="J41" s="326"/>
      <c r="K41" s="326"/>
      <c r="M41" s="326"/>
      <c r="N41" s="326"/>
      <c r="P41" s="325">
        <f t="shared" si="21"/>
        <v>25.833333333333325</v>
      </c>
      <c r="Q41" s="325">
        <f t="shared" si="22"/>
        <v>31.9</v>
      </c>
      <c r="R41" s="324">
        <f t="shared" si="19"/>
        <v>203.292840274844</v>
      </c>
      <c r="S41" s="326"/>
      <c r="T41" s="326"/>
      <c r="U41" s="326"/>
      <c r="X41" s="326"/>
      <c r="AA41" s="326"/>
      <c r="AE41" s="325">
        <f t="shared" si="23"/>
        <v>25.833333333333325</v>
      </c>
      <c r="AF41" s="325">
        <f t="shared" si="24"/>
        <v>31.9</v>
      </c>
      <c r="AG41" s="324">
        <f t="shared" si="20"/>
        <v>216.18715972515596</v>
      </c>
      <c r="AI41" s="324">
        <f t="shared" si="2"/>
        <v>39.599999999999987</v>
      </c>
      <c r="AJ41" s="324">
        <f t="shared" si="18"/>
        <v>27.499999999999989</v>
      </c>
      <c r="AK41" s="324">
        <v>31.7</v>
      </c>
      <c r="AL41" s="324">
        <f t="shared" si="3"/>
        <v>32.700000000000003</v>
      </c>
      <c r="AM41" s="324">
        <v>33.700000000000003</v>
      </c>
      <c r="AN41" s="324">
        <f t="shared" si="4"/>
        <v>34.700000000000003</v>
      </c>
      <c r="AO41" s="324">
        <f t="shared" si="5"/>
        <v>35.700000000000003</v>
      </c>
      <c r="AP41" s="324">
        <f t="shared" si="6"/>
        <v>36.700000000000003</v>
      </c>
      <c r="AQ41" s="324">
        <f t="shared" si="7"/>
        <v>37.700000000000003</v>
      </c>
      <c r="AR41" s="322">
        <f t="shared" si="8"/>
        <v>38.700000000000003</v>
      </c>
      <c r="AT41" s="322">
        <f t="shared" si="9"/>
        <v>2.0000000000000036</v>
      </c>
      <c r="AU41" s="324">
        <f t="shared" si="10"/>
        <v>2.0000000000000036</v>
      </c>
      <c r="AV41" s="322">
        <f t="shared" si="11"/>
        <v>1.0630914826498423</v>
      </c>
      <c r="AW41" s="322">
        <f t="shared" si="12"/>
        <v>35.826182965299687</v>
      </c>
    </row>
    <row r="42" spans="2:49" ht="18.95" customHeight="1">
      <c r="B42" s="324">
        <f t="shared" si="1"/>
        <v>0.13333333333333336</v>
      </c>
      <c r="C42" s="324">
        <f t="shared" si="0"/>
        <v>19.200000000000003</v>
      </c>
      <c r="E42" s="326"/>
      <c r="F42" s="326"/>
      <c r="G42" s="326"/>
      <c r="J42" s="326"/>
      <c r="K42" s="326"/>
      <c r="M42" s="326"/>
      <c r="N42" s="326"/>
      <c r="P42" s="325">
        <f t="shared" si="21"/>
        <v>26.666666666666657</v>
      </c>
      <c r="Q42" s="325">
        <f t="shared" si="22"/>
        <v>32.799999999999997</v>
      </c>
      <c r="R42" s="324">
        <f t="shared" si="19"/>
        <v>202.39284027484399</v>
      </c>
      <c r="S42" s="326"/>
      <c r="T42" s="326"/>
      <c r="U42" s="326"/>
      <c r="X42" s="326"/>
      <c r="AA42" s="326"/>
      <c r="AE42" s="325">
        <f t="shared" si="23"/>
        <v>26.666666666666657</v>
      </c>
      <c r="AF42" s="325">
        <f t="shared" si="24"/>
        <v>32.799999999999997</v>
      </c>
      <c r="AG42" s="324">
        <f t="shared" si="20"/>
        <v>215.28715972515596</v>
      </c>
      <c r="AI42" s="324">
        <f t="shared" si="2"/>
        <v>40.799999999999983</v>
      </c>
      <c r="AJ42" s="324">
        <f t="shared" si="18"/>
        <v>28.333333333333321</v>
      </c>
      <c r="AK42" s="324">
        <v>32.5</v>
      </c>
      <c r="AL42" s="324">
        <f t="shared" si="3"/>
        <v>33.549999999999997</v>
      </c>
      <c r="AM42" s="324">
        <v>34.6</v>
      </c>
      <c r="AN42" s="324">
        <f t="shared" si="4"/>
        <v>35.650000000000006</v>
      </c>
      <c r="AO42" s="324">
        <f t="shared" si="5"/>
        <v>36.700000000000003</v>
      </c>
      <c r="AP42" s="324">
        <f t="shared" si="6"/>
        <v>37.75</v>
      </c>
      <c r="AQ42" s="324">
        <f t="shared" si="7"/>
        <v>38.800000000000004</v>
      </c>
      <c r="AR42" s="322">
        <f t="shared" si="8"/>
        <v>39.85</v>
      </c>
      <c r="AT42" s="322">
        <f t="shared" si="9"/>
        <v>2.1000000000000014</v>
      </c>
      <c r="AU42" s="324">
        <f t="shared" si="10"/>
        <v>2.1000000000000014</v>
      </c>
      <c r="AV42" s="322">
        <f t="shared" si="11"/>
        <v>1.0646153846153847</v>
      </c>
      <c r="AW42" s="322">
        <f t="shared" si="12"/>
        <v>36.835692307692312</v>
      </c>
    </row>
    <row r="43" spans="2:49" ht="18.95" customHeight="1">
      <c r="B43" s="324">
        <f t="shared" si="1"/>
        <v>0.13611111111111113</v>
      </c>
      <c r="C43" s="324">
        <f t="shared" si="0"/>
        <v>19.600000000000001</v>
      </c>
      <c r="E43" s="326"/>
      <c r="F43" s="326"/>
      <c r="G43" s="326"/>
      <c r="J43" s="326"/>
      <c r="K43" s="326"/>
      <c r="M43" s="326"/>
      <c r="N43" s="326"/>
      <c r="P43" s="325">
        <f t="shared" si="21"/>
        <v>27.499999999999989</v>
      </c>
      <c r="Q43" s="325">
        <f t="shared" si="22"/>
        <v>33.700000000000003</v>
      </c>
      <c r="R43" s="324">
        <f t="shared" si="19"/>
        <v>201.49284027484401</v>
      </c>
      <c r="S43" s="326"/>
      <c r="T43" s="326"/>
      <c r="U43" s="326"/>
      <c r="X43" s="326"/>
      <c r="AA43" s="326"/>
      <c r="AE43" s="325">
        <f t="shared" si="23"/>
        <v>27.499999999999989</v>
      </c>
      <c r="AF43" s="325">
        <f t="shared" si="24"/>
        <v>33.700000000000003</v>
      </c>
      <c r="AG43" s="324">
        <f t="shared" si="20"/>
        <v>214.38715972515598</v>
      </c>
      <c r="AI43" s="324">
        <f t="shared" si="2"/>
        <v>41.999999999999979</v>
      </c>
      <c r="AJ43" s="324">
        <f t="shared" si="18"/>
        <v>29.166666666666654</v>
      </c>
      <c r="AK43" s="324">
        <v>33.299999999999997</v>
      </c>
      <c r="AL43" s="324">
        <f t="shared" si="3"/>
        <v>34.4</v>
      </c>
      <c r="AM43" s="324">
        <v>35.5</v>
      </c>
      <c r="AN43" s="324">
        <f t="shared" si="4"/>
        <v>36.6</v>
      </c>
      <c r="AO43" s="324">
        <f t="shared" si="5"/>
        <v>37.700000000000003</v>
      </c>
      <c r="AP43" s="324">
        <f t="shared" si="6"/>
        <v>38.800000000000004</v>
      </c>
      <c r="AQ43" s="324">
        <f t="shared" si="7"/>
        <v>39.900000000000006</v>
      </c>
      <c r="AR43" s="322">
        <f t="shared" si="8"/>
        <v>41.000000000000007</v>
      </c>
      <c r="AT43" s="322">
        <f t="shared" si="9"/>
        <v>2.2000000000000028</v>
      </c>
      <c r="AU43" s="324">
        <f t="shared" si="10"/>
        <v>2.2000000000000028</v>
      </c>
      <c r="AV43" s="322">
        <f t="shared" si="11"/>
        <v>1.0660660660660661</v>
      </c>
      <c r="AW43" s="322">
        <f t="shared" si="12"/>
        <v>37.845345345345351</v>
      </c>
    </row>
    <row r="44" spans="2:49" ht="18.95" customHeight="1">
      <c r="B44" s="324">
        <f t="shared" si="1"/>
        <v>0.1388888888888889</v>
      </c>
      <c r="C44" s="324">
        <f t="shared" si="0"/>
        <v>20</v>
      </c>
      <c r="E44" s="326"/>
      <c r="F44" s="326"/>
      <c r="G44" s="326"/>
      <c r="J44" s="326"/>
      <c r="K44" s="326"/>
      <c r="M44" s="326"/>
      <c r="N44" s="326"/>
      <c r="P44" s="325">
        <f t="shared" si="21"/>
        <v>28.333333333333321</v>
      </c>
      <c r="Q44" s="325">
        <f t="shared" si="22"/>
        <v>34.6</v>
      </c>
      <c r="R44" s="324">
        <f t="shared" si="19"/>
        <v>200.59284027484401</v>
      </c>
      <c r="S44" s="326"/>
      <c r="T44" s="326"/>
      <c r="U44" s="326"/>
      <c r="X44" s="326"/>
      <c r="AA44" s="326"/>
      <c r="AE44" s="325">
        <f t="shared" si="23"/>
        <v>28.333333333333321</v>
      </c>
      <c r="AF44" s="325">
        <f t="shared" si="24"/>
        <v>34.6</v>
      </c>
      <c r="AG44" s="324">
        <f t="shared" si="20"/>
        <v>213.48715972515598</v>
      </c>
      <c r="AI44" s="324">
        <f t="shared" si="2"/>
        <v>43.199999999999982</v>
      </c>
      <c r="AJ44" s="324">
        <f t="shared" si="18"/>
        <v>29.999999999999986</v>
      </c>
      <c r="AK44" s="324">
        <v>34.200000000000003</v>
      </c>
      <c r="AL44" s="324">
        <f t="shared" si="3"/>
        <v>35.299999999999997</v>
      </c>
      <c r="AM44" s="324">
        <v>36.4</v>
      </c>
      <c r="AN44" s="324">
        <f t="shared" si="4"/>
        <v>37.5</v>
      </c>
      <c r="AO44" s="324">
        <f t="shared" si="5"/>
        <v>38.599999999999994</v>
      </c>
      <c r="AP44" s="324">
        <f t="shared" si="6"/>
        <v>39.699999999999989</v>
      </c>
      <c r="AQ44" s="324">
        <f t="shared" si="7"/>
        <v>40.79999999999999</v>
      </c>
      <c r="AR44" s="322">
        <f t="shared" si="8"/>
        <v>41.899999999999984</v>
      </c>
      <c r="AT44" s="322">
        <f t="shared" si="9"/>
        <v>2.1999999999999957</v>
      </c>
      <c r="AU44" s="324">
        <f t="shared" si="10"/>
        <v>2.1999999999999957</v>
      </c>
      <c r="AV44" s="322">
        <f t="shared" si="11"/>
        <v>1.0643274853801168</v>
      </c>
      <c r="AW44" s="322">
        <f t="shared" si="12"/>
        <v>38.741520467836253</v>
      </c>
    </row>
    <row r="45" spans="2:49" ht="18.95" customHeight="1">
      <c r="B45" s="324">
        <f t="shared" si="1"/>
        <v>0.14166666666666666</v>
      </c>
      <c r="C45" s="324">
        <f t="shared" si="0"/>
        <v>20.399999999999999</v>
      </c>
      <c r="E45" s="326"/>
      <c r="F45" s="326"/>
      <c r="G45" s="326"/>
      <c r="J45" s="326"/>
      <c r="K45" s="326"/>
      <c r="M45" s="326"/>
      <c r="N45" s="326"/>
      <c r="P45" s="325">
        <f t="shared" si="21"/>
        <v>29.166666666666654</v>
      </c>
      <c r="Q45" s="325">
        <f t="shared" si="22"/>
        <v>35.5</v>
      </c>
      <c r="R45" s="324">
        <f t="shared" si="19"/>
        <v>199.692840274844</v>
      </c>
      <c r="S45" s="326"/>
      <c r="T45" s="326"/>
      <c r="U45" s="326"/>
      <c r="X45" s="326"/>
      <c r="Y45" s="327"/>
      <c r="Z45" s="327"/>
      <c r="AA45" s="326"/>
      <c r="AE45" s="325">
        <f t="shared" si="23"/>
        <v>29.166666666666654</v>
      </c>
      <c r="AF45" s="325">
        <f t="shared" si="24"/>
        <v>35.5</v>
      </c>
      <c r="AG45" s="324">
        <f t="shared" si="20"/>
        <v>212.58715972515597</v>
      </c>
      <c r="AI45" s="324">
        <f t="shared" si="2"/>
        <v>44.399999999999984</v>
      </c>
      <c r="AJ45" s="324">
        <f t="shared" si="18"/>
        <v>30.833333333333318</v>
      </c>
      <c r="AK45" s="324">
        <v>35</v>
      </c>
      <c r="AL45" s="324">
        <f t="shared" si="3"/>
        <v>36.1</v>
      </c>
      <c r="AM45" s="324">
        <v>37.200000000000003</v>
      </c>
      <c r="AN45" s="324">
        <f t="shared" si="4"/>
        <v>38.300000000000004</v>
      </c>
      <c r="AO45" s="324">
        <f t="shared" si="5"/>
        <v>39.400000000000006</v>
      </c>
      <c r="AP45" s="324">
        <f t="shared" si="6"/>
        <v>40.500000000000007</v>
      </c>
      <c r="AQ45" s="324">
        <f t="shared" si="7"/>
        <v>41.600000000000009</v>
      </c>
      <c r="AR45" s="322">
        <f t="shared" si="8"/>
        <v>42.70000000000001</v>
      </c>
      <c r="AT45" s="322">
        <f t="shared" si="9"/>
        <v>2.2000000000000028</v>
      </c>
      <c r="AU45" s="324">
        <f t="shared" si="10"/>
        <v>2.2000000000000028</v>
      </c>
      <c r="AV45" s="322">
        <f t="shared" si="11"/>
        <v>1.0628571428571429</v>
      </c>
      <c r="AW45" s="322">
        <f t="shared" si="12"/>
        <v>39.53828571428572</v>
      </c>
    </row>
    <row r="46" spans="2:49" ht="18.95" customHeight="1">
      <c r="B46" s="324">
        <f t="shared" si="1"/>
        <v>0.14444444444444443</v>
      </c>
      <c r="C46" s="324">
        <f t="shared" si="0"/>
        <v>20.799999999999997</v>
      </c>
      <c r="E46" s="326"/>
      <c r="F46" s="326"/>
      <c r="G46" s="326"/>
      <c r="J46" s="326"/>
      <c r="K46" s="326"/>
      <c r="M46" s="326"/>
      <c r="N46" s="326"/>
      <c r="P46" s="325">
        <f t="shared" si="21"/>
        <v>29.999999999999986</v>
      </c>
      <c r="Q46" s="325">
        <f t="shared" si="22"/>
        <v>36.4</v>
      </c>
      <c r="R46" s="324">
        <f t="shared" si="19"/>
        <v>198.792840274844</v>
      </c>
      <c r="S46" s="326"/>
      <c r="T46" s="326"/>
      <c r="U46" s="326"/>
      <c r="X46" s="326"/>
      <c r="Y46" s="327"/>
      <c r="Z46" s="327"/>
      <c r="AA46" s="326"/>
      <c r="AE46" s="325">
        <f t="shared" si="23"/>
        <v>29.999999999999986</v>
      </c>
      <c r="AF46" s="325">
        <f t="shared" si="24"/>
        <v>36.4</v>
      </c>
      <c r="AG46" s="324">
        <f t="shared" si="20"/>
        <v>211.68715972515596</v>
      </c>
      <c r="AI46" s="324">
        <f t="shared" si="2"/>
        <v>45.599999999999973</v>
      </c>
      <c r="AJ46" s="324">
        <f t="shared" si="18"/>
        <v>31.66666666666665</v>
      </c>
      <c r="AK46" s="324">
        <v>35.799999999999997</v>
      </c>
      <c r="AL46" s="324">
        <f t="shared" si="3"/>
        <v>36.950000000000003</v>
      </c>
      <c r="AM46" s="324">
        <v>38.1</v>
      </c>
      <c r="AN46" s="324">
        <f t="shared" si="4"/>
        <v>39.25</v>
      </c>
      <c r="AO46" s="324">
        <f t="shared" si="5"/>
        <v>40.400000000000006</v>
      </c>
      <c r="AP46" s="324">
        <f t="shared" si="6"/>
        <v>41.550000000000011</v>
      </c>
      <c r="AQ46" s="324">
        <f t="shared" si="7"/>
        <v>42.70000000000001</v>
      </c>
      <c r="AR46" s="322">
        <f t="shared" si="8"/>
        <v>43.850000000000016</v>
      </c>
      <c r="AT46" s="322">
        <f t="shared" si="9"/>
        <v>2.3000000000000043</v>
      </c>
      <c r="AU46" s="324">
        <f t="shared" si="10"/>
        <v>2.3000000000000043</v>
      </c>
      <c r="AV46" s="322">
        <f t="shared" si="11"/>
        <v>1.064245810055866</v>
      </c>
      <c r="AW46" s="322">
        <f t="shared" si="12"/>
        <v>40.547765363128498</v>
      </c>
    </row>
    <row r="47" spans="2:49" ht="18.95" customHeight="1">
      <c r="B47" s="324">
        <f t="shared" si="1"/>
        <v>0.1472222222222222</v>
      </c>
      <c r="C47" s="324">
        <f t="shared" si="0"/>
        <v>21.199999999999996</v>
      </c>
      <c r="E47" s="326"/>
      <c r="F47" s="326"/>
      <c r="G47" s="326"/>
      <c r="J47" s="326"/>
      <c r="K47" s="326"/>
      <c r="M47" s="326"/>
      <c r="N47" s="326"/>
      <c r="P47" s="325">
        <f t="shared" si="21"/>
        <v>30.833333333333318</v>
      </c>
      <c r="Q47" s="325">
        <f t="shared" si="22"/>
        <v>37.200000000000003</v>
      </c>
      <c r="R47" s="324">
        <f t="shared" si="19"/>
        <v>197.99284027484401</v>
      </c>
      <c r="S47" s="326"/>
      <c r="T47" s="326"/>
      <c r="U47" s="326"/>
      <c r="X47" s="326"/>
      <c r="Y47" s="327"/>
      <c r="Z47" s="327"/>
      <c r="AA47" s="326"/>
      <c r="AE47" s="325">
        <f t="shared" si="23"/>
        <v>30.833333333333318</v>
      </c>
      <c r="AF47" s="325">
        <f t="shared" si="24"/>
        <v>37.200000000000003</v>
      </c>
      <c r="AG47" s="324">
        <f t="shared" si="20"/>
        <v>210.88715972515598</v>
      </c>
      <c r="AI47" s="324">
        <f t="shared" si="2"/>
        <v>46.799999999999983</v>
      </c>
      <c r="AJ47" s="324">
        <f t="shared" si="18"/>
        <v>32.499999999999986</v>
      </c>
      <c r="AK47" s="324">
        <v>36.6</v>
      </c>
      <c r="AL47" s="324">
        <f t="shared" si="3"/>
        <v>37.799999999999997</v>
      </c>
      <c r="AM47" s="324">
        <v>39</v>
      </c>
      <c r="AN47" s="324">
        <f t="shared" si="4"/>
        <v>40.200000000000003</v>
      </c>
      <c r="AO47" s="324">
        <f t="shared" si="5"/>
        <v>41.4</v>
      </c>
      <c r="AP47" s="324">
        <f t="shared" si="6"/>
        <v>42.599999999999994</v>
      </c>
      <c r="AQ47" s="324">
        <f t="shared" si="7"/>
        <v>43.8</v>
      </c>
      <c r="AR47" s="322">
        <f t="shared" si="8"/>
        <v>44.999999999999993</v>
      </c>
      <c r="AT47" s="322">
        <f t="shared" si="9"/>
        <v>2.3999999999999986</v>
      </c>
      <c r="AU47" s="324">
        <f t="shared" si="10"/>
        <v>2.3999999999999986</v>
      </c>
      <c r="AV47" s="322">
        <f t="shared" si="11"/>
        <v>1.0655737704918031</v>
      </c>
      <c r="AW47" s="322">
        <f t="shared" si="12"/>
        <v>41.557377049180324</v>
      </c>
    </row>
    <row r="48" spans="2:49" ht="18.95" customHeight="1">
      <c r="B48" s="324">
        <f t="shared" si="1"/>
        <v>0.14999999999999997</v>
      </c>
      <c r="C48" s="324">
        <f t="shared" si="0"/>
        <v>21.599999999999994</v>
      </c>
      <c r="E48" s="326"/>
      <c r="F48" s="326"/>
      <c r="G48" s="326"/>
      <c r="J48" s="326"/>
      <c r="K48" s="326"/>
      <c r="M48" s="326"/>
      <c r="N48" s="326"/>
      <c r="P48" s="325">
        <f t="shared" si="21"/>
        <v>31.66666666666665</v>
      </c>
      <c r="Q48" s="325">
        <f t="shared" si="22"/>
        <v>38.1</v>
      </c>
      <c r="R48" s="324">
        <f t="shared" si="19"/>
        <v>197.09284027484401</v>
      </c>
      <c r="S48" s="326"/>
      <c r="T48" s="326"/>
      <c r="U48" s="326"/>
      <c r="X48" s="326"/>
      <c r="Y48" s="327"/>
      <c r="Z48" s="327"/>
      <c r="AA48" s="326"/>
      <c r="AE48" s="325">
        <f t="shared" si="23"/>
        <v>31.66666666666665</v>
      </c>
      <c r="AF48" s="325">
        <f t="shared" si="24"/>
        <v>38.1</v>
      </c>
      <c r="AG48" s="324">
        <f t="shared" si="20"/>
        <v>209.98715972515598</v>
      </c>
      <c r="AI48" s="324">
        <f t="shared" si="2"/>
        <v>47.999999999999979</v>
      </c>
      <c r="AJ48" s="324">
        <f t="shared" si="18"/>
        <v>33.333333333333321</v>
      </c>
      <c r="AK48" s="324">
        <v>37.4</v>
      </c>
      <c r="AL48" s="324">
        <f t="shared" si="3"/>
        <v>38.599999999999994</v>
      </c>
      <c r="AM48" s="324">
        <v>39.799999999999997</v>
      </c>
      <c r="AN48" s="324">
        <f t="shared" si="4"/>
        <v>41</v>
      </c>
      <c r="AO48" s="324">
        <f t="shared" si="5"/>
        <v>42.199999999999996</v>
      </c>
      <c r="AP48" s="324">
        <f t="shared" si="6"/>
        <v>43.399999999999991</v>
      </c>
      <c r="AQ48" s="324">
        <f t="shared" si="7"/>
        <v>44.599999999999994</v>
      </c>
      <c r="AR48" s="322">
        <f t="shared" si="8"/>
        <v>45.79999999999999</v>
      </c>
      <c r="AT48" s="322">
        <f t="shared" si="9"/>
        <v>2.3999999999999986</v>
      </c>
      <c r="AU48" s="324">
        <f t="shared" si="10"/>
        <v>2.3999999999999986</v>
      </c>
      <c r="AV48" s="322">
        <f t="shared" si="11"/>
        <v>1.0641711229946524</v>
      </c>
      <c r="AW48" s="322">
        <f t="shared" si="12"/>
        <v>42.354010695187164</v>
      </c>
    </row>
    <row r="49" spans="2:49" ht="18.95" customHeight="1">
      <c r="B49" s="324">
        <f t="shared" si="1"/>
        <v>0.15277777777777773</v>
      </c>
      <c r="C49" s="324">
        <f t="shared" si="0"/>
        <v>21.999999999999993</v>
      </c>
      <c r="E49" s="326"/>
      <c r="F49" s="326"/>
      <c r="G49" s="326"/>
      <c r="H49" s="326"/>
      <c r="I49" s="326"/>
      <c r="J49" s="326"/>
      <c r="K49" s="326"/>
      <c r="M49" s="326"/>
      <c r="N49" s="326"/>
      <c r="P49" s="325">
        <f t="shared" si="21"/>
        <v>32.499999999999986</v>
      </c>
      <c r="Q49" s="325">
        <f t="shared" si="22"/>
        <v>39</v>
      </c>
      <c r="R49" s="324">
        <f t="shared" si="19"/>
        <v>196.192840274844</v>
      </c>
      <c r="S49" s="326"/>
      <c r="T49" s="326"/>
      <c r="U49" s="326"/>
      <c r="V49" s="326"/>
      <c r="W49" s="326"/>
      <c r="X49" s="326"/>
      <c r="Y49" s="327"/>
      <c r="Z49" s="327"/>
      <c r="AA49" s="326"/>
      <c r="AE49" s="325">
        <f t="shared" si="23"/>
        <v>32.499999999999986</v>
      </c>
      <c r="AF49" s="325">
        <f t="shared" si="24"/>
        <v>39</v>
      </c>
      <c r="AG49" s="324">
        <f t="shared" si="20"/>
        <v>209.08715972515597</v>
      </c>
      <c r="AI49" s="324">
        <f t="shared" si="2"/>
        <v>49.199999999999982</v>
      </c>
      <c r="AJ49" s="324">
        <f t="shared" si="18"/>
        <v>34.166666666666657</v>
      </c>
      <c r="AK49" s="324">
        <v>38.200000000000003</v>
      </c>
      <c r="AL49" s="324">
        <f t="shared" si="3"/>
        <v>39.450000000000003</v>
      </c>
      <c r="AM49" s="324">
        <v>40.700000000000003</v>
      </c>
      <c r="AN49" s="324">
        <f t="shared" si="4"/>
        <v>41.95</v>
      </c>
      <c r="AO49" s="324">
        <f t="shared" si="5"/>
        <v>43.2</v>
      </c>
      <c r="AP49" s="324">
        <f t="shared" si="6"/>
        <v>44.45</v>
      </c>
      <c r="AQ49" s="324">
        <f t="shared" si="7"/>
        <v>45.7</v>
      </c>
      <c r="AR49" s="322">
        <f t="shared" si="8"/>
        <v>46.95</v>
      </c>
      <c r="AT49" s="322">
        <f t="shared" si="9"/>
        <v>2.5</v>
      </c>
      <c r="AU49" s="324">
        <f t="shared" si="10"/>
        <v>2.5</v>
      </c>
      <c r="AV49" s="322">
        <f t="shared" si="11"/>
        <v>1.0654450261780104</v>
      </c>
      <c r="AW49" s="322">
        <f t="shared" si="12"/>
        <v>43.363612565445024</v>
      </c>
    </row>
    <row r="50" spans="2:49" ht="18.95" customHeight="1">
      <c r="B50" s="324">
        <f t="shared" si="1"/>
        <v>0.1555555555555555</v>
      </c>
      <c r="C50" s="324">
        <f t="shared" si="0"/>
        <v>22.399999999999991</v>
      </c>
      <c r="E50" s="326"/>
      <c r="F50" s="326"/>
      <c r="G50" s="326"/>
      <c r="H50" s="326"/>
      <c r="I50" s="326"/>
      <c r="J50" s="326"/>
      <c r="K50" s="326"/>
      <c r="M50" s="326"/>
      <c r="N50" s="326"/>
      <c r="P50" s="325">
        <f t="shared" si="21"/>
        <v>33.333333333333321</v>
      </c>
      <c r="Q50" s="325">
        <f t="shared" si="22"/>
        <v>39.799999999999997</v>
      </c>
      <c r="R50" s="324">
        <f t="shared" si="19"/>
        <v>195.39284027484399</v>
      </c>
      <c r="S50" s="326"/>
      <c r="T50" s="326"/>
      <c r="U50" s="326"/>
      <c r="V50" s="326"/>
      <c r="W50" s="326"/>
      <c r="X50" s="326"/>
      <c r="Y50" s="327"/>
      <c r="Z50" s="327"/>
      <c r="AA50" s="326"/>
      <c r="AE50" s="325">
        <f t="shared" si="23"/>
        <v>33.333333333333321</v>
      </c>
      <c r="AF50" s="325">
        <f t="shared" si="24"/>
        <v>39.799999999999997</v>
      </c>
      <c r="AG50" s="324">
        <f t="shared" si="20"/>
        <v>208.28715972515596</v>
      </c>
      <c r="AI50" s="324">
        <f t="shared" si="2"/>
        <v>50.399999999999991</v>
      </c>
      <c r="AJ50" s="324">
        <f t="shared" si="18"/>
        <v>34.999999999999993</v>
      </c>
      <c r="AK50" s="324">
        <v>39</v>
      </c>
      <c r="AL50" s="324">
        <f t="shared" si="3"/>
        <v>40.25</v>
      </c>
      <c r="AM50" s="324">
        <v>41.5</v>
      </c>
      <c r="AN50" s="324">
        <f t="shared" si="4"/>
        <v>42.75</v>
      </c>
      <c r="AO50" s="324">
        <f t="shared" si="5"/>
        <v>44</v>
      </c>
      <c r="AP50" s="324">
        <f t="shared" si="6"/>
        <v>45.25</v>
      </c>
      <c r="AQ50" s="324">
        <f t="shared" si="7"/>
        <v>46.5</v>
      </c>
      <c r="AR50" s="322">
        <f t="shared" si="8"/>
        <v>47.75</v>
      </c>
      <c r="AT50" s="322">
        <f t="shared" si="9"/>
        <v>2.5</v>
      </c>
      <c r="AU50" s="324">
        <f t="shared" si="10"/>
        <v>2.5</v>
      </c>
      <c r="AV50" s="322">
        <f t="shared" si="11"/>
        <v>1.0641025641025641</v>
      </c>
      <c r="AW50" s="322">
        <f t="shared" si="12"/>
        <v>44.160256410256409</v>
      </c>
    </row>
    <row r="51" spans="2:49" ht="18.95" customHeight="1">
      <c r="B51" s="324">
        <f t="shared" si="1"/>
        <v>0.15833333333333327</v>
      </c>
      <c r="C51" s="324">
        <f t="shared" si="0"/>
        <v>22.79999999999999</v>
      </c>
      <c r="E51" s="326"/>
      <c r="F51" s="326"/>
      <c r="G51" s="326"/>
      <c r="H51" s="326"/>
      <c r="I51" s="326"/>
      <c r="J51" s="326"/>
      <c r="K51" s="326"/>
      <c r="M51" s="326"/>
      <c r="N51" s="326"/>
      <c r="P51" s="325">
        <f t="shared" si="21"/>
        <v>34.166666666666657</v>
      </c>
      <c r="Q51" s="325">
        <f t="shared" si="22"/>
        <v>40.700000000000003</v>
      </c>
      <c r="R51" s="324">
        <f t="shared" si="19"/>
        <v>194.49284027484401</v>
      </c>
      <c r="S51" s="326"/>
      <c r="T51" s="326"/>
      <c r="U51" s="326"/>
      <c r="V51" s="326"/>
      <c r="W51" s="326"/>
      <c r="X51" s="326"/>
      <c r="Y51" s="327"/>
      <c r="Z51" s="327"/>
      <c r="AA51" s="326"/>
      <c r="AE51" s="325">
        <f t="shared" si="23"/>
        <v>34.166666666666657</v>
      </c>
      <c r="AF51" s="325">
        <f t="shared" si="24"/>
        <v>40.700000000000003</v>
      </c>
      <c r="AG51" s="324">
        <f t="shared" si="20"/>
        <v>207.38715972515598</v>
      </c>
      <c r="AI51" s="324">
        <f t="shared" si="2"/>
        <v>51.599999999999994</v>
      </c>
      <c r="AJ51" s="324">
        <f t="shared" si="18"/>
        <v>35.833333333333329</v>
      </c>
      <c r="AK51" s="324">
        <v>39.799999999999997</v>
      </c>
      <c r="AL51" s="324">
        <f t="shared" si="3"/>
        <v>41.099999999999994</v>
      </c>
      <c r="AM51" s="324">
        <v>42.4</v>
      </c>
      <c r="AN51" s="324">
        <f t="shared" si="4"/>
        <v>43.7</v>
      </c>
      <c r="AO51" s="324">
        <f t="shared" si="5"/>
        <v>45</v>
      </c>
      <c r="AP51" s="324">
        <f t="shared" si="6"/>
        <v>46.3</v>
      </c>
      <c r="AQ51" s="324">
        <f t="shared" si="7"/>
        <v>47.6</v>
      </c>
      <c r="AR51" s="322">
        <f t="shared" si="8"/>
        <v>48.9</v>
      </c>
      <c r="AT51" s="322">
        <f t="shared" si="9"/>
        <v>2.6000000000000014</v>
      </c>
      <c r="AU51" s="324">
        <f t="shared" si="10"/>
        <v>2.6000000000000014</v>
      </c>
      <c r="AV51" s="322">
        <f t="shared" si="11"/>
        <v>1.0653266331658291</v>
      </c>
      <c r="AW51" s="322">
        <f t="shared" si="12"/>
        <v>45.169849246231152</v>
      </c>
    </row>
    <row r="52" spans="2:49" ht="18.95" customHeight="1">
      <c r="B52" s="324">
        <f t="shared" si="1"/>
        <v>0.16111111111111104</v>
      </c>
      <c r="C52" s="324">
        <f t="shared" si="0"/>
        <v>23.199999999999989</v>
      </c>
      <c r="E52" s="326"/>
      <c r="F52" s="326"/>
      <c r="G52" s="326"/>
      <c r="H52" s="326"/>
      <c r="I52" s="326"/>
      <c r="J52" s="326"/>
      <c r="K52" s="326"/>
      <c r="M52" s="326"/>
      <c r="N52" s="326"/>
      <c r="P52" s="325">
        <f t="shared" si="21"/>
        <v>34.999999999999993</v>
      </c>
      <c r="Q52" s="325">
        <f t="shared" si="22"/>
        <v>41.5</v>
      </c>
      <c r="R52" s="324">
        <f t="shared" si="19"/>
        <v>193.692840274844</v>
      </c>
      <c r="S52" s="326"/>
      <c r="T52" s="326"/>
      <c r="U52" s="326"/>
      <c r="V52" s="326"/>
      <c r="W52" s="326"/>
      <c r="X52" s="326"/>
      <c r="Y52" s="327"/>
      <c r="Z52" s="327"/>
      <c r="AA52" s="326"/>
      <c r="AE52" s="325">
        <f t="shared" si="23"/>
        <v>34.999999999999993</v>
      </c>
      <c r="AF52" s="325">
        <f t="shared" si="24"/>
        <v>41.5</v>
      </c>
      <c r="AG52" s="324">
        <f t="shared" si="20"/>
        <v>206.58715972515597</v>
      </c>
      <c r="AI52" s="324">
        <f t="shared" si="2"/>
        <v>52.8</v>
      </c>
      <c r="AJ52" s="324">
        <f t="shared" si="18"/>
        <v>36.666666666666664</v>
      </c>
      <c r="AK52" s="324">
        <v>40.6</v>
      </c>
      <c r="AL52" s="324">
        <f t="shared" si="3"/>
        <v>41.900000000000006</v>
      </c>
      <c r="AM52" s="324">
        <v>43.2</v>
      </c>
      <c r="AN52" s="324">
        <f t="shared" si="4"/>
        <v>44.5</v>
      </c>
      <c r="AO52" s="324">
        <f t="shared" si="5"/>
        <v>45.800000000000004</v>
      </c>
      <c r="AP52" s="324">
        <f t="shared" si="6"/>
        <v>47.100000000000009</v>
      </c>
      <c r="AQ52" s="324">
        <f t="shared" si="7"/>
        <v>48.400000000000006</v>
      </c>
      <c r="AR52" s="322">
        <f t="shared" si="8"/>
        <v>49.70000000000001</v>
      </c>
      <c r="AT52" s="322">
        <f t="shared" si="9"/>
        <v>2.6000000000000014</v>
      </c>
      <c r="AU52" s="324">
        <f t="shared" si="10"/>
        <v>2.6000000000000014</v>
      </c>
      <c r="AV52" s="322">
        <f t="shared" si="11"/>
        <v>1.0640394088669951</v>
      </c>
      <c r="AW52" s="322">
        <f t="shared" si="12"/>
        <v>45.966502463054191</v>
      </c>
    </row>
    <row r="53" spans="2:49" ht="18.95" customHeight="1">
      <c r="B53" s="324">
        <f t="shared" si="1"/>
        <v>0.16388888888888881</v>
      </c>
      <c r="C53" s="324">
        <f t="shared" si="0"/>
        <v>23.599999999999987</v>
      </c>
      <c r="E53" s="326"/>
      <c r="F53" s="326"/>
      <c r="G53" s="326"/>
      <c r="H53" s="326"/>
      <c r="I53" s="326"/>
      <c r="J53" s="326"/>
      <c r="K53" s="326"/>
      <c r="M53" s="326"/>
      <c r="N53" s="326"/>
      <c r="P53" s="325">
        <f t="shared" si="21"/>
        <v>35.833333333333329</v>
      </c>
      <c r="Q53" s="325">
        <f t="shared" si="22"/>
        <v>42.4</v>
      </c>
      <c r="R53" s="324">
        <f t="shared" si="19"/>
        <v>192.792840274844</v>
      </c>
      <c r="S53" s="326"/>
      <c r="T53" s="326"/>
      <c r="U53" s="326"/>
      <c r="V53" s="326"/>
      <c r="W53" s="326"/>
      <c r="X53" s="326"/>
      <c r="Y53" s="327"/>
      <c r="Z53" s="327"/>
      <c r="AA53" s="326"/>
      <c r="AE53" s="325">
        <f t="shared" si="23"/>
        <v>35.833333333333329</v>
      </c>
      <c r="AF53" s="325">
        <f t="shared" si="24"/>
        <v>42.4</v>
      </c>
      <c r="AG53" s="324">
        <f t="shared" si="20"/>
        <v>205.68715972515596</v>
      </c>
      <c r="AI53" s="324">
        <f t="shared" si="2"/>
        <v>54</v>
      </c>
      <c r="AJ53" s="324">
        <f t="shared" si="18"/>
        <v>37.5</v>
      </c>
      <c r="AK53" s="324">
        <v>41.4</v>
      </c>
      <c r="AL53" s="324">
        <f t="shared" si="3"/>
        <v>42.7</v>
      </c>
      <c r="AM53" s="324">
        <v>44</v>
      </c>
      <c r="AN53" s="324">
        <f t="shared" si="4"/>
        <v>45.3</v>
      </c>
      <c r="AO53" s="324">
        <f t="shared" si="5"/>
        <v>46.6</v>
      </c>
      <c r="AP53" s="324">
        <f t="shared" si="6"/>
        <v>47.900000000000006</v>
      </c>
      <c r="AQ53" s="324">
        <f t="shared" si="7"/>
        <v>49.2</v>
      </c>
      <c r="AR53" s="322">
        <f t="shared" si="8"/>
        <v>50.500000000000007</v>
      </c>
      <c r="AT53" s="322">
        <f t="shared" si="9"/>
        <v>2.6000000000000014</v>
      </c>
      <c r="AU53" s="324">
        <f t="shared" si="10"/>
        <v>2.6000000000000014</v>
      </c>
      <c r="AV53" s="322">
        <f t="shared" si="11"/>
        <v>1.0628019323671498</v>
      </c>
      <c r="AW53" s="322">
        <f t="shared" si="12"/>
        <v>46.763285024154591</v>
      </c>
    </row>
    <row r="54" spans="2:49" ht="18.95" customHeight="1">
      <c r="B54" s="324">
        <f t="shared" si="1"/>
        <v>0.16666666666666657</v>
      </c>
      <c r="C54" s="324">
        <f t="shared" si="0"/>
        <v>23.999999999999986</v>
      </c>
      <c r="E54" s="326"/>
      <c r="F54" s="326"/>
      <c r="G54" s="326"/>
      <c r="H54" s="326"/>
      <c r="I54" s="326"/>
      <c r="J54" s="326"/>
      <c r="K54" s="326"/>
      <c r="M54" s="326"/>
      <c r="N54" s="326"/>
      <c r="P54" s="325">
        <f t="shared" si="21"/>
        <v>36.666666666666664</v>
      </c>
      <c r="Q54" s="325">
        <f t="shared" si="22"/>
        <v>43.2</v>
      </c>
      <c r="R54" s="324">
        <f t="shared" si="19"/>
        <v>191.99284027484401</v>
      </c>
      <c r="S54" s="326"/>
      <c r="T54" s="326"/>
      <c r="U54" s="326"/>
      <c r="V54" s="326"/>
      <c r="W54" s="326"/>
      <c r="X54" s="326"/>
      <c r="Y54" s="327"/>
      <c r="Z54" s="327"/>
      <c r="AA54" s="326"/>
      <c r="AE54" s="325">
        <f t="shared" si="23"/>
        <v>36.666666666666664</v>
      </c>
      <c r="AF54" s="325">
        <f t="shared" si="24"/>
        <v>43.2</v>
      </c>
      <c r="AG54" s="324">
        <f t="shared" si="20"/>
        <v>204.88715972515598</v>
      </c>
      <c r="AI54" s="324">
        <f t="shared" si="2"/>
        <v>55.2</v>
      </c>
      <c r="AJ54" s="324">
        <f t="shared" si="18"/>
        <v>38.333333333333336</v>
      </c>
      <c r="AK54" s="324">
        <v>42.1</v>
      </c>
      <c r="AL54" s="324">
        <f t="shared" si="3"/>
        <v>43.45</v>
      </c>
      <c r="AM54" s="324">
        <v>44.8</v>
      </c>
      <c r="AN54" s="324">
        <f t="shared" si="4"/>
        <v>46.149999999999991</v>
      </c>
      <c r="AO54" s="324">
        <f t="shared" si="5"/>
        <v>47.499999999999993</v>
      </c>
      <c r="AP54" s="324">
        <f t="shared" si="6"/>
        <v>48.849999999999994</v>
      </c>
      <c r="AQ54" s="324">
        <f t="shared" si="7"/>
        <v>50.199999999999989</v>
      </c>
      <c r="AR54" s="322">
        <f t="shared" si="8"/>
        <v>51.54999999999999</v>
      </c>
      <c r="AT54" s="322">
        <f t="shared" si="9"/>
        <v>2.6999999999999957</v>
      </c>
      <c r="AU54" s="324">
        <f t="shared" si="10"/>
        <v>2.6999999999999957</v>
      </c>
      <c r="AV54" s="322">
        <f t="shared" si="11"/>
        <v>1.0641330166270784</v>
      </c>
      <c r="AW54" s="322">
        <f t="shared" si="12"/>
        <v>47.673159144893106</v>
      </c>
    </row>
    <row r="55" spans="2:49" ht="18.95" customHeight="1">
      <c r="B55" s="324">
        <f t="shared" si="1"/>
        <v>0.16944444444444434</v>
      </c>
      <c r="C55" s="324">
        <f t="shared" si="0"/>
        <v>24.399999999999984</v>
      </c>
      <c r="E55" s="326"/>
      <c r="F55" s="326"/>
      <c r="G55" s="326"/>
      <c r="H55" s="326"/>
      <c r="I55" s="326"/>
      <c r="J55" s="326"/>
      <c r="K55" s="326"/>
      <c r="M55" s="326"/>
      <c r="N55" s="326"/>
      <c r="P55" s="325">
        <f t="shared" si="21"/>
        <v>37.5</v>
      </c>
      <c r="Q55" s="325">
        <f t="shared" si="22"/>
        <v>44</v>
      </c>
      <c r="R55" s="324">
        <f t="shared" si="19"/>
        <v>191.192840274844</v>
      </c>
      <c r="S55" s="326"/>
      <c r="T55" s="326"/>
      <c r="U55" s="326"/>
      <c r="V55" s="326"/>
      <c r="W55" s="326"/>
      <c r="X55" s="326"/>
      <c r="Y55" s="327"/>
      <c r="Z55" s="327"/>
      <c r="AA55" s="326"/>
      <c r="AE55" s="325">
        <f t="shared" si="23"/>
        <v>37.5</v>
      </c>
      <c r="AF55" s="325">
        <f t="shared" si="24"/>
        <v>44</v>
      </c>
      <c r="AG55" s="324">
        <f t="shared" si="20"/>
        <v>204.08715972515597</v>
      </c>
      <c r="AI55" s="324">
        <f t="shared" si="2"/>
        <v>56.400000000000006</v>
      </c>
      <c r="AJ55" s="324">
        <f t="shared" si="18"/>
        <v>39.166666666666671</v>
      </c>
      <c r="AK55" s="324">
        <v>42.9</v>
      </c>
      <c r="AL55" s="324">
        <f t="shared" si="3"/>
        <v>44.25</v>
      </c>
      <c r="AM55" s="324">
        <v>45.6</v>
      </c>
      <c r="AN55" s="324">
        <f t="shared" si="4"/>
        <v>46.95</v>
      </c>
      <c r="AO55" s="324">
        <f t="shared" si="5"/>
        <v>48.300000000000004</v>
      </c>
      <c r="AP55" s="324">
        <f t="shared" si="6"/>
        <v>49.650000000000006</v>
      </c>
      <c r="AQ55" s="324">
        <f t="shared" si="7"/>
        <v>51.000000000000007</v>
      </c>
      <c r="AR55" s="322">
        <f t="shared" si="8"/>
        <v>52.350000000000009</v>
      </c>
      <c r="AT55" s="322">
        <f t="shared" si="9"/>
        <v>2.7000000000000028</v>
      </c>
      <c r="AU55" s="324">
        <f t="shared" si="10"/>
        <v>2.7000000000000028</v>
      </c>
      <c r="AV55" s="322">
        <f t="shared" si="11"/>
        <v>1.0629370629370629</v>
      </c>
      <c r="AW55" s="322">
        <f t="shared" si="12"/>
        <v>48.469930069930072</v>
      </c>
    </row>
    <row r="56" spans="2:49" ht="18.95" customHeight="1">
      <c r="B56" s="324">
        <f t="shared" si="1"/>
        <v>0.17222222222222211</v>
      </c>
      <c r="C56" s="324">
        <f t="shared" si="0"/>
        <v>24.799999999999983</v>
      </c>
      <c r="E56" s="326"/>
      <c r="F56" s="326"/>
      <c r="G56" s="326"/>
      <c r="H56" s="326"/>
      <c r="I56" s="326"/>
      <c r="J56" s="326"/>
      <c r="K56" s="326"/>
      <c r="M56" s="326"/>
      <c r="N56" s="326"/>
      <c r="P56" s="325">
        <f t="shared" si="21"/>
        <v>38.333333333333336</v>
      </c>
      <c r="Q56" s="325">
        <f t="shared" si="22"/>
        <v>44.8</v>
      </c>
      <c r="R56" s="324">
        <f t="shared" si="19"/>
        <v>190.39284027484399</v>
      </c>
      <c r="S56" s="326"/>
      <c r="T56" s="326"/>
      <c r="U56" s="326"/>
      <c r="V56" s="326"/>
      <c r="W56" s="326"/>
      <c r="X56" s="326"/>
      <c r="Y56" s="327"/>
      <c r="Z56" s="327"/>
      <c r="AA56" s="326"/>
      <c r="AE56" s="325">
        <f t="shared" si="23"/>
        <v>38.333333333333336</v>
      </c>
      <c r="AF56" s="325">
        <f t="shared" si="24"/>
        <v>44.8</v>
      </c>
      <c r="AG56" s="324">
        <f t="shared" si="20"/>
        <v>203.28715972515596</v>
      </c>
      <c r="AI56" s="324">
        <f t="shared" si="2"/>
        <v>57.600000000000009</v>
      </c>
      <c r="AJ56" s="324">
        <f t="shared" si="18"/>
        <v>40.000000000000007</v>
      </c>
      <c r="AK56" s="324">
        <v>43.7</v>
      </c>
      <c r="AL56" s="324">
        <f t="shared" si="3"/>
        <v>45.1</v>
      </c>
      <c r="AM56" s="324">
        <v>46.5</v>
      </c>
      <c r="AN56" s="324">
        <f t="shared" si="4"/>
        <v>47.9</v>
      </c>
      <c r="AO56" s="324">
        <f t="shared" si="5"/>
        <v>49.3</v>
      </c>
      <c r="AP56" s="324">
        <f t="shared" si="6"/>
        <v>50.699999999999996</v>
      </c>
      <c r="AQ56" s="324">
        <f t="shared" si="7"/>
        <v>52.099999999999994</v>
      </c>
      <c r="AR56" s="322">
        <f t="shared" si="8"/>
        <v>53.499999999999993</v>
      </c>
      <c r="AT56" s="322">
        <f t="shared" si="9"/>
        <v>2.7999999999999972</v>
      </c>
      <c r="AU56" s="324">
        <f t="shared" si="10"/>
        <v>2.7999999999999972</v>
      </c>
      <c r="AV56" s="322">
        <f t="shared" si="11"/>
        <v>1.0640732265446224</v>
      </c>
      <c r="AW56" s="322">
        <f t="shared" si="12"/>
        <v>49.479405034324941</v>
      </c>
    </row>
    <row r="57" spans="2:49" ht="18.95" customHeight="1">
      <c r="B57" s="324">
        <f t="shared" si="1"/>
        <v>0.17499999999999988</v>
      </c>
      <c r="C57" s="324">
        <f t="shared" si="0"/>
        <v>25.199999999999982</v>
      </c>
      <c r="E57" s="326"/>
      <c r="F57" s="326"/>
      <c r="G57" s="326"/>
      <c r="H57" s="326"/>
      <c r="I57" s="326"/>
      <c r="J57" s="326"/>
      <c r="K57" s="326"/>
      <c r="M57" s="326"/>
      <c r="N57" s="326"/>
      <c r="P57" s="325">
        <f t="shared" si="21"/>
        <v>39.166666666666671</v>
      </c>
      <c r="Q57" s="325">
        <f t="shared" si="22"/>
        <v>45.6</v>
      </c>
      <c r="R57" s="324">
        <f t="shared" si="19"/>
        <v>189.59284027484401</v>
      </c>
      <c r="S57" s="326"/>
      <c r="T57" s="326"/>
      <c r="U57" s="326"/>
      <c r="V57" s="326"/>
      <c r="W57" s="326"/>
      <c r="X57" s="326"/>
      <c r="Y57" s="327"/>
      <c r="Z57" s="327"/>
      <c r="AA57" s="326"/>
      <c r="AE57" s="325">
        <f t="shared" si="23"/>
        <v>39.166666666666671</v>
      </c>
      <c r="AF57" s="325">
        <f t="shared" si="24"/>
        <v>45.6</v>
      </c>
      <c r="AG57" s="324">
        <f t="shared" si="20"/>
        <v>202.48715972515598</v>
      </c>
      <c r="AI57" s="324">
        <f t="shared" si="2"/>
        <v>58.800000000000018</v>
      </c>
      <c r="AJ57" s="324">
        <f t="shared" si="18"/>
        <v>40.833333333333343</v>
      </c>
      <c r="AK57" s="324">
        <v>44.5</v>
      </c>
      <c r="AL57" s="324">
        <f t="shared" si="3"/>
        <v>45.9</v>
      </c>
      <c r="AM57" s="324">
        <v>47.3</v>
      </c>
      <c r="AN57" s="324">
        <f t="shared" si="4"/>
        <v>48.699999999999996</v>
      </c>
      <c r="AO57" s="324">
        <f t="shared" si="5"/>
        <v>50.099999999999994</v>
      </c>
      <c r="AP57" s="324">
        <f t="shared" si="6"/>
        <v>51.499999999999993</v>
      </c>
      <c r="AQ57" s="324">
        <f t="shared" si="7"/>
        <v>52.899999999999991</v>
      </c>
      <c r="AR57" s="322">
        <f t="shared" si="8"/>
        <v>54.29999999999999</v>
      </c>
      <c r="AT57" s="322">
        <f t="shared" si="9"/>
        <v>2.7999999999999972</v>
      </c>
      <c r="AU57" s="324">
        <f t="shared" si="10"/>
        <v>2.7999999999999972</v>
      </c>
      <c r="AV57" s="322">
        <f t="shared" si="11"/>
        <v>1.0629213483146067</v>
      </c>
      <c r="AW57" s="322">
        <f t="shared" si="12"/>
        <v>50.276179775280895</v>
      </c>
    </row>
    <row r="58" spans="2:49" ht="18.95" customHeight="1">
      <c r="B58" s="324">
        <f t="shared" si="1"/>
        <v>0.17777777777777765</v>
      </c>
      <c r="C58" s="324">
        <f t="shared" si="0"/>
        <v>25.59999999999998</v>
      </c>
      <c r="E58" s="326"/>
      <c r="F58" s="326"/>
      <c r="G58" s="326"/>
      <c r="H58" s="326"/>
      <c r="I58" s="326"/>
      <c r="J58" s="326"/>
      <c r="K58" s="326"/>
      <c r="M58" s="326"/>
      <c r="N58" s="326"/>
      <c r="P58" s="325">
        <f t="shared" si="21"/>
        <v>40.000000000000007</v>
      </c>
      <c r="Q58" s="325">
        <f t="shared" si="22"/>
        <v>46.5</v>
      </c>
      <c r="R58" s="324">
        <f t="shared" si="19"/>
        <v>188.692840274844</v>
      </c>
      <c r="S58" s="326"/>
      <c r="T58" s="326"/>
      <c r="U58" s="326"/>
      <c r="V58" s="326"/>
      <c r="W58" s="326"/>
      <c r="X58" s="326"/>
      <c r="Y58" s="327"/>
      <c r="Z58" s="327"/>
      <c r="AA58" s="326"/>
      <c r="AE58" s="325">
        <f t="shared" si="23"/>
        <v>40.000000000000007</v>
      </c>
      <c r="AF58" s="325">
        <f t="shared" si="24"/>
        <v>46.5</v>
      </c>
      <c r="AG58" s="324">
        <f t="shared" si="20"/>
        <v>201.58715972515597</v>
      </c>
      <c r="AI58" s="324">
        <f t="shared" si="2"/>
        <v>60.000000000000021</v>
      </c>
      <c r="AJ58" s="324">
        <f t="shared" si="18"/>
        <v>41.666666666666679</v>
      </c>
      <c r="AK58" s="324">
        <v>45.3</v>
      </c>
      <c r="AL58" s="324">
        <f t="shared" si="3"/>
        <v>46.7</v>
      </c>
      <c r="AM58" s="324">
        <v>48.1</v>
      </c>
      <c r="AN58" s="324">
        <f t="shared" si="4"/>
        <v>49.5</v>
      </c>
      <c r="AO58" s="324">
        <f t="shared" si="5"/>
        <v>50.900000000000006</v>
      </c>
      <c r="AP58" s="324">
        <f t="shared" si="6"/>
        <v>52.300000000000011</v>
      </c>
      <c r="AQ58" s="324">
        <f t="shared" si="7"/>
        <v>53.70000000000001</v>
      </c>
      <c r="AR58" s="322">
        <f t="shared" si="8"/>
        <v>55.100000000000016</v>
      </c>
      <c r="AT58" s="322">
        <f t="shared" si="9"/>
        <v>2.8000000000000043</v>
      </c>
      <c r="AU58" s="324">
        <f t="shared" si="10"/>
        <v>2.8000000000000043</v>
      </c>
      <c r="AV58" s="322">
        <f t="shared" si="11"/>
        <v>1.0618101545253864</v>
      </c>
      <c r="AW58" s="322">
        <f t="shared" si="12"/>
        <v>51.073068432671086</v>
      </c>
    </row>
    <row r="59" spans="2:49" ht="18.95" customHeight="1">
      <c r="B59" s="324">
        <f t="shared" si="1"/>
        <v>0.18055555555555541</v>
      </c>
      <c r="C59" s="324">
        <f t="shared" si="0"/>
        <v>25.999999999999979</v>
      </c>
      <c r="E59" s="326"/>
      <c r="F59" s="326"/>
      <c r="G59" s="326"/>
      <c r="H59" s="326"/>
      <c r="I59" s="326"/>
      <c r="J59" s="326"/>
      <c r="K59" s="326"/>
      <c r="M59" s="326"/>
      <c r="N59" s="326"/>
      <c r="P59" s="325">
        <f t="shared" si="21"/>
        <v>40.833333333333343</v>
      </c>
      <c r="Q59" s="325">
        <f t="shared" si="22"/>
        <v>47.3</v>
      </c>
      <c r="R59" s="324">
        <f t="shared" si="19"/>
        <v>187.89284027484399</v>
      </c>
      <c r="S59" s="326"/>
      <c r="T59" s="326"/>
      <c r="U59" s="326"/>
      <c r="V59" s="326"/>
      <c r="W59" s="326"/>
      <c r="X59" s="326"/>
      <c r="Y59" s="327"/>
      <c r="Z59" s="327"/>
      <c r="AA59" s="326"/>
      <c r="AE59" s="325">
        <f t="shared" si="23"/>
        <v>40.833333333333343</v>
      </c>
      <c r="AF59" s="325">
        <f t="shared" si="24"/>
        <v>47.3</v>
      </c>
      <c r="AG59" s="324">
        <f t="shared" si="20"/>
        <v>200.78715972515596</v>
      </c>
      <c r="AI59" s="324">
        <f t="shared" si="2"/>
        <v>61.200000000000017</v>
      </c>
      <c r="AJ59" s="324">
        <f t="shared" si="18"/>
        <v>42.500000000000014</v>
      </c>
      <c r="AK59" s="324">
        <v>46.1</v>
      </c>
      <c r="AL59" s="324">
        <f t="shared" si="3"/>
        <v>47.5</v>
      </c>
      <c r="AM59" s="324">
        <v>48.9</v>
      </c>
      <c r="AN59" s="324">
        <f t="shared" si="4"/>
        <v>50.3</v>
      </c>
      <c r="AO59" s="324">
        <f t="shared" si="5"/>
        <v>51.699999999999996</v>
      </c>
      <c r="AP59" s="324">
        <f t="shared" si="6"/>
        <v>53.099999999999994</v>
      </c>
      <c r="AQ59" s="324">
        <f t="shared" si="7"/>
        <v>54.499999999999993</v>
      </c>
      <c r="AR59" s="322">
        <f t="shared" si="8"/>
        <v>55.899999999999991</v>
      </c>
      <c r="AT59" s="322">
        <f t="shared" si="9"/>
        <v>2.7999999999999972</v>
      </c>
      <c r="AU59" s="324">
        <f t="shared" si="10"/>
        <v>2.7999999999999972</v>
      </c>
      <c r="AV59" s="322">
        <f t="shared" si="11"/>
        <v>1.0607375271149675</v>
      </c>
      <c r="AW59" s="322">
        <f t="shared" si="12"/>
        <v>51.870065075921907</v>
      </c>
    </row>
    <row r="60" spans="2:49" ht="18.95" customHeight="1">
      <c r="B60" s="324">
        <f t="shared" si="1"/>
        <v>0.18333333333333318</v>
      </c>
      <c r="C60" s="324">
        <f t="shared" si="0"/>
        <v>26.399999999999977</v>
      </c>
      <c r="E60" s="326"/>
      <c r="F60" s="326"/>
      <c r="G60" s="326"/>
      <c r="H60" s="326"/>
      <c r="I60" s="326"/>
      <c r="J60" s="326"/>
      <c r="K60" s="326"/>
      <c r="M60" s="326"/>
      <c r="N60" s="326"/>
      <c r="P60" s="325">
        <f t="shared" si="21"/>
        <v>41.666666666666679</v>
      </c>
      <c r="Q60" s="325">
        <f t="shared" si="22"/>
        <v>48.1</v>
      </c>
      <c r="R60" s="324">
        <f t="shared" si="19"/>
        <v>187.09284027484401</v>
      </c>
      <c r="S60" s="326"/>
      <c r="T60" s="326"/>
      <c r="U60" s="326"/>
      <c r="V60" s="326"/>
      <c r="W60" s="326"/>
      <c r="X60" s="326"/>
      <c r="Y60" s="327"/>
      <c r="Z60" s="327"/>
      <c r="AA60" s="326"/>
      <c r="AE60" s="325">
        <f t="shared" si="23"/>
        <v>41.666666666666679</v>
      </c>
      <c r="AF60" s="325">
        <f t="shared" si="24"/>
        <v>48.1</v>
      </c>
      <c r="AG60" s="324">
        <f t="shared" si="20"/>
        <v>199.98715972515598</v>
      </c>
      <c r="AI60" s="324">
        <f t="shared" si="2"/>
        <v>62.400000000000027</v>
      </c>
      <c r="AJ60" s="324">
        <f t="shared" si="18"/>
        <v>43.33333333333335</v>
      </c>
      <c r="AK60" s="324">
        <v>46.9</v>
      </c>
      <c r="AL60" s="324">
        <f t="shared" si="3"/>
        <v>48.3</v>
      </c>
      <c r="AM60" s="324">
        <v>49.7</v>
      </c>
      <c r="AN60" s="324">
        <f t="shared" si="4"/>
        <v>51.100000000000009</v>
      </c>
      <c r="AO60" s="324">
        <f t="shared" si="5"/>
        <v>52.500000000000007</v>
      </c>
      <c r="AP60" s="324">
        <f t="shared" si="6"/>
        <v>53.900000000000006</v>
      </c>
      <c r="AQ60" s="324">
        <f t="shared" si="7"/>
        <v>55.300000000000011</v>
      </c>
      <c r="AR60" s="322">
        <f t="shared" si="8"/>
        <v>56.70000000000001</v>
      </c>
      <c r="AT60" s="322">
        <f t="shared" si="9"/>
        <v>2.8000000000000043</v>
      </c>
      <c r="AU60" s="324">
        <f t="shared" si="10"/>
        <v>2.8000000000000043</v>
      </c>
      <c r="AV60" s="322">
        <f t="shared" si="11"/>
        <v>1.0597014925373136</v>
      </c>
      <c r="AW60" s="322">
        <f t="shared" si="12"/>
        <v>52.667164179104489</v>
      </c>
    </row>
    <row r="61" spans="2:49" ht="18.95" customHeight="1">
      <c r="B61" s="324">
        <f t="shared" si="1"/>
        <v>0.18611111111111095</v>
      </c>
      <c r="C61" s="324">
        <f t="shared" si="0"/>
        <v>26.799999999999976</v>
      </c>
      <c r="E61" s="326"/>
      <c r="F61" s="326"/>
      <c r="G61" s="326"/>
      <c r="H61" s="326"/>
      <c r="I61" s="326"/>
      <c r="J61" s="326"/>
      <c r="K61" s="326"/>
      <c r="M61" s="326"/>
      <c r="N61" s="326"/>
      <c r="P61" s="325">
        <f t="shared" si="21"/>
        <v>42.500000000000014</v>
      </c>
      <c r="Q61" s="325">
        <f t="shared" si="22"/>
        <v>48.9</v>
      </c>
      <c r="R61" s="324">
        <f t="shared" si="19"/>
        <v>186.292840274844</v>
      </c>
      <c r="S61" s="326"/>
      <c r="T61" s="326"/>
      <c r="U61" s="326"/>
      <c r="V61" s="326"/>
      <c r="W61" s="326"/>
      <c r="X61" s="326"/>
      <c r="Y61" s="327"/>
      <c r="Z61" s="327"/>
      <c r="AA61" s="326"/>
      <c r="AE61" s="325">
        <f t="shared" si="23"/>
        <v>42.500000000000014</v>
      </c>
      <c r="AF61" s="325">
        <f t="shared" si="24"/>
        <v>48.9</v>
      </c>
      <c r="AG61" s="324">
        <f t="shared" si="20"/>
        <v>199.18715972515596</v>
      </c>
      <c r="AI61" s="324">
        <f t="shared" si="2"/>
        <v>63.60000000000003</v>
      </c>
      <c r="AJ61" s="324">
        <f t="shared" si="18"/>
        <v>44.166666666666686</v>
      </c>
      <c r="AK61" s="324">
        <v>47.6</v>
      </c>
      <c r="AL61" s="324">
        <f t="shared" si="3"/>
        <v>49</v>
      </c>
      <c r="AM61" s="324">
        <v>50.4</v>
      </c>
      <c r="AN61" s="324">
        <f t="shared" si="4"/>
        <v>51.8</v>
      </c>
      <c r="AO61" s="324">
        <f t="shared" si="5"/>
        <v>53.199999999999996</v>
      </c>
      <c r="AP61" s="324">
        <f t="shared" si="6"/>
        <v>54.599999999999994</v>
      </c>
      <c r="AQ61" s="324">
        <f t="shared" si="7"/>
        <v>55.999999999999993</v>
      </c>
      <c r="AR61" s="322">
        <f t="shared" si="8"/>
        <v>57.399999999999991</v>
      </c>
      <c r="AT61" s="322">
        <f t="shared" si="9"/>
        <v>2.7999999999999972</v>
      </c>
      <c r="AU61" s="324">
        <f t="shared" si="10"/>
        <v>2.7999999999999972</v>
      </c>
      <c r="AV61" s="322">
        <f t="shared" si="11"/>
        <v>1.0588235294117647</v>
      </c>
      <c r="AW61" s="322">
        <f t="shared" si="12"/>
        <v>53.364705882352943</v>
      </c>
    </row>
    <row r="62" spans="2:49" ht="18.95" customHeight="1">
      <c r="B62" s="324">
        <f t="shared" si="1"/>
        <v>0.18888888888888872</v>
      </c>
      <c r="C62" s="324">
        <f t="shared" si="0"/>
        <v>27.199999999999974</v>
      </c>
      <c r="E62" s="326"/>
      <c r="F62" s="326"/>
      <c r="G62" s="326"/>
      <c r="H62" s="326"/>
      <c r="I62" s="326"/>
      <c r="J62" s="326"/>
      <c r="K62" s="326"/>
      <c r="M62" s="326"/>
      <c r="N62" s="326"/>
      <c r="P62" s="325">
        <f t="shared" si="21"/>
        <v>43.33333333333335</v>
      </c>
      <c r="Q62" s="325">
        <f t="shared" si="22"/>
        <v>49.7</v>
      </c>
      <c r="R62" s="324">
        <f t="shared" si="19"/>
        <v>185.49284027484401</v>
      </c>
      <c r="S62" s="326"/>
      <c r="T62" s="326"/>
      <c r="U62" s="326"/>
      <c r="V62" s="326"/>
      <c r="W62" s="326"/>
      <c r="X62" s="326"/>
      <c r="Y62" s="327"/>
      <c r="Z62" s="327"/>
      <c r="AA62" s="326"/>
      <c r="AE62" s="325">
        <f t="shared" si="23"/>
        <v>43.33333333333335</v>
      </c>
      <c r="AF62" s="325">
        <f t="shared" si="24"/>
        <v>49.7</v>
      </c>
      <c r="AG62" s="324">
        <f t="shared" si="20"/>
        <v>198.38715972515598</v>
      </c>
      <c r="AI62" s="324">
        <f t="shared" si="2"/>
        <v>64.800000000000026</v>
      </c>
      <c r="AJ62" s="324">
        <f t="shared" si="18"/>
        <v>45.000000000000021</v>
      </c>
      <c r="AK62" s="324">
        <v>48.3</v>
      </c>
      <c r="AL62" s="324">
        <f t="shared" si="3"/>
        <v>49.8</v>
      </c>
      <c r="AM62" s="324">
        <v>51.3</v>
      </c>
      <c r="AN62" s="324">
        <f t="shared" si="4"/>
        <v>52.8</v>
      </c>
      <c r="AO62" s="324">
        <f t="shared" si="5"/>
        <v>54.3</v>
      </c>
      <c r="AP62" s="324">
        <f t="shared" si="6"/>
        <v>55.8</v>
      </c>
      <c r="AQ62" s="324">
        <f t="shared" si="7"/>
        <v>57.3</v>
      </c>
      <c r="AR62" s="322">
        <f t="shared" si="8"/>
        <v>58.8</v>
      </c>
      <c r="AT62" s="322">
        <f t="shared" si="9"/>
        <v>3</v>
      </c>
      <c r="AU62" s="324">
        <f t="shared" si="10"/>
        <v>3</v>
      </c>
      <c r="AV62" s="322">
        <f t="shared" si="11"/>
        <v>1.0621118012422359</v>
      </c>
      <c r="AW62" s="322">
        <f t="shared" si="12"/>
        <v>54.486335403726699</v>
      </c>
    </row>
    <row r="63" spans="2:49" ht="18.95" customHeight="1">
      <c r="B63" s="324">
        <f t="shared" si="1"/>
        <v>0.19166666666666649</v>
      </c>
      <c r="C63" s="324">
        <f t="shared" si="0"/>
        <v>27.599999999999973</v>
      </c>
      <c r="E63" s="326"/>
      <c r="F63" s="326"/>
      <c r="G63" s="326"/>
      <c r="H63" s="326"/>
      <c r="I63" s="326"/>
      <c r="J63" s="326"/>
      <c r="K63" s="326"/>
      <c r="M63" s="326"/>
      <c r="N63" s="326"/>
      <c r="P63" s="325">
        <f t="shared" si="21"/>
        <v>44.166666666666686</v>
      </c>
      <c r="Q63" s="325">
        <f t="shared" si="22"/>
        <v>50.4</v>
      </c>
      <c r="R63" s="324">
        <f t="shared" si="19"/>
        <v>184.792840274844</v>
      </c>
      <c r="S63" s="326"/>
      <c r="T63" s="326"/>
      <c r="U63" s="326"/>
      <c r="V63" s="326"/>
      <c r="W63" s="326"/>
      <c r="X63" s="326"/>
      <c r="Y63" s="327"/>
      <c r="Z63" s="327"/>
      <c r="AA63" s="326"/>
      <c r="AE63" s="325">
        <f t="shared" si="23"/>
        <v>44.166666666666686</v>
      </c>
      <c r="AF63" s="325">
        <f t="shared" si="24"/>
        <v>50.4</v>
      </c>
      <c r="AG63" s="324">
        <f t="shared" si="20"/>
        <v>197.68715972515596</v>
      </c>
      <c r="AI63" s="324">
        <f t="shared" si="2"/>
        <v>66.000000000000043</v>
      </c>
      <c r="AJ63" s="324">
        <f t="shared" si="18"/>
        <v>45.833333333333357</v>
      </c>
      <c r="AK63" s="324">
        <v>49.1</v>
      </c>
      <c r="AL63" s="324">
        <f t="shared" si="3"/>
        <v>50.55</v>
      </c>
      <c r="AM63" s="324">
        <v>52</v>
      </c>
      <c r="AN63" s="324">
        <f t="shared" si="4"/>
        <v>53.45</v>
      </c>
      <c r="AO63" s="324">
        <f t="shared" si="5"/>
        <v>54.9</v>
      </c>
      <c r="AP63" s="324">
        <f t="shared" si="6"/>
        <v>56.349999999999994</v>
      </c>
      <c r="AQ63" s="324">
        <f t="shared" si="7"/>
        <v>57.8</v>
      </c>
      <c r="AR63" s="322">
        <f t="shared" si="8"/>
        <v>59.249999999999993</v>
      </c>
      <c r="AT63" s="322">
        <f t="shared" si="9"/>
        <v>2.8999999999999986</v>
      </c>
      <c r="AU63" s="324">
        <f t="shared" si="10"/>
        <v>2.8999999999999986</v>
      </c>
      <c r="AV63" s="322">
        <f t="shared" si="11"/>
        <v>1.0590631364562118</v>
      </c>
      <c r="AW63" s="322">
        <f t="shared" si="12"/>
        <v>55.071283095723011</v>
      </c>
    </row>
    <row r="64" spans="2:49" ht="18.95" customHeight="1">
      <c r="B64" s="324">
        <f t="shared" si="1"/>
        <v>0.19444444444444425</v>
      </c>
      <c r="C64" s="324">
        <f t="shared" si="0"/>
        <v>27.999999999999972</v>
      </c>
      <c r="E64" s="326"/>
      <c r="F64" s="326"/>
      <c r="G64" s="326"/>
      <c r="H64" s="326"/>
      <c r="I64" s="326"/>
      <c r="J64" s="326"/>
      <c r="K64" s="326"/>
      <c r="M64" s="326"/>
      <c r="N64" s="326"/>
      <c r="P64" s="325">
        <f t="shared" si="21"/>
        <v>45.000000000000021</v>
      </c>
      <c r="Q64" s="325">
        <f t="shared" si="22"/>
        <v>51.3</v>
      </c>
      <c r="R64" s="324">
        <f t="shared" si="19"/>
        <v>183.89284027484399</v>
      </c>
      <c r="S64" s="326"/>
      <c r="T64" s="326"/>
      <c r="U64" s="326"/>
      <c r="V64" s="326"/>
      <c r="W64" s="326"/>
      <c r="X64" s="326"/>
      <c r="Y64" s="327"/>
      <c r="Z64" s="327"/>
      <c r="AA64" s="326"/>
      <c r="AE64" s="325">
        <f t="shared" si="23"/>
        <v>45.000000000000021</v>
      </c>
      <c r="AF64" s="325">
        <f t="shared" si="24"/>
        <v>51.3</v>
      </c>
      <c r="AG64" s="324">
        <f t="shared" si="20"/>
        <v>196.78715972515596</v>
      </c>
      <c r="AI64" s="324">
        <f t="shared" si="2"/>
        <v>67.200000000000031</v>
      </c>
      <c r="AJ64" s="324">
        <f t="shared" si="18"/>
        <v>46.666666666666693</v>
      </c>
      <c r="AK64" s="324">
        <v>49.8</v>
      </c>
      <c r="AL64" s="324">
        <f t="shared" si="3"/>
        <v>51.3</v>
      </c>
      <c r="AM64" s="324">
        <v>52.8</v>
      </c>
      <c r="AN64" s="324">
        <f t="shared" si="4"/>
        <v>54.3</v>
      </c>
      <c r="AO64" s="324">
        <f t="shared" si="5"/>
        <v>55.8</v>
      </c>
      <c r="AP64" s="324">
        <f t="shared" si="6"/>
        <v>57.3</v>
      </c>
      <c r="AQ64" s="324">
        <f t="shared" si="7"/>
        <v>58.8</v>
      </c>
      <c r="AR64" s="322">
        <f t="shared" si="8"/>
        <v>60.3</v>
      </c>
      <c r="AT64" s="322">
        <f t="shared" si="9"/>
        <v>3</v>
      </c>
      <c r="AU64" s="324">
        <f t="shared" si="10"/>
        <v>3</v>
      </c>
      <c r="AV64" s="322">
        <f t="shared" si="11"/>
        <v>1.0602409638554218</v>
      </c>
      <c r="AW64" s="322">
        <f t="shared" si="12"/>
        <v>55.980722891566266</v>
      </c>
    </row>
    <row r="65" spans="2:49" ht="18.95" customHeight="1">
      <c r="B65" s="324">
        <f t="shared" si="1"/>
        <v>0.19722222222222202</v>
      </c>
      <c r="C65" s="324">
        <f t="shared" si="0"/>
        <v>28.39999999999997</v>
      </c>
      <c r="E65" s="326"/>
      <c r="F65" s="326"/>
      <c r="G65" s="326"/>
      <c r="H65" s="326"/>
      <c r="I65" s="326"/>
      <c r="J65" s="326"/>
      <c r="K65" s="326"/>
      <c r="M65" s="326"/>
      <c r="N65" s="326"/>
      <c r="P65" s="325">
        <f t="shared" si="21"/>
        <v>45.833333333333357</v>
      </c>
      <c r="Q65" s="325">
        <f t="shared" si="22"/>
        <v>52</v>
      </c>
      <c r="R65" s="324">
        <f t="shared" si="19"/>
        <v>183.192840274844</v>
      </c>
      <c r="S65" s="326"/>
      <c r="T65" s="326"/>
      <c r="U65" s="326"/>
      <c r="V65" s="326"/>
      <c r="W65" s="326"/>
      <c r="X65" s="326"/>
      <c r="Y65" s="327"/>
      <c r="Z65" s="327"/>
      <c r="AA65" s="326"/>
      <c r="AE65" s="325">
        <f t="shared" si="23"/>
        <v>45.833333333333357</v>
      </c>
      <c r="AF65" s="325">
        <f t="shared" si="24"/>
        <v>52</v>
      </c>
      <c r="AG65" s="324">
        <f t="shared" si="20"/>
        <v>196.08715972515597</v>
      </c>
      <c r="AI65" s="324">
        <f t="shared" si="2"/>
        <v>68.400000000000034</v>
      </c>
      <c r="AJ65" s="324">
        <f t="shared" si="18"/>
        <v>47.500000000000028</v>
      </c>
      <c r="AK65" s="324">
        <v>50.5</v>
      </c>
      <c r="AL65" s="324">
        <f t="shared" si="3"/>
        <v>52.1</v>
      </c>
      <c r="AM65" s="324">
        <v>53.7</v>
      </c>
      <c r="AN65" s="324">
        <f t="shared" si="4"/>
        <v>55.300000000000004</v>
      </c>
      <c r="AO65" s="324">
        <f t="shared" si="5"/>
        <v>56.900000000000006</v>
      </c>
      <c r="AP65" s="324">
        <f t="shared" si="6"/>
        <v>58.500000000000007</v>
      </c>
      <c r="AQ65" s="324">
        <f t="shared" si="7"/>
        <v>60.100000000000009</v>
      </c>
      <c r="AR65" s="322">
        <f t="shared" si="8"/>
        <v>61.70000000000001</v>
      </c>
      <c r="AT65" s="322">
        <f t="shared" si="9"/>
        <v>3.2000000000000028</v>
      </c>
      <c r="AU65" s="324">
        <f t="shared" si="10"/>
        <v>3.2000000000000028</v>
      </c>
      <c r="AV65" s="322">
        <f t="shared" si="11"/>
        <v>1.0633663366336634</v>
      </c>
      <c r="AW65" s="322">
        <f t="shared" si="12"/>
        <v>57.102772277227729</v>
      </c>
    </row>
    <row r="66" spans="2:49" ht="18.95" customHeight="1">
      <c r="B66" s="324">
        <f t="shared" si="1"/>
        <v>0.19999999999999979</v>
      </c>
      <c r="C66" s="324">
        <f t="shared" si="0"/>
        <v>28.799999999999969</v>
      </c>
      <c r="E66" s="326"/>
      <c r="F66" s="326"/>
      <c r="G66" s="326"/>
      <c r="H66" s="326"/>
      <c r="I66" s="326"/>
      <c r="J66" s="326"/>
      <c r="K66" s="326"/>
      <c r="M66" s="326"/>
      <c r="N66" s="326"/>
      <c r="P66" s="325">
        <f t="shared" si="21"/>
        <v>46.666666666666693</v>
      </c>
      <c r="Q66" s="325">
        <f t="shared" si="22"/>
        <v>52.8</v>
      </c>
      <c r="R66" s="324">
        <f t="shared" si="19"/>
        <v>182.39284027484399</v>
      </c>
      <c r="S66" s="326"/>
      <c r="T66" s="326"/>
      <c r="U66" s="326"/>
      <c r="V66" s="326"/>
      <c r="W66" s="326"/>
      <c r="X66" s="326"/>
      <c r="Y66" s="327"/>
      <c r="Z66" s="327"/>
      <c r="AA66" s="326"/>
      <c r="AE66" s="325">
        <f t="shared" si="23"/>
        <v>46.666666666666693</v>
      </c>
      <c r="AF66" s="325">
        <f t="shared" si="24"/>
        <v>52.8</v>
      </c>
      <c r="AG66" s="324">
        <f t="shared" si="20"/>
        <v>195.28715972515596</v>
      </c>
      <c r="AI66" s="324">
        <f t="shared" si="2"/>
        <v>69.600000000000051</v>
      </c>
      <c r="AJ66" s="324">
        <f t="shared" si="18"/>
        <v>48.333333333333364</v>
      </c>
      <c r="AK66" s="324">
        <v>51.3</v>
      </c>
      <c r="AL66" s="324">
        <f t="shared" si="3"/>
        <v>52.9</v>
      </c>
      <c r="AM66" s="324">
        <v>54.5</v>
      </c>
      <c r="AN66" s="324">
        <f t="shared" si="4"/>
        <v>56.1</v>
      </c>
      <c r="AO66" s="324">
        <f t="shared" si="5"/>
        <v>57.7</v>
      </c>
      <c r="AP66" s="324">
        <f t="shared" si="6"/>
        <v>59.300000000000004</v>
      </c>
      <c r="AQ66" s="324">
        <f t="shared" si="7"/>
        <v>60.900000000000006</v>
      </c>
      <c r="AR66" s="322">
        <f t="shared" si="8"/>
        <v>62.500000000000007</v>
      </c>
      <c r="AT66" s="322">
        <f t="shared" si="9"/>
        <v>3.2000000000000028</v>
      </c>
      <c r="AU66" s="324">
        <f t="shared" si="10"/>
        <v>3.2000000000000028</v>
      </c>
      <c r="AV66" s="322">
        <f t="shared" si="11"/>
        <v>1.0623781676413255</v>
      </c>
      <c r="AW66" s="322">
        <f t="shared" si="12"/>
        <v>57.899610136452239</v>
      </c>
    </row>
    <row r="67" spans="2:49" ht="18.95" customHeight="1">
      <c r="B67" s="324">
        <f t="shared" si="1"/>
        <v>0.20277777777777756</v>
      </c>
      <c r="C67" s="324">
        <f t="shared" ref="C67:C130" si="25">C$2*B67</f>
        <v>29.199999999999967</v>
      </c>
      <c r="E67" s="326"/>
      <c r="F67" s="326"/>
      <c r="G67" s="326"/>
      <c r="H67" s="326"/>
      <c r="I67" s="326"/>
      <c r="J67" s="326"/>
      <c r="K67" s="326"/>
      <c r="M67" s="326"/>
      <c r="N67" s="326"/>
      <c r="P67" s="325">
        <f t="shared" si="21"/>
        <v>47.500000000000028</v>
      </c>
      <c r="Q67" s="325">
        <f t="shared" si="22"/>
        <v>53.7</v>
      </c>
      <c r="R67" s="324">
        <f t="shared" si="19"/>
        <v>181.49284027484401</v>
      </c>
      <c r="S67" s="326"/>
      <c r="T67" s="326"/>
      <c r="U67" s="326"/>
      <c r="V67" s="326"/>
      <c r="W67" s="326"/>
      <c r="X67" s="326"/>
      <c r="Y67" s="327"/>
      <c r="Z67" s="327"/>
      <c r="AA67" s="326"/>
      <c r="AE67" s="325">
        <f t="shared" si="23"/>
        <v>47.500000000000028</v>
      </c>
      <c r="AF67" s="325">
        <f t="shared" si="24"/>
        <v>53.7</v>
      </c>
      <c r="AG67" s="324">
        <f t="shared" si="20"/>
        <v>194.38715972515598</v>
      </c>
      <c r="AI67" s="324">
        <f t="shared" si="2"/>
        <v>70.80000000000004</v>
      </c>
      <c r="AJ67" s="324">
        <f t="shared" si="18"/>
        <v>49.1666666666667</v>
      </c>
      <c r="AK67" s="324">
        <v>52.2</v>
      </c>
      <c r="AL67" s="324">
        <f t="shared" si="3"/>
        <v>53.75</v>
      </c>
      <c r="AM67" s="324">
        <v>55.3</v>
      </c>
      <c r="AN67" s="324">
        <f t="shared" si="4"/>
        <v>56.849999999999994</v>
      </c>
      <c r="AO67" s="324">
        <f t="shared" si="5"/>
        <v>58.399999999999991</v>
      </c>
      <c r="AP67" s="324">
        <f t="shared" si="6"/>
        <v>59.949999999999989</v>
      </c>
      <c r="AQ67" s="324">
        <f t="shared" si="7"/>
        <v>61.499999999999986</v>
      </c>
      <c r="AR67" s="322">
        <f t="shared" si="8"/>
        <v>63.049999999999983</v>
      </c>
      <c r="AT67" s="322">
        <f t="shared" si="9"/>
        <v>3.0999999999999943</v>
      </c>
      <c r="AU67" s="324">
        <f t="shared" si="10"/>
        <v>3.0999999999999943</v>
      </c>
      <c r="AV67" s="322">
        <f t="shared" si="11"/>
        <v>1.0593869731800765</v>
      </c>
      <c r="AW67" s="322">
        <f t="shared" si="12"/>
        <v>58.584099616858225</v>
      </c>
    </row>
    <row r="68" spans="2:49" ht="18.95" customHeight="1">
      <c r="B68" s="324">
        <f t="shared" ref="B68:B131" si="26">B67+(1/360)</f>
        <v>0.20555555555555532</v>
      </c>
      <c r="C68" s="324">
        <f t="shared" si="25"/>
        <v>29.599999999999966</v>
      </c>
      <c r="E68" s="326"/>
      <c r="F68" s="326"/>
      <c r="G68" s="326"/>
      <c r="H68" s="326"/>
      <c r="I68" s="326"/>
      <c r="J68" s="326"/>
      <c r="K68" s="326"/>
      <c r="M68" s="326"/>
      <c r="N68" s="326"/>
      <c r="P68" s="325">
        <f t="shared" si="21"/>
        <v>48.333333333333364</v>
      </c>
      <c r="Q68" s="325">
        <f t="shared" si="22"/>
        <v>54.5</v>
      </c>
      <c r="R68" s="324">
        <f t="shared" si="19"/>
        <v>180.692840274844</v>
      </c>
      <c r="S68" s="326"/>
      <c r="T68" s="326"/>
      <c r="U68" s="326"/>
      <c r="V68" s="326"/>
      <c r="W68" s="326"/>
      <c r="X68" s="326"/>
      <c r="Y68" s="327"/>
      <c r="Z68" s="327"/>
      <c r="AA68" s="326"/>
      <c r="AE68" s="325">
        <f t="shared" si="23"/>
        <v>48.333333333333364</v>
      </c>
      <c r="AF68" s="325">
        <f t="shared" si="24"/>
        <v>54.5</v>
      </c>
      <c r="AG68" s="324">
        <f t="shared" si="20"/>
        <v>193.58715972515597</v>
      </c>
      <c r="AI68" s="324">
        <f t="shared" si="2"/>
        <v>72.000000000000057</v>
      </c>
      <c r="AJ68" s="324">
        <f t="shared" si="18"/>
        <v>50.000000000000036</v>
      </c>
      <c r="AK68" s="324">
        <v>52.9</v>
      </c>
      <c r="AL68" s="324">
        <f t="shared" si="3"/>
        <v>54.5</v>
      </c>
      <c r="AM68" s="324">
        <v>56.1</v>
      </c>
      <c r="AN68" s="324">
        <f t="shared" si="4"/>
        <v>57.7</v>
      </c>
      <c r="AO68" s="324">
        <f t="shared" si="5"/>
        <v>59.300000000000004</v>
      </c>
      <c r="AP68" s="324">
        <f t="shared" si="6"/>
        <v>60.900000000000006</v>
      </c>
      <c r="AQ68" s="324">
        <f t="shared" si="7"/>
        <v>62.500000000000007</v>
      </c>
      <c r="AR68" s="322">
        <f t="shared" si="8"/>
        <v>64.100000000000009</v>
      </c>
      <c r="AT68" s="322">
        <f t="shared" si="9"/>
        <v>3.2000000000000028</v>
      </c>
      <c r="AU68" s="324">
        <f t="shared" si="10"/>
        <v>3.2000000000000028</v>
      </c>
      <c r="AV68" s="322">
        <f t="shared" si="11"/>
        <v>1.060491493383743</v>
      </c>
      <c r="AW68" s="322">
        <f t="shared" si="12"/>
        <v>59.493572778827989</v>
      </c>
    </row>
    <row r="69" spans="2:49" ht="18.95" customHeight="1">
      <c r="B69" s="324">
        <f t="shared" si="26"/>
        <v>0.20833333333333309</v>
      </c>
      <c r="C69" s="324">
        <f t="shared" si="25"/>
        <v>29.999999999999964</v>
      </c>
      <c r="E69" s="326"/>
      <c r="F69" s="326"/>
      <c r="G69" s="326"/>
      <c r="H69" s="326"/>
      <c r="I69" s="326"/>
      <c r="J69" s="326"/>
      <c r="K69" s="326"/>
      <c r="M69" s="326"/>
      <c r="N69" s="326"/>
      <c r="P69" s="325">
        <f t="shared" si="21"/>
        <v>49.1666666666667</v>
      </c>
      <c r="Q69" s="325">
        <f t="shared" si="22"/>
        <v>55.3</v>
      </c>
      <c r="R69" s="324">
        <f t="shared" si="19"/>
        <v>179.89284027484399</v>
      </c>
      <c r="S69" s="326"/>
      <c r="T69" s="326"/>
      <c r="U69" s="326"/>
      <c r="V69" s="326"/>
      <c r="W69" s="326"/>
      <c r="X69" s="326"/>
      <c r="Y69" s="327"/>
      <c r="Z69" s="327"/>
      <c r="AA69" s="326"/>
      <c r="AE69" s="325">
        <f t="shared" si="23"/>
        <v>49.1666666666667</v>
      </c>
      <c r="AF69" s="325">
        <f t="shared" si="24"/>
        <v>55.3</v>
      </c>
      <c r="AG69" s="324">
        <f t="shared" si="20"/>
        <v>192.78715972515596</v>
      </c>
      <c r="AI69" s="324">
        <f t="shared" si="2"/>
        <v>73.20000000000006</v>
      </c>
      <c r="AJ69" s="324">
        <f t="shared" si="18"/>
        <v>50.833333333333371</v>
      </c>
      <c r="AK69" s="324">
        <v>53.6</v>
      </c>
      <c r="AL69" s="324">
        <f t="shared" si="3"/>
        <v>55.25</v>
      </c>
      <c r="AM69" s="324">
        <v>56.9</v>
      </c>
      <c r="AN69" s="324">
        <f t="shared" si="4"/>
        <v>58.55</v>
      </c>
      <c r="AO69" s="324">
        <f t="shared" si="5"/>
        <v>60.199999999999996</v>
      </c>
      <c r="AP69" s="324">
        <f t="shared" si="6"/>
        <v>61.849999999999994</v>
      </c>
      <c r="AQ69" s="324">
        <f t="shared" si="7"/>
        <v>63.499999999999993</v>
      </c>
      <c r="AR69" s="322">
        <f t="shared" si="8"/>
        <v>65.149999999999991</v>
      </c>
      <c r="AT69" s="322">
        <f t="shared" si="9"/>
        <v>3.2999999999999972</v>
      </c>
      <c r="AU69" s="324">
        <f t="shared" si="10"/>
        <v>3.2999999999999972</v>
      </c>
      <c r="AV69" s="322">
        <f t="shared" si="11"/>
        <v>1.0615671641791045</v>
      </c>
      <c r="AW69" s="322">
        <f t="shared" si="12"/>
        <v>60.40317164179104</v>
      </c>
    </row>
    <row r="70" spans="2:49" ht="18.95" customHeight="1">
      <c r="B70" s="324">
        <f t="shared" si="26"/>
        <v>0.21111111111111086</v>
      </c>
      <c r="C70" s="324">
        <f t="shared" si="25"/>
        <v>30.399999999999963</v>
      </c>
      <c r="E70" s="326"/>
      <c r="F70" s="326"/>
      <c r="G70" s="326"/>
      <c r="H70" s="326"/>
      <c r="I70" s="326"/>
      <c r="J70" s="326"/>
      <c r="K70" s="326"/>
      <c r="M70" s="326"/>
      <c r="N70" s="326"/>
      <c r="P70" s="325">
        <f t="shared" si="21"/>
        <v>50.000000000000036</v>
      </c>
      <c r="Q70" s="325">
        <f t="shared" si="22"/>
        <v>56.1</v>
      </c>
      <c r="R70" s="324">
        <f t="shared" si="19"/>
        <v>179.09284027484401</v>
      </c>
      <c r="S70" s="326"/>
      <c r="T70" s="326"/>
      <c r="U70" s="326"/>
      <c r="V70" s="326"/>
      <c r="W70" s="326"/>
      <c r="X70" s="326"/>
      <c r="Y70" s="327"/>
      <c r="Z70" s="327"/>
      <c r="AA70" s="326"/>
      <c r="AE70" s="325">
        <f t="shared" si="23"/>
        <v>50.000000000000036</v>
      </c>
      <c r="AF70" s="325">
        <f t="shared" si="24"/>
        <v>56.1</v>
      </c>
      <c r="AG70" s="324">
        <f t="shared" si="20"/>
        <v>191.98715972515598</v>
      </c>
      <c r="AI70" s="324">
        <f t="shared" si="2"/>
        <v>74.400000000000048</v>
      </c>
      <c r="AJ70" s="324">
        <f t="shared" si="18"/>
        <v>51.666666666666707</v>
      </c>
      <c r="AK70" s="324">
        <v>54.3</v>
      </c>
      <c r="AL70" s="324">
        <f t="shared" si="3"/>
        <v>55.95</v>
      </c>
      <c r="AM70" s="324">
        <v>57.6</v>
      </c>
      <c r="AN70" s="324">
        <f t="shared" si="4"/>
        <v>59.25</v>
      </c>
      <c r="AO70" s="324">
        <f t="shared" si="5"/>
        <v>60.900000000000006</v>
      </c>
      <c r="AP70" s="324">
        <f t="shared" si="6"/>
        <v>62.550000000000011</v>
      </c>
      <c r="AQ70" s="324">
        <f t="shared" si="7"/>
        <v>64.200000000000017</v>
      </c>
      <c r="AR70" s="322">
        <f t="shared" si="8"/>
        <v>65.850000000000023</v>
      </c>
      <c r="AT70" s="322">
        <f t="shared" si="9"/>
        <v>3.3000000000000043</v>
      </c>
      <c r="AU70" s="324">
        <f t="shared" si="10"/>
        <v>3.3000000000000043</v>
      </c>
      <c r="AV70" s="322">
        <f t="shared" si="11"/>
        <v>1.0607734806629836</v>
      </c>
      <c r="AW70" s="322">
        <f t="shared" si="12"/>
        <v>61.100552486187858</v>
      </c>
    </row>
    <row r="71" spans="2:49" ht="18.95" customHeight="1">
      <c r="B71" s="324">
        <f t="shared" si="26"/>
        <v>0.21388888888888863</v>
      </c>
      <c r="C71" s="324">
        <f t="shared" si="25"/>
        <v>30.799999999999962</v>
      </c>
      <c r="E71" s="326"/>
      <c r="F71" s="326"/>
      <c r="G71" s="326"/>
      <c r="H71" s="326"/>
      <c r="I71" s="326"/>
      <c r="J71" s="326"/>
      <c r="K71" s="326"/>
      <c r="M71" s="326"/>
      <c r="N71" s="326"/>
      <c r="P71" s="325">
        <f t="shared" si="21"/>
        <v>50.833333333333371</v>
      </c>
      <c r="Q71" s="325">
        <f t="shared" si="22"/>
        <v>56.9</v>
      </c>
      <c r="R71" s="324">
        <f t="shared" si="19"/>
        <v>178.292840274844</v>
      </c>
      <c r="S71" s="326"/>
      <c r="T71" s="326"/>
      <c r="U71" s="326"/>
      <c r="V71" s="326"/>
      <c r="W71" s="326"/>
      <c r="X71" s="326"/>
      <c r="Y71" s="327"/>
      <c r="Z71" s="327"/>
      <c r="AA71" s="326"/>
      <c r="AE71" s="325">
        <f t="shared" si="23"/>
        <v>50.833333333333371</v>
      </c>
      <c r="AF71" s="325">
        <f t="shared" si="24"/>
        <v>56.9</v>
      </c>
      <c r="AG71" s="324">
        <f t="shared" si="20"/>
        <v>191.18715972515596</v>
      </c>
      <c r="AI71" s="324">
        <f t="shared" si="2"/>
        <v>75.600000000000065</v>
      </c>
      <c r="AJ71" s="324">
        <f t="shared" si="18"/>
        <v>52.500000000000043</v>
      </c>
      <c r="AK71" s="324">
        <v>55</v>
      </c>
      <c r="AL71" s="324">
        <f t="shared" si="3"/>
        <v>56.65</v>
      </c>
      <c r="AM71" s="324">
        <v>58.3</v>
      </c>
      <c r="AN71" s="324">
        <f t="shared" si="4"/>
        <v>59.949999999999996</v>
      </c>
      <c r="AO71" s="324">
        <f t="shared" si="5"/>
        <v>61.599999999999994</v>
      </c>
      <c r="AP71" s="324">
        <f t="shared" si="6"/>
        <v>63.249999999999993</v>
      </c>
      <c r="AQ71" s="324">
        <f t="shared" si="7"/>
        <v>64.899999999999991</v>
      </c>
      <c r="AR71" s="322">
        <f t="shared" si="8"/>
        <v>66.549999999999983</v>
      </c>
      <c r="AT71" s="322">
        <f t="shared" si="9"/>
        <v>3.2999999999999972</v>
      </c>
      <c r="AU71" s="324">
        <f t="shared" si="10"/>
        <v>3.2999999999999972</v>
      </c>
      <c r="AV71" s="322">
        <f t="shared" si="11"/>
        <v>1.06</v>
      </c>
      <c r="AW71" s="322">
        <f t="shared" si="12"/>
        <v>61.798000000000002</v>
      </c>
    </row>
    <row r="72" spans="2:49" ht="18.95" customHeight="1">
      <c r="B72" s="324">
        <f t="shared" si="26"/>
        <v>0.2166666666666664</v>
      </c>
      <c r="C72" s="324">
        <f t="shared" si="25"/>
        <v>31.19999999999996</v>
      </c>
      <c r="E72" s="327"/>
      <c r="F72" s="327"/>
      <c r="G72" s="327"/>
      <c r="H72" s="327"/>
      <c r="I72" s="327"/>
      <c r="J72" s="327"/>
      <c r="K72" s="327"/>
      <c r="M72" s="326"/>
      <c r="N72" s="326"/>
      <c r="P72" s="325">
        <f t="shared" si="21"/>
        <v>51.666666666666707</v>
      </c>
      <c r="Q72" s="325">
        <f t="shared" si="22"/>
        <v>57.6</v>
      </c>
      <c r="R72" s="324">
        <f t="shared" si="19"/>
        <v>177.59284027484401</v>
      </c>
      <c r="S72" s="327"/>
      <c r="T72" s="327"/>
      <c r="U72" s="327"/>
      <c r="V72" s="327"/>
      <c r="W72" s="327"/>
      <c r="X72" s="327"/>
      <c r="Y72" s="327"/>
      <c r="Z72" s="327"/>
      <c r="AA72" s="327"/>
      <c r="AE72" s="325">
        <f t="shared" si="23"/>
        <v>51.666666666666707</v>
      </c>
      <c r="AF72" s="325">
        <f t="shared" si="24"/>
        <v>57.6</v>
      </c>
      <c r="AG72" s="324">
        <f t="shared" si="20"/>
        <v>190.48715972515598</v>
      </c>
      <c r="AI72" s="324">
        <f t="shared" si="2"/>
        <v>76.800000000000068</v>
      </c>
      <c r="AJ72" s="324">
        <f t="shared" si="18"/>
        <v>53.333333333333378</v>
      </c>
      <c r="AK72" s="324">
        <v>55.9</v>
      </c>
      <c r="AL72" s="324">
        <f t="shared" si="3"/>
        <v>57.5</v>
      </c>
      <c r="AM72" s="324">
        <v>59.1</v>
      </c>
      <c r="AN72" s="324">
        <f t="shared" si="4"/>
        <v>60.7</v>
      </c>
      <c r="AO72" s="324">
        <f t="shared" si="5"/>
        <v>62.300000000000004</v>
      </c>
      <c r="AP72" s="324">
        <f t="shared" si="6"/>
        <v>63.900000000000006</v>
      </c>
      <c r="AQ72" s="324">
        <f t="shared" si="7"/>
        <v>65.5</v>
      </c>
      <c r="AR72" s="322">
        <f t="shared" si="8"/>
        <v>67.100000000000009</v>
      </c>
      <c r="AT72" s="322">
        <f t="shared" si="9"/>
        <v>3.2000000000000028</v>
      </c>
      <c r="AU72" s="324">
        <f t="shared" si="10"/>
        <v>3.2000000000000028</v>
      </c>
      <c r="AV72" s="322">
        <f t="shared" si="11"/>
        <v>1.0572450805008946</v>
      </c>
      <c r="AW72" s="322">
        <f t="shared" si="12"/>
        <v>62.483184257602872</v>
      </c>
    </row>
    <row r="73" spans="2:49" ht="18.95" customHeight="1">
      <c r="B73" s="324">
        <f t="shared" si="26"/>
        <v>0.21944444444444416</v>
      </c>
      <c r="C73" s="324">
        <f t="shared" si="25"/>
        <v>31.599999999999959</v>
      </c>
      <c r="E73" s="327"/>
      <c r="F73" s="327"/>
      <c r="G73" s="327"/>
      <c r="H73" s="327"/>
      <c r="I73" s="327"/>
      <c r="J73" s="327"/>
      <c r="K73" s="327"/>
      <c r="M73" s="327"/>
      <c r="N73" s="327"/>
      <c r="P73" s="325">
        <f t="shared" si="21"/>
        <v>52.500000000000043</v>
      </c>
      <c r="Q73" s="325">
        <f t="shared" si="22"/>
        <v>58.3</v>
      </c>
      <c r="R73" s="324">
        <f t="shared" si="19"/>
        <v>176.89284027484399</v>
      </c>
      <c r="S73" s="327"/>
      <c r="T73" s="327"/>
      <c r="U73" s="327"/>
      <c r="V73" s="327"/>
      <c r="W73" s="327"/>
      <c r="X73" s="327"/>
      <c r="Y73" s="327"/>
      <c r="Z73" s="327"/>
      <c r="AA73" s="327"/>
      <c r="AE73" s="325">
        <f t="shared" si="23"/>
        <v>52.500000000000043</v>
      </c>
      <c r="AF73" s="325">
        <f t="shared" si="24"/>
        <v>58.3</v>
      </c>
      <c r="AG73" s="324">
        <f t="shared" si="20"/>
        <v>189.78715972515596</v>
      </c>
      <c r="AI73" s="324">
        <f t="shared" si="2"/>
        <v>78.000000000000071</v>
      </c>
      <c r="AJ73" s="324">
        <f t="shared" si="18"/>
        <v>54.166666666666714</v>
      </c>
      <c r="AK73" s="324">
        <v>56.4</v>
      </c>
      <c r="AL73" s="324">
        <f t="shared" si="3"/>
        <v>58.099999999999994</v>
      </c>
      <c r="AM73" s="324">
        <v>59.8</v>
      </c>
      <c r="AN73" s="324">
        <f t="shared" si="4"/>
        <v>61.5</v>
      </c>
      <c r="AO73" s="324">
        <f t="shared" si="5"/>
        <v>63.199999999999996</v>
      </c>
      <c r="AP73" s="324">
        <f t="shared" si="6"/>
        <v>64.899999999999991</v>
      </c>
      <c r="AQ73" s="324">
        <f t="shared" si="7"/>
        <v>66.599999999999994</v>
      </c>
      <c r="AR73" s="322">
        <f t="shared" si="8"/>
        <v>68.299999999999983</v>
      </c>
      <c r="AT73" s="322">
        <f t="shared" si="9"/>
        <v>3.3999999999999986</v>
      </c>
      <c r="AU73" s="324">
        <f t="shared" si="10"/>
        <v>3.3999999999999986</v>
      </c>
      <c r="AV73" s="322">
        <f t="shared" si="11"/>
        <v>1.0602836879432624</v>
      </c>
      <c r="AW73" s="322">
        <f t="shared" si="12"/>
        <v>63.404964539007089</v>
      </c>
    </row>
    <row r="74" spans="2:49" ht="18.95" customHeight="1">
      <c r="B74" s="324">
        <f t="shared" si="26"/>
        <v>0.22222222222222193</v>
      </c>
      <c r="C74" s="324">
        <f t="shared" si="25"/>
        <v>31.999999999999957</v>
      </c>
      <c r="E74" s="327"/>
      <c r="F74" s="327"/>
      <c r="G74" s="327"/>
      <c r="H74" s="327"/>
      <c r="I74" s="327"/>
      <c r="J74" s="327"/>
      <c r="K74" s="327"/>
      <c r="M74" s="327"/>
      <c r="N74" s="327"/>
      <c r="P74" s="325">
        <f t="shared" si="21"/>
        <v>53.333333333333378</v>
      </c>
      <c r="Q74" s="325">
        <f t="shared" si="22"/>
        <v>59.1</v>
      </c>
      <c r="R74" s="324">
        <f t="shared" si="19"/>
        <v>176.09284027484401</v>
      </c>
      <c r="S74" s="327"/>
      <c r="T74" s="327"/>
      <c r="U74" s="327"/>
      <c r="V74" s="327"/>
      <c r="W74" s="327"/>
      <c r="X74" s="327"/>
      <c r="Y74" s="327"/>
      <c r="Z74" s="327"/>
      <c r="AA74" s="327"/>
      <c r="AE74" s="325">
        <f t="shared" si="23"/>
        <v>53.333333333333378</v>
      </c>
      <c r="AF74" s="325">
        <f t="shared" si="24"/>
        <v>59.1</v>
      </c>
      <c r="AG74" s="324">
        <f t="shared" si="20"/>
        <v>188.98715972515598</v>
      </c>
      <c r="AI74" s="324">
        <f t="shared" si="2"/>
        <v>79.200000000000074</v>
      </c>
      <c r="AJ74" s="324">
        <f t="shared" si="18"/>
        <v>55.00000000000005</v>
      </c>
      <c r="AK74" s="324">
        <v>57.1</v>
      </c>
      <c r="AL74" s="324">
        <f t="shared" si="3"/>
        <v>58.85</v>
      </c>
      <c r="AM74" s="324">
        <v>60.6</v>
      </c>
      <c r="AN74" s="324">
        <f t="shared" si="4"/>
        <v>62.349999999999994</v>
      </c>
      <c r="AO74" s="324">
        <f t="shared" si="5"/>
        <v>64.099999999999994</v>
      </c>
      <c r="AP74" s="324">
        <f t="shared" si="6"/>
        <v>65.849999999999994</v>
      </c>
      <c r="AQ74" s="324">
        <f t="shared" si="7"/>
        <v>67.599999999999994</v>
      </c>
      <c r="AR74" s="322">
        <f t="shared" si="8"/>
        <v>69.349999999999994</v>
      </c>
      <c r="AT74" s="322">
        <f t="shared" si="9"/>
        <v>3.5</v>
      </c>
      <c r="AU74" s="324">
        <f t="shared" si="10"/>
        <v>3.5</v>
      </c>
      <c r="AV74" s="322">
        <f t="shared" si="11"/>
        <v>1.0612959719789843</v>
      </c>
      <c r="AW74" s="322">
        <f t="shared" si="12"/>
        <v>64.314535901926448</v>
      </c>
    </row>
    <row r="75" spans="2:49" ht="18.95" customHeight="1">
      <c r="B75" s="324">
        <f t="shared" si="26"/>
        <v>0.2249999999999997</v>
      </c>
      <c r="C75" s="324">
        <f t="shared" si="25"/>
        <v>32.399999999999956</v>
      </c>
      <c r="E75" s="327"/>
      <c r="F75" s="327"/>
      <c r="G75" s="327"/>
      <c r="H75" s="327"/>
      <c r="I75" s="327"/>
      <c r="J75" s="327"/>
      <c r="K75" s="327"/>
      <c r="M75" s="327"/>
      <c r="N75" s="327"/>
      <c r="P75" s="325">
        <f t="shared" si="21"/>
        <v>54.166666666666714</v>
      </c>
      <c r="Q75" s="325">
        <f t="shared" si="22"/>
        <v>59.8</v>
      </c>
      <c r="R75" s="324">
        <f t="shared" si="19"/>
        <v>175.39284027484399</v>
      </c>
      <c r="S75" s="327"/>
      <c r="T75" s="327"/>
      <c r="U75" s="327"/>
      <c r="V75" s="327"/>
      <c r="W75" s="327"/>
      <c r="X75" s="327"/>
      <c r="Y75" s="327"/>
      <c r="Z75" s="327"/>
      <c r="AA75" s="327"/>
      <c r="AE75" s="325">
        <f t="shared" si="23"/>
        <v>54.166666666666714</v>
      </c>
      <c r="AF75" s="325">
        <f t="shared" si="24"/>
        <v>59.8</v>
      </c>
      <c r="AG75" s="324">
        <f t="shared" si="20"/>
        <v>188.28715972515596</v>
      </c>
      <c r="AI75" s="324">
        <f t="shared" si="2"/>
        <v>80.400000000000077</v>
      </c>
      <c r="AJ75" s="324">
        <f t="shared" si="18"/>
        <v>55.833333333333385</v>
      </c>
      <c r="AK75" s="324">
        <v>57.8</v>
      </c>
      <c r="AL75" s="324">
        <f t="shared" si="3"/>
        <v>59.55</v>
      </c>
      <c r="AM75" s="324">
        <v>61.3</v>
      </c>
      <c r="AN75" s="324">
        <f t="shared" si="4"/>
        <v>63.05</v>
      </c>
      <c r="AO75" s="324">
        <f t="shared" si="5"/>
        <v>64.8</v>
      </c>
      <c r="AP75" s="324">
        <f t="shared" si="6"/>
        <v>66.55</v>
      </c>
      <c r="AQ75" s="324">
        <f t="shared" si="7"/>
        <v>68.3</v>
      </c>
      <c r="AR75" s="322">
        <f t="shared" si="8"/>
        <v>70.05</v>
      </c>
      <c r="AT75" s="322">
        <f t="shared" si="9"/>
        <v>3.5</v>
      </c>
      <c r="AU75" s="324">
        <f t="shared" si="10"/>
        <v>3.5</v>
      </c>
      <c r="AV75" s="322">
        <f t="shared" si="11"/>
        <v>1.060553633217993</v>
      </c>
      <c r="AW75" s="322">
        <f t="shared" si="12"/>
        <v>65.011937716262963</v>
      </c>
    </row>
    <row r="76" spans="2:49" ht="18.95" customHeight="1">
      <c r="B76" s="324">
        <f t="shared" si="26"/>
        <v>0.22777777777777747</v>
      </c>
      <c r="C76" s="324">
        <f t="shared" si="25"/>
        <v>32.799999999999955</v>
      </c>
      <c r="E76" s="327"/>
      <c r="F76" s="327"/>
      <c r="G76" s="327"/>
      <c r="H76" s="327"/>
      <c r="I76" s="327"/>
      <c r="J76" s="327"/>
      <c r="K76" s="327"/>
      <c r="M76" s="327"/>
      <c r="N76" s="327"/>
      <c r="P76" s="325">
        <f t="shared" si="21"/>
        <v>55.00000000000005</v>
      </c>
      <c r="Q76" s="325">
        <f t="shared" si="22"/>
        <v>60.6</v>
      </c>
      <c r="R76" s="324">
        <f t="shared" si="19"/>
        <v>174.59284027484401</v>
      </c>
      <c r="S76" s="327"/>
      <c r="T76" s="327"/>
      <c r="U76" s="327"/>
      <c r="V76" s="327"/>
      <c r="W76" s="327"/>
      <c r="X76" s="327"/>
      <c r="Y76" s="327"/>
      <c r="Z76" s="327"/>
      <c r="AA76" s="327"/>
      <c r="AE76" s="325">
        <f t="shared" si="23"/>
        <v>55.00000000000005</v>
      </c>
      <c r="AF76" s="325">
        <f t="shared" si="24"/>
        <v>60.6</v>
      </c>
      <c r="AG76" s="324">
        <f t="shared" si="20"/>
        <v>187.48715972515598</v>
      </c>
      <c r="AI76" s="324">
        <f t="shared" si="2"/>
        <v>81.60000000000008</v>
      </c>
      <c r="AJ76" s="324">
        <f t="shared" si="18"/>
        <v>56.666666666666721</v>
      </c>
      <c r="AK76" s="324">
        <v>58.5</v>
      </c>
      <c r="AL76" s="324">
        <f t="shared" si="3"/>
        <v>60.25</v>
      </c>
      <c r="AM76" s="324">
        <v>62</v>
      </c>
      <c r="AN76" s="324">
        <f t="shared" si="4"/>
        <v>63.75</v>
      </c>
      <c r="AO76" s="324">
        <f t="shared" si="5"/>
        <v>65.5</v>
      </c>
      <c r="AP76" s="324">
        <f t="shared" si="6"/>
        <v>67.25</v>
      </c>
      <c r="AQ76" s="324">
        <f t="shared" si="7"/>
        <v>69</v>
      </c>
      <c r="AR76" s="322">
        <f t="shared" si="8"/>
        <v>70.75</v>
      </c>
      <c r="AT76" s="322">
        <f t="shared" si="9"/>
        <v>3.5</v>
      </c>
      <c r="AU76" s="324">
        <f t="shared" si="10"/>
        <v>3.5</v>
      </c>
      <c r="AV76" s="322">
        <f t="shared" si="11"/>
        <v>1.0598290598290598</v>
      </c>
      <c r="AW76" s="322">
        <f t="shared" si="12"/>
        <v>65.709401709401703</v>
      </c>
    </row>
    <row r="77" spans="2:49" ht="18.95" customHeight="1">
      <c r="B77" s="324">
        <f t="shared" si="26"/>
        <v>0.23055555555555524</v>
      </c>
      <c r="C77" s="324">
        <f t="shared" si="25"/>
        <v>33.199999999999953</v>
      </c>
      <c r="E77" s="327"/>
      <c r="F77" s="327"/>
      <c r="G77" s="327"/>
      <c r="H77" s="327"/>
      <c r="I77" s="327"/>
      <c r="J77" s="327"/>
      <c r="K77" s="327"/>
      <c r="M77" s="327"/>
      <c r="N77" s="327"/>
      <c r="P77" s="325">
        <f t="shared" si="21"/>
        <v>55.833333333333385</v>
      </c>
      <c r="Q77" s="325">
        <f t="shared" si="22"/>
        <v>61.3</v>
      </c>
      <c r="R77" s="324">
        <f t="shared" si="19"/>
        <v>173.89284027484399</v>
      </c>
      <c r="S77" s="327"/>
      <c r="T77" s="327"/>
      <c r="U77" s="327"/>
      <c r="V77" s="327"/>
      <c r="W77" s="327"/>
      <c r="X77" s="327"/>
      <c r="Y77" s="327"/>
      <c r="Z77" s="327"/>
      <c r="AA77" s="327"/>
      <c r="AE77" s="325">
        <f t="shared" si="23"/>
        <v>55.833333333333385</v>
      </c>
      <c r="AF77" s="325">
        <f t="shared" si="24"/>
        <v>61.3</v>
      </c>
      <c r="AG77" s="324">
        <f t="shared" si="20"/>
        <v>186.78715972515596</v>
      </c>
      <c r="AI77" s="324">
        <f t="shared" si="2"/>
        <v>82.800000000000068</v>
      </c>
      <c r="AJ77" s="324">
        <f t="shared" si="18"/>
        <v>57.500000000000057</v>
      </c>
      <c r="AK77" s="324">
        <v>59.1</v>
      </c>
      <c r="AL77" s="324">
        <f t="shared" si="3"/>
        <v>60.85</v>
      </c>
      <c r="AM77" s="324">
        <v>62.6</v>
      </c>
      <c r="AN77" s="324">
        <f t="shared" si="4"/>
        <v>64.349999999999994</v>
      </c>
      <c r="AO77" s="324">
        <f t="shared" si="5"/>
        <v>66.099999999999994</v>
      </c>
      <c r="AP77" s="324">
        <f t="shared" si="6"/>
        <v>67.849999999999994</v>
      </c>
      <c r="AQ77" s="324">
        <f t="shared" si="7"/>
        <v>69.599999999999994</v>
      </c>
      <c r="AR77" s="322">
        <f t="shared" si="8"/>
        <v>71.349999999999994</v>
      </c>
      <c r="AT77" s="322">
        <f t="shared" si="9"/>
        <v>3.5</v>
      </c>
      <c r="AU77" s="324">
        <f t="shared" si="10"/>
        <v>3.5</v>
      </c>
      <c r="AV77" s="322">
        <f t="shared" si="11"/>
        <v>1.0592216582064298</v>
      </c>
      <c r="AW77" s="322">
        <f t="shared" si="12"/>
        <v>66.307275803722504</v>
      </c>
    </row>
    <row r="78" spans="2:49" ht="18.95" customHeight="1">
      <c r="B78" s="324">
        <f t="shared" si="26"/>
        <v>0.233333333333333</v>
      </c>
      <c r="C78" s="324">
        <f t="shared" si="25"/>
        <v>33.599999999999952</v>
      </c>
      <c r="E78" s="327"/>
      <c r="F78" s="327"/>
      <c r="G78" s="327"/>
      <c r="H78" s="327"/>
      <c r="I78" s="327"/>
      <c r="J78" s="327"/>
      <c r="K78" s="327"/>
      <c r="M78" s="327"/>
      <c r="N78" s="327"/>
      <c r="P78" s="325">
        <f t="shared" si="21"/>
        <v>56.666666666666721</v>
      </c>
      <c r="Q78" s="325">
        <f t="shared" si="22"/>
        <v>62</v>
      </c>
      <c r="R78" s="324">
        <f t="shared" si="19"/>
        <v>173.192840274844</v>
      </c>
      <c r="S78" s="327"/>
      <c r="T78" s="327"/>
      <c r="U78" s="327"/>
      <c r="V78" s="327"/>
      <c r="W78" s="327"/>
      <c r="X78" s="327"/>
      <c r="Y78" s="327"/>
      <c r="Z78" s="327"/>
      <c r="AA78" s="327"/>
      <c r="AE78" s="325">
        <f t="shared" si="23"/>
        <v>56.666666666666721</v>
      </c>
      <c r="AF78" s="325">
        <f t="shared" si="24"/>
        <v>62</v>
      </c>
      <c r="AG78" s="324">
        <f t="shared" si="20"/>
        <v>186.08715972515597</v>
      </c>
      <c r="AI78" s="324">
        <f t="shared" ref="AI78:AI80" si="27">AI$13*AJ78/100</f>
        <v>84.000000000000085</v>
      </c>
      <c r="AJ78" s="324">
        <f t="shared" si="18"/>
        <v>58.333333333333393</v>
      </c>
      <c r="AK78" s="324">
        <v>59.8</v>
      </c>
      <c r="AL78" s="324">
        <f t="shared" ref="AL78:AL80" si="28">MEDIAN(AK78,AM78)</f>
        <v>61.55</v>
      </c>
      <c r="AM78" s="324">
        <v>63.3</v>
      </c>
      <c r="AN78" s="324">
        <f t="shared" ref="AN78:AN80" si="29">MEDIAN(AM78,AO78)</f>
        <v>65.05</v>
      </c>
      <c r="AO78" s="324">
        <f t="shared" ref="AO78:AO80" si="30">AM78+AT78</f>
        <v>66.8</v>
      </c>
      <c r="AP78" s="324">
        <f t="shared" ref="AP78:AP80" si="31">MEDIAN(AO78,AQ78)</f>
        <v>68.55</v>
      </c>
      <c r="AQ78" s="324">
        <f t="shared" ref="AQ78:AQ80" si="32">AO78+AU78</f>
        <v>70.3</v>
      </c>
      <c r="AR78" s="322">
        <f t="shared" ref="AR78:AR80" si="33">AP78+AU78</f>
        <v>72.05</v>
      </c>
      <c r="AT78" s="322">
        <f t="shared" ref="AT78:AT80" si="34">AU78</f>
        <v>3.5</v>
      </c>
      <c r="AU78" s="324">
        <f t="shared" ref="AU78:AU80" si="35">AM78-AK78</f>
        <v>3.5</v>
      </c>
      <c r="AV78" s="322">
        <f t="shared" ref="AV78:AV80" si="36">AM78/AK78</f>
        <v>1.0585284280936456</v>
      </c>
      <c r="AW78" s="322">
        <f t="shared" ref="AW78:AW80" si="37">AM78*AV78</f>
        <v>67.004849498327758</v>
      </c>
    </row>
    <row r="79" spans="2:49" ht="18.95" customHeight="1">
      <c r="B79" s="324">
        <f t="shared" si="26"/>
        <v>0.23611111111111077</v>
      </c>
      <c r="C79" s="324">
        <f t="shared" si="25"/>
        <v>33.99999999999995</v>
      </c>
      <c r="E79" s="327"/>
      <c r="F79" s="327"/>
      <c r="G79" s="327"/>
      <c r="H79" s="327"/>
      <c r="I79" s="327"/>
      <c r="J79" s="327"/>
      <c r="K79" s="327"/>
      <c r="M79" s="327"/>
      <c r="N79" s="327"/>
      <c r="P79" s="325">
        <f t="shared" si="21"/>
        <v>57.500000000000057</v>
      </c>
      <c r="Q79" s="325">
        <f t="shared" si="22"/>
        <v>62.6</v>
      </c>
      <c r="R79" s="324">
        <f t="shared" si="19"/>
        <v>172.59284027484401</v>
      </c>
      <c r="S79" s="327"/>
      <c r="T79" s="327"/>
      <c r="U79" s="327"/>
      <c r="V79" s="327"/>
      <c r="W79" s="327"/>
      <c r="X79" s="327"/>
      <c r="Y79" s="327"/>
      <c r="Z79" s="327"/>
      <c r="AA79" s="327"/>
      <c r="AE79" s="325">
        <f t="shared" si="23"/>
        <v>57.500000000000057</v>
      </c>
      <c r="AF79" s="325">
        <f t="shared" si="24"/>
        <v>62.6</v>
      </c>
      <c r="AG79" s="324">
        <f t="shared" si="20"/>
        <v>185.48715972515598</v>
      </c>
      <c r="AI79" s="324">
        <f t="shared" si="27"/>
        <v>85.200000000000088</v>
      </c>
      <c r="AJ79" s="324">
        <f t="shared" ref="AJ79:AJ80" si="38">AJ78+3*100/360</f>
        <v>59.166666666666728</v>
      </c>
      <c r="AK79" s="324">
        <v>60.5</v>
      </c>
      <c r="AL79" s="324">
        <f t="shared" si="28"/>
        <v>62.25</v>
      </c>
      <c r="AM79" s="324">
        <v>64</v>
      </c>
      <c r="AN79" s="324">
        <f t="shared" si="29"/>
        <v>65.75</v>
      </c>
      <c r="AO79" s="324">
        <f t="shared" si="30"/>
        <v>67.5</v>
      </c>
      <c r="AP79" s="324">
        <f t="shared" si="31"/>
        <v>69.25</v>
      </c>
      <c r="AQ79" s="324">
        <f t="shared" si="32"/>
        <v>71</v>
      </c>
      <c r="AR79" s="322">
        <f t="shared" si="33"/>
        <v>72.75</v>
      </c>
      <c r="AT79" s="322">
        <f t="shared" si="34"/>
        <v>3.5</v>
      </c>
      <c r="AU79" s="324">
        <f t="shared" si="35"/>
        <v>3.5</v>
      </c>
      <c r="AV79" s="322">
        <f t="shared" si="36"/>
        <v>1.0578512396694215</v>
      </c>
      <c r="AW79" s="322">
        <f t="shared" si="37"/>
        <v>67.702479338842977</v>
      </c>
    </row>
    <row r="80" spans="2:49" ht="18.95" customHeight="1">
      <c r="B80" s="324">
        <f t="shared" si="26"/>
        <v>0.23888888888888854</v>
      </c>
      <c r="C80" s="324">
        <f t="shared" si="25"/>
        <v>34.399999999999949</v>
      </c>
      <c r="E80" s="327"/>
      <c r="F80" s="327"/>
      <c r="G80" s="327"/>
      <c r="H80" s="327"/>
      <c r="I80" s="327"/>
      <c r="J80" s="327"/>
      <c r="K80" s="327"/>
      <c r="P80" s="325">
        <f t="shared" si="21"/>
        <v>58.333333333333393</v>
      </c>
      <c r="Q80" s="325">
        <f t="shared" si="22"/>
        <v>63.3</v>
      </c>
      <c r="R80" s="324">
        <f t="shared" ref="R80:R82" si="39">ABS(Q80-$I$12)</f>
        <v>171.89284027484399</v>
      </c>
      <c r="S80" s="327"/>
      <c r="T80" s="327"/>
      <c r="U80" s="327"/>
      <c r="V80" s="327"/>
      <c r="W80" s="327"/>
      <c r="X80" s="327"/>
      <c r="Y80" s="327"/>
      <c r="Z80" s="327"/>
      <c r="AA80" s="327"/>
      <c r="AE80" s="325">
        <f t="shared" si="23"/>
        <v>58.333333333333393</v>
      </c>
      <c r="AF80" s="325">
        <f t="shared" si="24"/>
        <v>63.3</v>
      </c>
      <c r="AG80" s="324">
        <f t="shared" ref="AG80:AG82" si="40">ABS(AF80-$X$12)</f>
        <v>184.78715972515596</v>
      </c>
      <c r="AI80" s="324">
        <f t="shared" si="27"/>
        <v>86.400000000000091</v>
      </c>
      <c r="AJ80" s="324">
        <f t="shared" si="38"/>
        <v>60.000000000000064</v>
      </c>
      <c r="AK80" s="324">
        <v>61.1</v>
      </c>
      <c r="AL80" s="324">
        <f t="shared" si="28"/>
        <v>63</v>
      </c>
      <c r="AM80" s="324">
        <v>64.900000000000006</v>
      </c>
      <c r="AN80" s="324">
        <f t="shared" si="29"/>
        <v>66.800000000000011</v>
      </c>
      <c r="AO80" s="324">
        <f t="shared" si="30"/>
        <v>68.700000000000017</v>
      </c>
      <c r="AP80" s="324">
        <f t="shared" si="31"/>
        <v>70.600000000000023</v>
      </c>
      <c r="AQ80" s="324">
        <f t="shared" si="32"/>
        <v>72.500000000000028</v>
      </c>
      <c r="AR80" s="322">
        <f t="shared" si="33"/>
        <v>74.400000000000034</v>
      </c>
      <c r="AT80" s="322">
        <f t="shared" si="34"/>
        <v>3.8000000000000043</v>
      </c>
      <c r="AU80" s="324">
        <f t="shared" si="35"/>
        <v>3.8000000000000043</v>
      </c>
      <c r="AV80" s="322">
        <f t="shared" si="36"/>
        <v>1.0621931260229134</v>
      </c>
      <c r="AW80" s="322">
        <f t="shared" si="37"/>
        <v>68.936333878887083</v>
      </c>
    </row>
    <row r="81" spans="2:33" ht="18.95" customHeight="1">
      <c r="B81" s="324">
        <f t="shared" si="26"/>
        <v>0.24166666666666631</v>
      </c>
      <c r="C81" s="324">
        <f t="shared" si="25"/>
        <v>34.799999999999947</v>
      </c>
      <c r="E81" s="327"/>
      <c r="F81" s="327"/>
      <c r="G81" s="327"/>
      <c r="H81" s="327"/>
      <c r="I81" s="327"/>
      <c r="J81" s="327"/>
      <c r="K81" s="327"/>
      <c r="P81" s="325">
        <f t="shared" ref="P81:P82" si="41">P80+3*100/360</f>
        <v>59.166666666666728</v>
      </c>
      <c r="Q81" s="325">
        <f t="shared" ref="Q81:Q82" si="42">LOOKUP($C$2,$AK$13:$AQ$13,AK79:AQ79)</f>
        <v>64</v>
      </c>
      <c r="R81" s="324">
        <f t="shared" si="39"/>
        <v>171.192840274844</v>
      </c>
      <c r="S81" s="327"/>
      <c r="T81" s="327"/>
      <c r="U81" s="327"/>
      <c r="V81" s="327"/>
      <c r="W81" s="327"/>
      <c r="X81" s="327"/>
      <c r="Y81" s="327"/>
      <c r="Z81" s="327"/>
      <c r="AA81" s="327"/>
      <c r="AE81" s="325">
        <f t="shared" ref="AE81:AE82" si="43">AE80+3*100/360</f>
        <v>59.166666666666728</v>
      </c>
      <c r="AF81" s="325">
        <f t="shared" ref="AF81:AF82" si="44">LOOKUP($C$2,$AK$13:$AQ$13,AK79:AQ79)</f>
        <v>64</v>
      </c>
      <c r="AG81" s="324">
        <f t="shared" si="40"/>
        <v>184.08715972515597</v>
      </c>
    </row>
    <row r="82" spans="2:33" ht="18.95" customHeight="1">
      <c r="B82" s="324">
        <f t="shared" si="26"/>
        <v>0.24444444444444408</v>
      </c>
      <c r="C82" s="324">
        <f t="shared" si="25"/>
        <v>35.199999999999946</v>
      </c>
      <c r="E82" s="327"/>
      <c r="F82" s="327"/>
      <c r="G82" s="327"/>
      <c r="H82" s="327"/>
      <c r="I82" s="327"/>
      <c r="J82" s="327"/>
      <c r="K82" s="327"/>
      <c r="P82" s="325">
        <f t="shared" si="41"/>
        <v>60.000000000000064</v>
      </c>
      <c r="Q82" s="325">
        <f t="shared" si="42"/>
        <v>64.900000000000006</v>
      </c>
      <c r="R82" s="324">
        <f t="shared" si="39"/>
        <v>170.292840274844</v>
      </c>
      <c r="S82" s="327"/>
      <c r="T82" s="327"/>
      <c r="U82" s="327"/>
      <c r="V82" s="327"/>
      <c r="W82" s="327"/>
      <c r="X82" s="327"/>
      <c r="Y82" s="327"/>
      <c r="Z82" s="327"/>
      <c r="AA82" s="327"/>
      <c r="AE82" s="325">
        <f t="shared" si="43"/>
        <v>60.000000000000064</v>
      </c>
      <c r="AF82" s="325">
        <f t="shared" si="44"/>
        <v>64.900000000000006</v>
      </c>
      <c r="AG82" s="324">
        <f t="shared" si="40"/>
        <v>183.18715972515596</v>
      </c>
    </row>
    <row r="83" spans="2:33" ht="18.95" customHeight="1">
      <c r="B83" s="324">
        <f t="shared" si="26"/>
        <v>0.24722222222222184</v>
      </c>
      <c r="C83" s="324">
        <f t="shared" si="25"/>
        <v>35.599999999999945</v>
      </c>
      <c r="E83" s="327"/>
      <c r="F83" s="327"/>
      <c r="G83" s="327"/>
      <c r="H83" s="327"/>
      <c r="I83" s="327"/>
      <c r="J83" s="327"/>
      <c r="K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</row>
    <row r="84" spans="2:33" ht="18.95" customHeight="1">
      <c r="B84" s="324">
        <f t="shared" si="26"/>
        <v>0.24999999999999961</v>
      </c>
      <c r="C84" s="324">
        <f t="shared" si="25"/>
        <v>35.999999999999943</v>
      </c>
      <c r="D84" s="327"/>
      <c r="E84" s="327"/>
      <c r="F84" s="327"/>
      <c r="G84" s="327"/>
      <c r="H84" s="327"/>
      <c r="I84" s="327"/>
      <c r="J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</row>
    <row r="85" spans="2:33" ht="18.95" customHeight="1">
      <c r="B85" s="324">
        <f t="shared" si="26"/>
        <v>0.25277777777777738</v>
      </c>
      <c r="C85" s="324">
        <f t="shared" si="25"/>
        <v>36.399999999999942</v>
      </c>
      <c r="D85" s="327"/>
      <c r="E85" s="327"/>
      <c r="F85" s="327"/>
      <c r="G85" s="327"/>
      <c r="H85" s="327"/>
      <c r="I85" s="327"/>
      <c r="J85" s="327"/>
      <c r="R85" s="327"/>
      <c r="S85" s="327"/>
      <c r="T85" s="327"/>
      <c r="U85" s="327"/>
      <c r="V85" s="327"/>
      <c r="W85" s="327"/>
      <c r="X85" s="327"/>
      <c r="Y85" s="327"/>
      <c r="Z85" s="327"/>
      <c r="AA85" s="327"/>
    </row>
    <row r="86" spans="2:33" ht="18.95" customHeight="1">
      <c r="B86" s="324">
        <f t="shared" si="26"/>
        <v>0.25555555555555515</v>
      </c>
      <c r="C86" s="324">
        <f t="shared" si="25"/>
        <v>36.79999999999994</v>
      </c>
    </row>
    <row r="87" spans="2:33" ht="18.95" customHeight="1">
      <c r="B87" s="324">
        <f t="shared" si="26"/>
        <v>0.25833333333333292</v>
      </c>
      <c r="C87" s="324">
        <f t="shared" si="25"/>
        <v>37.199999999999939</v>
      </c>
    </row>
    <row r="88" spans="2:33" ht="18.95" customHeight="1">
      <c r="B88" s="324">
        <f t="shared" si="26"/>
        <v>0.26111111111111068</v>
      </c>
      <c r="C88" s="324">
        <f t="shared" si="25"/>
        <v>37.599999999999937</v>
      </c>
    </row>
    <row r="89" spans="2:33" ht="18.95" customHeight="1">
      <c r="B89" s="324">
        <f t="shared" si="26"/>
        <v>0.26388888888888845</v>
      </c>
      <c r="C89" s="324">
        <f t="shared" si="25"/>
        <v>37.999999999999936</v>
      </c>
    </row>
    <row r="90" spans="2:33" ht="18.95" customHeight="1">
      <c r="B90" s="324">
        <f t="shared" si="26"/>
        <v>0.26666666666666622</v>
      </c>
      <c r="C90" s="324">
        <f t="shared" si="25"/>
        <v>38.399999999999935</v>
      </c>
    </row>
    <row r="91" spans="2:33" ht="18.95" customHeight="1">
      <c r="B91" s="324">
        <f t="shared" si="26"/>
        <v>0.26944444444444399</v>
      </c>
      <c r="C91" s="324">
        <f t="shared" si="25"/>
        <v>38.799999999999933</v>
      </c>
    </row>
    <row r="92" spans="2:33" ht="18.95" customHeight="1">
      <c r="B92" s="324">
        <f t="shared" si="26"/>
        <v>0.27222222222222175</v>
      </c>
      <c r="C92" s="324">
        <f t="shared" si="25"/>
        <v>39.199999999999932</v>
      </c>
    </row>
    <row r="93" spans="2:33" ht="18.95" customHeight="1">
      <c r="B93" s="324">
        <f t="shared" si="26"/>
        <v>0.27499999999999952</v>
      </c>
      <c r="C93" s="324">
        <f t="shared" si="25"/>
        <v>39.59999999999993</v>
      </c>
    </row>
    <row r="94" spans="2:33" ht="18.95" customHeight="1">
      <c r="B94" s="324">
        <f t="shared" si="26"/>
        <v>0.27777777777777729</v>
      </c>
      <c r="C94" s="324">
        <f t="shared" si="25"/>
        <v>39.999999999999929</v>
      </c>
    </row>
    <row r="95" spans="2:33" ht="18.95" customHeight="1">
      <c r="B95" s="324">
        <f t="shared" si="26"/>
        <v>0.28055555555555506</v>
      </c>
      <c r="C95" s="324">
        <f t="shared" si="25"/>
        <v>40.399999999999928</v>
      </c>
    </row>
    <row r="96" spans="2:33" ht="18.95" customHeight="1">
      <c r="B96" s="324">
        <f t="shared" si="26"/>
        <v>0.28333333333333283</v>
      </c>
      <c r="C96" s="324">
        <f t="shared" si="25"/>
        <v>40.799999999999926</v>
      </c>
    </row>
    <row r="97" spans="2:3" ht="18.95" customHeight="1">
      <c r="B97" s="324">
        <f t="shared" si="26"/>
        <v>0.28611111111111059</v>
      </c>
      <c r="C97" s="324">
        <f t="shared" si="25"/>
        <v>41.199999999999925</v>
      </c>
    </row>
    <row r="98" spans="2:3" ht="18.95" customHeight="1">
      <c r="B98" s="324">
        <f t="shared" si="26"/>
        <v>0.28888888888888836</v>
      </c>
      <c r="C98" s="324">
        <f t="shared" si="25"/>
        <v>41.599999999999923</v>
      </c>
    </row>
    <row r="99" spans="2:3" ht="18.95" customHeight="1">
      <c r="B99" s="324">
        <f t="shared" si="26"/>
        <v>0.29166666666666613</v>
      </c>
      <c r="C99" s="324">
        <f t="shared" si="25"/>
        <v>41.999999999999922</v>
      </c>
    </row>
    <row r="100" spans="2:3" ht="18.95" customHeight="1">
      <c r="B100" s="324">
        <f t="shared" si="26"/>
        <v>0.2944444444444439</v>
      </c>
      <c r="C100" s="324">
        <f t="shared" si="25"/>
        <v>42.39999999999992</v>
      </c>
    </row>
    <row r="101" spans="2:3" ht="18.95" customHeight="1">
      <c r="B101" s="324">
        <f t="shared" si="26"/>
        <v>0.29722222222222167</v>
      </c>
      <c r="C101" s="324">
        <f t="shared" si="25"/>
        <v>42.799999999999919</v>
      </c>
    </row>
    <row r="102" spans="2:3" ht="18.95" customHeight="1">
      <c r="B102" s="324">
        <f t="shared" si="26"/>
        <v>0.29999999999999943</v>
      </c>
      <c r="C102" s="324">
        <f t="shared" si="25"/>
        <v>43.199999999999918</v>
      </c>
    </row>
    <row r="103" spans="2:3" ht="18.95" customHeight="1">
      <c r="B103" s="324">
        <f t="shared" si="26"/>
        <v>0.3027777777777772</v>
      </c>
      <c r="C103" s="324">
        <f t="shared" si="25"/>
        <v>43.599999999999916</v>
      </c>
    </row>
    <row r="104" spans="2:3" ht="18.95" customHeight="1">
      <c r="B104" s="324">
        <f t="shared" si="26"/>
        <v>0.30555555555555497</v>
      </c>
      <c r="C104" s="324">
        <f t="shared" si="25"/>
        <v>43.999999999999915</v>
      </c>
    </row>
    <row r="105" spans="2:3" ht="18.95" customHeight="1">
      <c r="B105" s="324">
        <f t="shared" si="26"/>
        <v>0.30833333333333274</v>
      </c>
      <c r="C105" s="324">
        <f t="shared" si="25"/>
        <v>44.399999999999913</v>
      </c>
    </row>
    <row r="106" spans="2:3" ht="18.95" customHeight="1">
      <c r="B106" s="324">
        <f t="shared" si="26"/>
        <v>0.31111111111111051</v>
      </c>
      <c r="C106" s="324">
        <f t="shared" si="25"/>
        <v>44.799999999999912</v>
      </c>
    </row>
    <row r="107" spans="2:3" ht="18.95" customHeight="1">
      <c r="B107" s="324">
        <f t="shared" si="26"/>
        <v>0.31388888888888827</v>
      </c>
      <c r="C107" s="324">
        <f t="shared" si="25"/>
        <v>45.19999999999991</v>
      </c>
    </row>
    <row r="108" spans="2:3" ht="18.95" customHeight="1">
      <c r="B108" s="324">
        <f t="shared" si="26"/>
        <v>0.31666666666666604</v>
      </c>
      <c r="C108" s="324">
        <f t="shared" si="25"/>
        <v>45.599999999999909</v>
      </c>
    </row>
    <row r="109" spans="2:3" ht="18.95" customHeight="1">
      <c r="B109" s="324">
        <f t="shared" si="26"/>
        <v>0.31944444444444381</v>
      </c>
      <c r="C109" s="324">
        <f t="shared" si="25"/>
        <v>45.999999999999908</v>
      </c>
    </row>
    <row r="110" spans="2:3" ht="18.95" customHeight="1">
      <c r="B110" s="324">
        <f t="shared" si="26"/>
        <v>0.32222222222222158</v>
      </c>
      <c r="C110" s="324">
        <f t="shared" si="25"/>
        <v>46.399999999999906</v>
      </c>
    </row>
    <row r="111" spans="2:3" ht="18.95" customHeight="1">
      <c r="B111" s="324">
        <f t="shared" si="26"/>
        <v>0.32499999999999934</v>
      </c>
      <c r="C111" s="324">
        <f t="shared" si="25"/>
        <v>46.799999999999905</v>
      </c>
    </row>
    <row r="112" spans="2:3" ht="18.95" customHeight="1">
      <c r="B112" s="324">
        <f t="shared" si="26"/>
        <v>0.32777777777777711</v>
      </c>
      <c r="C112" s="324">
        <f t="shared" si="25"/>
        <v>47.199999999999903</v>
      </c>
    </row>
    <row r="113" spans="2:3" ht="18.95" customHeight="1">
      <c r="B113" s="324">
        <f t="shared" si="26"/>
        <v>0.33055555555555488</v>
      </c>
      <c r="C113" s="324">
        <f t="shared" si="25"/>
        <v>47.599999999999902</v>
      </c>
    </row>
    <row r="114" spans="2:3" ht="18.95" customHeight="1">
      <c r="B114" s="324">
        <f t="shared" si="26"/>
        <v>0.33333333333333265</v>
      </c>
      <c r="C114" s="324">
        <f t="shared" si="25"/>
        <v>47.999999999999901</v>
      </c>
    </row>
    <row r="115" spans="2:3" ht="18.95" customHeight="1">
      <c r="B115" s="324">
        <f t="shared" si="26"/>
        <v>0.33611111111111042</v>
      </c>
      <c r="C115" s="324">
        <f t="shared" si="25"/>
        <v>48.399999999999899</v>
      </c>
    </row>
    <row r="116" spans="2:3" ht="18.95" customHeight="1">
      <c r="B116" s="324">
        <f t="shared" si="26"/>
        <v>0.33888888888888818</v>
      </c>
      <c r="C116" s="324">
        <f t="shared" si="25"/>
        <v>48.799999999999898</v>
      </c>
    </row>
    <row r="117" spans="2:3" ht="18.95" customHeight="1">
      <c r="B117" s="324">
        <f t="shared" si="26"/>
        <v>0.34166666666666595</v>
      </c>
      <c r="C117" s="324">
        <f t="shared" si="25"/>
        <v>49.199999999999896</v>
      </c>
    </row>
    <row r="118" spans="2:3" ht="18.95" customHeight="1">
      <c r="B118" s="324">
        <f t="shared" si="26"/>
        <v>0.34444444444444372</v>
      </c>
      <c r="C118" s="324">
        <f t="shared" si="25"/>
        <v>49.599999999999895</v>
      </c>
    </row>
    <row r="119" spans="2:3" ht="18.95" customHeight="1">
      <c r="B119" s="324">
        <f t="shared" si="26"/>
        <v>0.34722222222222149</v>
      </c>
      <c r="C119" s="324">
        <f t="shared" si="25"/>
        <v>49.999999999999893</v>
      </c>
    </row>
    <row r="120" spans="2:3" ht="18.95" customHeight="1">
      <c r="B120" s="324">
        <f t="shared" si="26"/>
        <v>0.34999999999999926</v>
      </c>
      <c r="C120" s="324">
        <f t="shared" si="25"/>
        <v>50.399999999999892</v>
      </c>
    </row>
    <row r="121" spans="2:3" ht="18.95" customHeight="1">
      <c r="B121" s="324">
        <f t="shared" si="26"/>
        <v>0.35277777777777702</v>
      </c>
      <c r="C121" s="324">
        <f t="shared" si="25"/>
        <v>50.799999999999891</v>
      </c>
    </row>
    <row r="122" spans="2:3" ht="18.95" customHeight="1">
      <c r="B122" s="324">
        <f t="shared" si="26"/>
        <v>0.35555555555555479</v>
      </c>
      <c r="C122" s="324">
        <f t="shared" si="25"/>
        <v>51.199999999999889</v>
      </c>
    </row>
    <row r="123" spans="2:3" ht="18.95" customHeight="1">
      <c r="B123" s="324">
        <f t="shared" si="26"/>
        <v>0.35833333333333256</v>
      </c>
      <c r="C123" s="324">
        <f t="shared" si="25"/>
        <v>51.599999999999888</v>
      </c>
    </row>
    <row r="124" spans="2:3" ht="18.95" customHeight="1">
      <c r="B124" s="324">
        <f t="shared" si="26"/>
        <v>0.36111111111111033</v>
      </c>
      <c r="C124" s="324">
        <f t="shared" si="25"/>
        <v>51.999999999999886</v>
      </c>
    </row>
    <row r="125" spans="2:3" ht="18.95" customHeight="1">
      <c r="B125" s="324">
        <f t="shared" si="26"/>
        <v>0.3638888888888881</v>
      </c>
      <c r="C125" s="324">
        <f t="shared" si="25"/>
        <v>52.399999999999885</v>
      </c>
    </row>
    <row r="126" spans="2:3" ht="18.95" customHeight="1">
      <c r="B126" s="324">
        <f t="shared" si="26"/>
        <v>0.36666666666666586</v>
      </c>
      <c r="C126" s="324">
        <f t="shared" si="25"/>
        <v>52.799999999999883</v>
      </c>
    </row>
    <row r="127" spans="2:3" ht="18.95" customHeight="1">
      <c r="B127" s="324">
        <f t="shared" si="26"/>
        <v>0.36944444444444363</v>
      </c>
      <c r="C127" s="324">
        <f t="shared" si="25"/>
        <v>53.199999999999882</v>
      </c>
    </row>
    <row r="128" spans="2:3" ht="18.95" customHeight="1">
      <c r="B128" s="324">
        <f t="shared" si="26"/>
        <v>0.3722222222222214</v>
      </c>
      <c r="C128" s="324">
        <f t="shared" si="25"/>
        <v>53.599999999999881</v>
      </c>
    </row>
    <row r="129" spans="2:3" ht="18.95" customHeight="1">
      <c r="B129" s="324">
        <f t="shared" si="26"/>
        <v>0.37499999999999917</v>
      </c>
      <c r="C129" s="324">
        <f t="shared" si="25"/>
        <v>53.999999999999879</v>
      </c>
    </row>
    <row r="130" spans="2:3" ht="18.95" customHeight="1">
      <c r="B130" s="324">
        <f t="shared" si="26"/>
        <v>0.37777777777777694</v>
      </c>
      <c r="C130" s="324">
        <f t="shared" si="25"/>
        <v>54.399999999999878</v>
      </c>
    </row>
    <row r="131" spans="2:3" ht="18.95" customHeight="1">
      <c r="B131" s="324">
        <f t="shared" si="26"/>
        <v>0.3805555555555547</v>
      </c>
      <c r="C131" s="324">
        <f t="shared" ref="C131:C194" si="45">C$2*B131</f>
        <v>54.799999999999876</v>
      </c>
    </row>
    <row r="132" spans="2:3" ht="18.95" customHeight="1">
      <c r="B132" s="324">
        <f t="shared" ref="B132:B195" si="46">B131+(1/360)</f>
        <v>0.38333333333333247</v>
      </c>
      <c r="C132" s="324">
        <f t="shared" si="45"/>
        <v>55.199999999999875</v>
      </c>
    </row>
    <row r="133" spans="2:3" ht="18.95" customHeight="1">
      <c r="B133" s="324">
        <f t="shared" si="46"/>
        <v>0.38611111111111024</v>
      </c>
      <c r="C133" s="324">
        <f t="shared" si="45"/>
        <v>55.599999999999874</v>
      </c>
    </row>
    <row r="134" spans="2:3" ht="18.95" customHeight="1">
      <c r="B134" s="324">
        <f t="shared" si="46"/>
        <v>0.38888888888888801</v>
      </c>
      <c r="C134" s="324">
        <f t="shared" si="45"/>
        <v>55.999999999999872</v>
      </c>
    </row>
    <row r="135" spans="2:3" ht="18.95" customHeight="1">
      <c r="B135" s="324">
        <f t="shared" si="46"/>
        <v>0.39166666666666577</v>
      </c>
      <c r="C135" s="324">
        <f t="shared" si="45"/>
        <v>56.399999999999871</v>
      </c>
    </row>
    <row r="136" spans="2:3" ht="18.95" customHeight="1">
      <c r="B136" s="324">
        <f t="shared" si="46"/>
        <v>0.39444444444444354</v>
      </c>
      <c r="C136" s="324">
        <f t="shared" si="45"/>
        <v>56.799999999999869</v>
      </c>
    </row>
    <row r="137" spans="2:3" ht="18.95" customHeight="1">
      <c r="B137" s="324">
        <f t="shared" si="46"/>
        <v>0.39722222222222131</v>
      </c>
      <c r="C137" s="324">
        <f t="shared" si="45"/>
        <v>57.199999999999868</v>
      </c>
    </row>
    <row r="138" spans="2:3" ht="18.95" customHeight="1">
      <c r="B138" s="324">
        <f t="shared" si="46"/>
        <v>0.39999999999999908</v>
      </c>
      <c r="C138" s="324">
        <f t="shared" si="45"/>
        <v>57.599999999999866</v>
      </c>
    </row>
    <row r="139" spans="2:3" ht="18.95" customHeight="1">
      <c r="B139" s="324">
        <f t="shared" si="46"/>
        <v>0.40277777777777685</v>
      </c>
      <c r="C139" s="324">
        <f t="shared" si="45"/>
        <v>57.999999999999865</v>
      </c>
    </row>
    <row r="140" spans="2:3" ht="18.95" customHeight="1">
      <c r="B140" s="324">
        <f t="shared" si="46"/>
        <v>0.40555555555555461</v>
      </c>
      <c r="C140" s="324">
        <f t="shared" si="45"/>
        <v>58.399999999999864</v>
      </c>
    </row>
    <row r="141" spans="2:3" ht="18.95" customHeight="1">
      <c r="B141" s="324">
        <f t="shared" si="46"/>
        <v>0.40833333333333238</v>
      </c>
      <c r="C141" s="324">
        <f t="shared" si="45"/>
        <v>58.799999999999862</v>
      </c>
    </row>
    <row r="142" spans="2:3" ht="18.95" customHeight="1">
      <c r="B142" s="324">
        <f t="shared" si="46"/>
        <v>0.41111111111111015</v>
      </c>
      <c r="C142" s="324">
        <f t="shared" si="45"/>
        <v>59.199999999999861</v>
      </c>
    </row>
    <row r="143" spans="2:3" ht="18.95" customHeight="1">
      <c r="B143" s="324">
        <f t="shared" si="46"/>
        <v>0.41388888888888792</v>
      </c>
      <c r="C143" s="324">
        <f t="shared" si="45"/>
        <v>59.599999999999859</v>
      </c>
    </row>
    <row r="144" spans="2:3" ht="18.95" customHeight="1">
      <c r="B144" s="324">
        <f t="shared" si="46"/>
        <v>0.41666666666666569</v>
      </c>
      <c r="C144" s="324">
        <f t="shared" si="45"/>
        <v>59.999999999999858</v>
      </c>
    </row>
    <row r="145" spans="2:3" ht="18.95" customHeight="1">
      <c r="B145" s="324">
        <f t="shared" si="46"/>
        <v>0.41944444444444345</v>
      </c>
      <c r="C145" s="324">
        <f t="shared" si="45"/>
        <v>60.399999999999856</v>
      </c>
    </row>
    <row r="146" spans="2:3" ht="18.95" customHeight="1">
      <c r="B146" s="324">
        <f t="shared" si="46"/>
        <v>0.42222222222222122</v>
      </c>
      <c r="C146" s="324">
        <f t="shared" si="45"/>
        <v>60.799999999999855</v>
      </c>
    </row>
    <row r="147" spans="2:3" ht="18.95" customHeight="1">
      <c r="B147" s="324">
        <f t="shared" si="46"/>
        <v>0.42499999999999899</v>
      </c>
      <c r="C147" s="324">
        <f t="shared" si="45"/>
        <v>61.199999999999854</v>
      </c>
    </row>
    <row r="148" spans="2:3" ht="18.95" customHeight="1">
      <c r="B148" s="324">
        <f t="shared" si="46"/>
        <v>0.42777777777777676</v>
      </c>
      <c r="C148" s="324">
        <f t="shared" si="45"/>
        <v>61.599999999999852</v>
      </c>
    </row>
    <row r="149" spans="2:3" ht="18.95" customHeight="1">
      <c r="B149" s="324">
        <f t="shared" si="46"/>
        <v>0.43055555555555453</v>
      </c>
      <c r="C149" s="324">
        <f t="shared" si="45"/>
        <v>61.999999999999851</v>
      </c>
    </row>
    <row r="150" spans="2:3" ht="18.95" customHeight="1">
      <c r="B150" s="324">
        <f t="shared" si="46"/>
        <v>0.43333333333333229</v>
      </c>
      <c r="C150" s="324">
        <f t="shared" si="45"/>
        <v>62.399999999999849</v>
      </c>
    </row>
    <row r="151" spans="2:3" ht="18.95" customHeight="1">
      <c r="B151" s="324">
        <f t="shared" si="46"/>
        <v>0.43611111111111006</v>
      </c>
      <c r="C151" s="324">
        <f t="shared" si="45"/>
        <v>62.799999999999848</v>
      </c>
    </row>
    <row r="152" spans="2:3" ht="18.95" customHeight="1">
      <c r="B152" s="324">
        <f t="shared" si="46"/>
        <v>0.43888888888888783</v>
      </c>
      <c r="C152" s="324">
        <f t="shared" si="45"/>
        <v>63.199999999999847</v>
      </c>
    </row>
    <row r="153" spans="2:3" ht="18.95" customHeight="1">
      <c r="B153" s="324">
        <f t="shared" si="46"/>
        <v>0.4416666666666656</v>
      </c>
      <c r="C153" s="324">
        <f t="shared" si="45"/>
        <v>63.599999999999845</v>
      </c>
    </row>
    <row r="154" spans="2:3" ht="18.95" customHeight="1">
      <c r="B154" s="324">
        <f t="shared" si="46"/>
        <v>0.44444444444444337</v>
      </c>
      <c r="C154" s="324">
        <f t="shared" si="45"/>
        <v>63.999999999999844</v>
      </c>
    </row>
    <row r="155" spans="2:3" ht="18.95" customHeight="1">
      <c r="B155" s="324">
        <f t="shared" si="46"/>
        <v>0.44722222222222113</v>
      </c>
      <c r="C155" s="324">
        <f t="shared" si="45"/>
        <v>64.399999999999849</v>
      </c>
    </row>
    <row r="156" spans="2:3" ht="18.95" customHeight="1">
      <c r="B156" s="324">
        <f t="shared" si="46"/>
        <v>0.4499999999999989</v>
      </c>
      <c r="C156" s="324">
        <f t="shared" si="45"/>
        <v>64.799999999999841</v>
      </c>
    </row>
    <row r="157" spans="2:3" ht="18.95" customHeight="1">
      <c r="B157" s="324">
        <f t="shared" si="46"/>
        <v>0.45277777777777667</v>
      </c>
      <c r="C157" s="324">
        <f t="shared" si="45"/>
        <v>65.199999999999847</v>
      </c>
    </row>
    <row r="158" spans="2:3" ht="18.95" customHeight="1">
      <c r="B158" s="324">
        <f t="shared" si="46"/>
        <v>0.45555555555555444</v>
      </c>
      <c r="C158" s="324">
        <f t="shared" si="45"/>
        <v>65.599999999999838</v>
      </c>
    </row>
    <row r="159" spans="2:3" ht="18.95" customHeight="1">
      <c r="B159" s="324">
        <f t="shared" si="46"/>
        <v>0.4583333333333322</v>
      </c>
      <c r="C159" s="324">
        <f t="shared" si="45"/>
        <v>65.999999999999844</v>
      </c>
    </row>
    <row r="160" spans="2:3" ht="18.95" customHeight="1">
      <c r="B160" s="324">
        <f t="shared" si="46"/>
        <v>0.46111111111110997</v>
      </c>
      <c r="C160" s="324">
        <f t="shared" si="45"/>
        <v>66.399999999999835</v>
      </c>
    </row>
    <row r="161" spans="2:3" ht="18.95" customHeight="1">
      <c r="B161" s="324">
        <f t="shared" si="46"/>
        <v>0.46388888888888774</v>
      </c>
      <c r="C161" s="324">
        <f t="shared" si="45"/>
        <v>66.799999999999841</v>
      </c>
    </row>
    <row r="162" spans="2:3" ht="18.95" customHeight="1">
      <c r="B162" s="324">
        <f t="shared" si="46"/>
        <v>0.46666666666666551</v>
      </c>
      <c r="C162" s="324">
        <f t="shared" si="45"/>
        <v>67.199999999999832</v>
      </c>
    </row>
    <row r="163" spans="2:3" ht="18.95" customHeight="1">
      <c r="B163" s="324">
        <f t="shared" si="46"/>
        <v>0.46944444444444328</v>
      </c>
      <c r="C163" s="324">
        <f t="shared" si="45"/>
        <v>67.599999999999838</v>
      </c>
    </row>
    <row r="164" spans="2:3" ht="18.95" customHeight="1">
      <c r="B164" s="324">
        <f t="shared" si="46"/>
        <v>0.47222222222222104</v>
      </c>
      <c r="C164" s="324">
        <f t="shared" si="45"/>
        <v>67.999999999999829</v>
      </c>
    </row>
    <row r="165" spans="2:3" ht="18.95" customHeight="1">
      <c r="B165" s="324">
        <f t="shared" si="46"/>
        <v>0.47499999999999881</v>
      </c>
      <c r="C165" s="324">
        <f t="shared" si="45"/>
        <v>68.399999999999835</v>
      </c>
    </row>
    <row r="166" spans="2:3" ht="18.95" customHeight="1">
      <c r="B166" s="324">
        <f t="shared" si="46"/>
        <v>0.47777777777777658</v>
      </c>
      <c r="C166" s="324">
        <f t="shared" si="45"/>
        <v>68.799999999999827</v>
      </c>
    </row>
    <row r="167" spans="2:3" ht="18.95" customHeight="1">
      <c r="B167" s="324">
        <f t="shared" si="46"/>
        <v>0.48055555555555435</v>
      </c>
      <c r="C167" s="324">
        <f t="shared" si="45"/>
        <v>69.199999999999832</v>
      </c>
    </row>
    <row r="168" spans="2:3" ht="18.95" customHeight="1">
      <c r="B168" s="324">
        <f t="shared" si="46"/>
        <v>0.48333333333333212</v>
      </c>
      <c r="C168" s="324">
        <f t="shared" si="45"/>
        <v>69.599999999999824</v>
      </c>
    </row>
    <row r="169" spans="2:3" ht="18.95" customHeight="1">
      <c r="B169" s="324">
        <f t="shared" si="46"/>
        <v>0.48611111111110988</v>
      </c>
      <c r="C169" s="324">
        <f t="shared" si="45"/>
        <v>69.999999999999829</v>
      </c>
    </row>
    <row r="170" spans="2:3" ht="18.95" customHeight="1">
      <c r="B170" s="324">
        <f t="shared" si="46"/>
        <v>0.48888888888888765</v>
      </c>
      <c r="C170" s="324">
        <f t="shared" si="45"/>
        <v>70.399999999999821</v>
      </c>
    </row>
    <row r="171" spans="2:3" ht="18.95" customHeight="1">
      <c r="B171" s="324">
        <f t="shared" si="46"/>
        <v>0.49166666666666542</v>
      </c>
      <c r="C171" s="324">
        <f t="shared" si="45"/>
        <v>70.799999999999827</v>
      </c>
    </row>
    <row r="172" spans="2:3" ht="18.95" customHeight="1">
      <c r="B172" s="324">
        <f t="shared" si="46"/>
        <v>0.49444444444444319</v>
      </c>
      <c r="C172" s="324">
        <f t="shared" si="45"/>
        <v>71.199999999999818</v>
      </c>
    </row>
    <row r="173" spans="2:3" ht="18.95" customHeight="1">
      <c r="B173" s="324">
        <f t="shared" si="46"/>
        <v>0.49722222222222096</v>
      </c>
      <c r="C173" s="324">
        <f t="shared" si="45"/>
        <v>71.599999999999824</v>
      </c>
    </row>
    <row r="174" spans="2:3" ht="18.95" customHeight="1">
      <c r="B174" s="324">
        <f t="shared" si="46"/>
        <v>0.49999999999999872</v>
      </c>
      <c r="C174" s="324">
        <f t="shared" si="45"/>
        <v>71.999999999999815</v>
      </c>
    </row>
    <row r="175" spans="2:3" ht="18.95" customHeight="1">
      <c r="B175" s="324">
        <f t="shared" si="46"/>
        <v>0.50277777777777655</v>
      </c>
      <c r="C175" s="324">
        <f t="shared" si="45"/>
        <v>72.399999999999821</v>
      </c>
    </row>
    <row r="176" spans="2:3" ht="18.95" customHeight="1">
      <c r="B176" s="324">
        <f t="shared" si="46"/>
        <v>0.50555555555555431</v>
      </c>
      <c r="C176" s="324">
        <f t="shared" si="45"/>
        <v>72.799999999999827</v>
      </c>
    </row>
    <row r="177" spans="2:3" ht="18.95" customHeight="1">
      <c r="B177" s="324">
        <f t="shared" si="46"/>
        <v>0.50833333333333208</v>
      </c>
      <c r="C177" s="324">
        <f t="shared" si="45"/>
        <v>73.199999999999818</v>
      </c>
    </row>
    <row r="178" spans="2:3" ht="18.95" customHeight="1">
      <c r="B178" s="324">
        <f t="shared" si="46"/>
        <v>0.51111111111110985</v>
      </c>
      <c r="C178" s="324">
        <f t="shared" si="45"/>
        <v>73.599999999999824</v>
      </c>
    </row>
    <row r="179" spans="2:3" ht="18.95" customHeight="1">
      <c r="B179" s="324">
        <f t="shared" si="46"/>
        <v>0.51388888888888762</v>
      </c>
      <c r="C179" s="324">
        <f t="shared" si="45"/>
        <v>73.999999999999815</v>
      </c>
    </row>
    <row r="180" spans="2:3" ht="18.95" customHeight="1">
      <c r="B180" s="324">
        <f t="shared" si="46"/>
        <v>0.51666666666666539</v>
      </c>
      <c r="C180" s="324">
        <f t="shared" si="45"/>
        <v>74.399999999999821</v>
      </c>
    </row>
    <row r="181" spans="2:3" ht="18.95" customHeight="1">
      <c r="B181" s="324">
        <f t="shared" si="46"/>
        <v>0.51944444444444315</v>
      </c>
      <c r="C181" s="324">
        <f t="shared" si="45"/>
        <v>74.799999999999812</v>
      </c>
    </row>
    <row r="182" spans="2:3" ht="18.95" customHeight="1">
      <c r="B182" s="324">
        <f t="shared" si="46"/>
        <v>0.52222222222222092</v>
      </c>
      <c r="C182" s="324">
        <f t="shared" si="45"/>
        <v>75.199999999999818</v>
      </c>
    </row>
    <row r="183" spans="2:3" ht="18.95" customHeight="1">
      <c r="B183" s="324">
        <f t="shared" si="46"/>
        <v>0.52499999999999869</v>
      </c>
      <c r="C183" s="324">
        <f t="shared" si="45"/>
        <v>75.59999999999981</v>
      </c>
    </row>
    <row r="184" spans="2:3" ht="18.95" customHeight="1">
      <c r="B184" s="324">
        <f t="shared" si="46"/>
        <v>0.52777777777777646</v>
      </c>
      <c r="C184" s="324">
        <f t="shared" si="45"/>
        <v>75.999999999999815</v>
      </c>
    </row>
    <row r="185" spans="2:3" ht="18.95" customHeight="1">
      <c r="B185" s="324">
        <f t="shared" si="46"/>
        <v>0.53055555555555423</v>
      </c>
      <c r="C185" s="324">
        <f t="shared" si="45"/>
        <v>76.399999999999807</v>
      </c>
    </row>
    <row r="186" spans="2:3" ht="18.95" customHeight="1">
      <c r="B186" s="324">
        <f t="shared" si="46"/>
        <v>0.53333333333333199</v>
      </c>
      <c r="C186" s="324">
        <f t="shared" si="45"/>
        <v>76.799999999999812</v>
      </c>
    </row>
    <row r="187" spans="2:3" ht="18.95" customHeight="1">
      <c r="B187" s="324">
        <f t="shared" si="46"/>
        <v>0.53611111111110976</v>
      </c>
      <c r="C187" s="324">
        <f t="shared" si="45"/>
        <v>77.199999999999804</v>
      </c>
    </row>
    <row r="188" spans="2:3" ht="18.95" customHeight="1">
      <c r="B188" s="324">
        <f t="shared" si="46"/>
        <v>0.53888888888888753</v>
      </c>
      <c r="C188" s="324">
        <f t="shared" si="45"/>
        <v>77.59999999999981</v>
      </c>
    </row>
    <row r="189" spans="2:3" ht="18.95" customHeight="1">
      <c r="B189" s="324">
        <f t="shared" si="46"/>
        <v>0.5416666666666653</v>
      </c>
      <c r="C189" s="324">
        <f t="shared" si="45"/>
        <v>77.999999999999801</v>
      </c>
    </row>
    <row r="190" spans="2:3" ht="18.95" customHeight="1">
      <c r="B190" s="324">
        <f t="shared" si="46"/>
        <v>0.54444444444444307</v>
      </c>
      <c r="C190" s="324">
        <f t="shared" si="45"/>
        <v>78.399999999999807</v>
      </c>
    </row>
    <row r="191" spans="2:3" ht="18.95" customHeight="1">
      <c r="B191" s="324">
        <f t="shared" si="46"/>
        <v>0.54722222222222083</v>
      </c>
      <c r="C191" s="324">
        <f t="shared" si="45"/>
        <v>78.799999999999798</v>
      </c>
    </row>
    <row r="192" spans="2:3" ht="18.95" customHeight="1">
      <c r="B192" s="324">
        <f t="shared" si="46"/>
        <v>0.5499999999999986</v>
      </c>
      <c r="C192" s="324">
        <f t="shared" si="45"/>
        <v>79.199999999999804</v>
      </c>
    </row>
    <row r="193" spans="2:3" ht="18.95" customHeight="1">
      <c r="B193" s="324">
        <f t="shared" si="46"/>
        <v>0.55277777777777637</v>
      </c>
      <c r="C193" s="324">
        <f t="shared" si="45"/>
        <v>79.599999999999795</v>
      </c>
    </row>
    <row r="194" spans="2:3" ht="18.95" customHeight="1">
      <c r="B194" s="324">
        <f t="shared" si="46"/>
        <v>0.55555555555555414</v>
      </c>
      <c r="C194" s="324">
        <f t="shared" si="45"/>
        <v>79.999999999999801</v>
      </c>
    </row>
    <row r="195" spans="2:3" ht="18.95" customHeight="1">
      <c r="B195" s="324">
        <f t="shared" si="46"/>
        <v>0.5583333333333319</v>
      </c>
      <c r="C195" s="324">
        <f t="shared" ref="C195:C223" si="47">C$2*B195</f>
        <v>80.399999999999793</v>
      </c>
    </row>
    <row r="196" spans="2:3" ht="18.95" customHeight="1">
      <c r="B196" s="324">
        <f t="shared" ref="B196:B223" si="48">B195+(1/360)</f>
        <v>0.56111111111110967</v>
      </c>
      <c r="C196" s="324">
        <f t="shared" si="47"/>
        <v>80.799999999999798</v>
      </c>
    </row>
    <row r="197" spans="2:3" ht="18.95" customHeight="1">
      <c r="B197" s="324">
        <f t="shared" si="48"/>
        <v>0.56388888888888744</v>
      </c>
      <c r="C197" s="324">
        <f t="shared" si="47"/>
        <v>81.19999999999979</v>
      </c>
    </row>
    <row r="198" spans="2:3" ht="18.95" customHeight="1">
      <c r="B198" s="324">
        <f t="shared" si="48"/>
        <v>0.56666666666666521</v>
      </c>
      <c r="C198" s="324">
        <f t="shared" si="47"/>
        <v>81.599999999999795</v>
      </c>
    </row>
    <row r="199" spans="2:3" ht="18.95" customHeight="1">
      <c r="B199" s="324">
        <f t="shared" si="48"/>
        <v>0.56944444444444298</v>
      </c>
      <c r="C199" s="324">
        <f t="shared" si="47"/>
        <v>81.999999999999787</v>
      </c>
    </row>
    <row r="200" spans="2:3" ht="18.95" customHeight="1">
      <c r="B200" s="324">
        <f t="shared" si="48"/>
        <v>0.57222222222222074</v>
      </c>
      <c r="C200" s="324">
        <f t="shared" si="47"/>
        <v>82.399999999999793</v>
      </c>
    </row>
    <row r="201" spans="2:3" ht="18.95" customHeight="1">
      <c r="B201" s="324">
        <f t="shared" si="48"/>
        <v>0.57499999999999851</v>
      </c>
      <c r="C201" s="324">
        <f t="shared" si="47"/>
        <v>82.799999999999784</v>
      </c>
    </row>
    <row r="202" spans="2:3" ht="18.95" customHeight="1">
      <c r="B202" s="324">
        <f t="shared" si="48"/>
        <v>0.57777777777777628</v>
      </c>
      <c r="C202" s="324">
        <f t="shared" si="47"/>
        <v>83.19999999999979</v>
      </c>
    </row>
    <row r="203" spans="2:3" ht="18.95" customHeight="1">
      <c r="B203" s="324">
        <f t="shared" si="48"/>
        <v>0.58055555555555405</v>
      </c>
      <c r="C203" s="324">
        <f t="shared" si="47"/>
        <v>83.599999999999781</v>
      </c>
    </row>
    <row r="204" spans="2:3" ht="18.95" customHeight="1">
      <c r="B204" s="324">
        <f t="shared" si="48"/>
        <v>0.58333333333333182</v>
      </c>
      <c r="C204" s="324">
        <f t="shared" si="47"/>
        <v>83.999999999999787</v>
      </c>
    </row>
    <row r="205" spans="2:3" ht="18.95" customHeight="1">
      <c r="B205" s="324">
        <f t="shared" si="48"/>
        <v>0.58611111111110958</v>
      </c>
      <c r="C205" s="324">
        <f t="shared" si="47"/>
        <v>84.399999999999778</v>
      </c>
    </row>
    <row r="206" spans="2:3" ht="18.95" customHeight="1">
      <c r="B206" s="324">
        <f t="shared" si="48"/>
        <v>0.58888888888888735</v>
      </c>
      <c r="C206" s="324">
        <f t="shared" si="47"/>
        <v>84.799999999999784</v>
      </c>
    </row>
    <row r="207" spans="2:3" ht="18.95" customHeight="1">
      <c r="B207" s="324">
        <f t="shared" si="48"/>
        <v>0.59166666666666512</v>
      </c>
      <c r="C207" s="324">
        <f t="shared" si="47"/>
        <v>85.199999999999775</v>
      </c>
    </row>
    <row r="208" spans="2:3" ht="18.95" customHeight="1">
      <c r="B208" s="324">
        <f t="shared" si="48"/>
        <v>0.59444444444444289</v>
      </c>
      <c r="C208" s="324">
        <f t="shared" si="47"/>
        <v>85.599999999999781</v>
      </c>
    </row>
    <row r="209" spans="2:3" ht="18.95" customHeight="1">
      <c r="B209" s="324">
        <f t="shared" si="48"/>
        <v>0.59722222222222066</v>
      </c>
      <c r="C209" s="324">
        <f t="shared" si="47"/>
        <v>85.999999999999773</v>
      </c>
    </row>
    <row r="210" spans="2:3" ht="18.95" customHeight="1">
      <c r="B210" s="324">
        <f t="shared" si="48"/>
        <v>0.59999999999999842</v>
      </c>
      <c r="C210" s="324">
        <f t="shared" si="47"/>
        <v>86.399999999999778</v>
      </c>
    </row>
    <row r="211" spans="2:3" ht="18.95" customHeight="1">
      <c r="B211" s="324">
        <f t="shared" si="48"/>
        <v>0.60277777777777619</v>
      </c>
      <c r="C211" s="324">
        <f t="shared" si="47"/>
        <v>86.79999999999977</v>
      </c>
    </row>
    <row r="212" spans="2:3" ht="18.95" customHeight="1">
      <c r="B212" s="324">
        <f t="shared" si="48"/>
        <v>0.60555555555555396</v>
      </c>
      <c r="C212" s="324">
        <f t="shared" si="47"/>
        <v>87.199999999999775</v>
      </c>
    </row>
    <row r="213" spans="2:3" ht="18.95" customHeight="1">
      <c r="B213" s="324">
        <f t="shared" si="48"/>
        <v>0.60833333333333173</v>
      </c>
      <c r="C213" s="324">
        <f t="shared" si="47"/>
        <v>87.599999999999767</v>
      </c>
    </row>
    <row r="214" spans="2:3" ht="18.95" customHeight="1">
      <c r="B214" s="324">
        <f t="shared" si="48"/>
        <v>0.6111111111111095</v>
      </c>
      <c r="C214" s="324">
        <f t="shared" si="47"/>
        <v>87.999999999999773</v>
      </c>
    </row>
    <row r="215" spans="2:3" ht="18.95" customHeight="1">
      <c r="B215" s="324">
        <f t="shared" si="48"/>
        <v>0.61388888888888726</v>
      </c>
      <c r="C215" s="324">
        <f t="shared" si="47"/>
        <v>88.399999999999764</v>
      </c>
    </row>
    <row r="216" spans="2:3" ht="18.95" customHeight="1">
      <c r="B216" s="324">
        <f t="shared" si="48"/>
        <v>0.61666666666666503</v>
      </c>
      <c r="C216" s="324">
        <f t="shared" si="47"/>
        <v>88.79999999999977</v>
      </c>
    </row>
    <row r="217" spans="2:3" ht="18.95" customHeight="1">
      <c r="B217" s="324">
        <f t="shared" si="48"/>
        <v>0.6194444444444428</v>
      </c>
      <c r="C217" s="324">
        <f t="shared" si="47"/>
        <v>89.199999999999761</v>
      </c>
    </row>
    <row r="218" spans="2:3" ht="18.95" customHeight="1">
      <c r="B218" s="324">
        <f t="shared" si="48"/>
        <v>0.62222222222222057</v>
      </c>
      <c r="C218" s="324">
        <f t="shared" si="47"/>
        <v>89.599999999999767</v>
      </c>
    </row>
    <row r="219" spans="2:3" ht="18.95" customHeight="1">
      <c r="B219" s="324">
        <f t="shared" si="48"/>
        <v>0.62499999999999833</v>
      </c>
      <c r="C219" s="324">
        <f t="shared" si="47"/>
        <v>89.999999999999758</v>
      </c>
    </row>
    <row r="220" spans="2:3" ht="18.95" customHeight="1">
      <c r="B220" s="324">
        <f t="shared" si="48"/>
        <v>0.6277777777777761</v>
      </c>
      <c r="C220" s="324">
        <f t="shared" si="47"/>
        <v>90.399999999999764</v>
      </c>
    </row>
    <row r="221" spans="2:3" ht="18.95" customHeight="1">
      <c r="B221" s="324">
        <f t="shared" si="48"/>
        <v>0.63055555555555387</v>
      </c>
      <c r="C221" s="324">
        <f t="shared" si="47"/>
        <v>90.799999999999756</v>
      </c>
    </row>
    <row r="222" spans="2:3" ht="18.95" customHeight="1">
      <c r="B222" s="324">
        <f t="shared" si="48"/>
        <v>0.63333333333333164</v>
      </c>
      <c r="C222" s="324">
        <f t="shared" si="47"/>
        <v>91.199999999999761</v>
      </c>
    </row>
    <row r="223" spans="2:3" ht="18.95" customHeight="1">
      <c r="B223" s="324">
        <f t="shared" si="48"/>
        <v>0.63611111111110941</v>
      </c>
      <c r="C223" s="324">
        <f t="shared" si="47"/>
        <v>91.599999999999753</v>
      </c>
    </row>
  </sheetData>
  <sheetProtection sheet="1" objects="1" scenarios="1" selectLockedCells="1" selectUnlockedCells="1"/>
  <mergeCells count="8">
    <mergeCell ref="E2:F2"/>
    <mergeCell ref="H2:I2"/>
    <mergeCell ref="T2:Y3"/>
    <mergeCell ref="AJ12:AR12"/>
    <mergeCell ref="I14:K14"/>
    <mergeCell ref="P14:R14"/>
    <mergeCell ref="X14:Z14"/>
    <mergeCell ref="AE14:AG14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Index</vt:lpstr>
      <vt:lpstr>Esp HWI Pin Fixo</vt:lpstr>
      <vt:lpstr>I.SPA H1 381</vt:lpstr>
      <vt:lpstr>ICE SPA</vt:lpstr>
      <vt:lpstr>Cálculos ICE SPA</vt:lpstr>
      <vt:lpstr>Calibrador</vt:lpstr>
      <vt:lpstr>I.SPA H1 381.2</vt:lpstr>
      <vt:lpstr>I.SPA 16-349 280+6</vt:lpstr>
      <vt:lpstr>I.SPA 16-352 280+6</vt:lpstr>
      <vt:lpstr>Slope.px</vt:lpstr>
      <vt:lpstr>Link</vt:lpstr>
      <vt:lpstr>266</vt:lpstr>
      <vt:lpstr>inf 266</vt:lpstr>
      <vt:lpstr>R266</vt:lpstr>
      <vt:lpstr>266 Spike 30</vt:lpstr>
      <vt:lpstr>276</vt:lpstr>
      <vt:lpstr>inf 276</vt:lpstr>
      <vt:lpstr>R276</vt:lpstr>
      <vt:lpstr>276SR Spike 30</vt:lpstr>
      <vt:lpstr>280</vt:lpstr>
      <vt:lpstr>inf 280</vt:lpstr>
      <vt:lpstr>280SR Spike 30</vt:lpstr>
      <vt:lpstr>R280</vt:lpstr>
      <vt:lpstr>286</vt:lpstr>
      <vt:lpstr>inf 286</vt:lpstr>
      <vt:lpstr>R286</vt:lpstr>
      <vt:lpstr>286SR Spike 30</vt:lpstr>
      <vt:lpstr>6i Chip-in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BARCELOS DA SILVA</dc:creator>
  <cp:lastModifiedBy>LEONARDO BARCELOS DA SILVA</cp:lastModifiedBy>
  <dcterms:created xsi:type="dcterms:W3CDTF">2017-10-23T12:38:11Z</dcterms:created>
  <dcterms:modified xsi:type="dcterms:W3CDTF">2021-12-04T18:59:10Z</dcterms:modified>
</cp:coreProperties>
</file>